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oc\fire\Dispatch Shared\INTEL\_STATS_2025\"/>
    </mc:Choice>
  </mc:AlternateContent>
  <xr:revisionPtr revIDLastSave="0" documentId="13_ncr:1_{C50272E6-E631-4688-8A19-9A0DD73FEA6B}" xr6:coauthVersionLast="47" xr6:coauthVersionMax="47" xr10:uidLastSave="{00000000-0000-0000-0000-000000000000}"/>
  <bookViews>
    <workbookView xWindow="2700" yWindow="540" windowWidth="33825" windowHeight="19845" firstSheet="1" activeTab="1" xr2:uid="{00000000-000D-0000-FFFF-FFFF00000000}"/>
  </bookViews>
  <sheets>
    <sheet name="DISPATCH" sheetId="14" r:id="rId1"/>
    <sheet name="STATS" sheetId="4" r:id="rId2"/>
    <sheet name="SUM- BLM" sheetId="21" r:id="rId3"/>
    <sheet name="SUM- USFS " sheetId="22" r:id="rId4"/>
    <sheet name="SUM- IDL" sheetId="23" r:id="rId5"/>
    <sheet name="RURALASSIST" sheetId="24" r:id="rId6"/>
    <sheet name="FALSEALARMS" sheetId="25" r:id="rId7"/>
    <sheet name="NONSTAT" sheetId="28" r:id="rId8"/>
    <sheet name="RX ACRES " sheetId="15" r:id="rId9"/>
    <sheet name="COST SHARE" sheetId="26" r:id="rId10"/>
    <sheet name="OTR" sheetId="27" r:id="rId11"/>
  </sheets>
  <definedNames>
    <definedName name="_xlnm._FilterDatabase" localSheetId="9" hidden="1">'COST SHARE'!$C$1:$L$189</definedName>
    <definedName name="_xlnm._FilterDatabase" localSheetId="6" hidden="1">FALSEALARMS!$E$1:$E$466</definedName>
    <definedName name="_xlnm._FilterDatabase" localSheetId="5" hidden="1">RURALASSIST!$E$1:$E$465</definedName>
    <definedName name="_xlnm._FilterDatabase" localSheetId="1" hidden="1">STATS!$C$1:$C$469</definedName>
    <definedName name="EASLE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11" i="27" l="1"/>
  <c r="P10" i="27"/>
  <c r="P9" i="27"/>
  <c r="P8" i="27"/>
  <c r="P7" i="27"/>
  <c r="P6" i="27"/>
  <c r="P5" i="27"/>
  <c r="K9" i="26"/>
  <c r="M3" i="27"/>
  <c r="L3" i="27"/>
  <c r="N349" i="27"/>
  <c r="N350" i="27"/>
  <c r="N351" i="27"/>
  <c r="N352" i="27"/>
  <c r="N353" i="27"/>
  <c r="N354" i="27"/>
  <c r="N355" i="27"/>
  <c r="N356" i="27"/>
  <c r="N358" i="27"/>
  <c r="N359" i="27"/>
  <c r="R102" i="4"/>
  <c r="H3" i="27" l="1"/>
  <c r="R127" i="4"/>
  <c r="K96" i="26"/>
  <c r="K99" i="26"/>
  <c r="AX213" i="4"/>
  <c r="R213" i="4"/>
  <c r="AW213" i="4" s="1"/>
  <c r="AX212" i="4"/>
  <c r="R212" i="4"/>
  <c r="AW212" i="4" s="1"/>
  <c r="AX211" i="4"/>
  <c r="R211" i="4"/>
  <c r="AW211" i="4" s="1"/>
  <c r="AX210" i="4"/>
  <c r="R210" i="4"/>
  <c r="AW210" i="4" s="1"/>
  <c r="AX209" i="4"/>
  <c r="R209" i="4"/>
  <c r="AW209" i="4" s="1"/>
  <c r="AX208" i="4"/>
  <c r="R208" i="4"/>
  <c r="AW208" i="4" s="1"/>
  <c r="AX207" i="4"/>
  <c r="R207" i="4"/>
  <c r="AW207" i="4" s="1"/>
  <c r="AX206" i="4"/>
  <c r="R206" i="4"/>
  <c r="AW206" i="4" s="1"/>
  <c r="AX205" i="4"/>
  <c r="R205" i="4"/>
  <c r="AW205" i="4" s="1"/>
  <c r="AX204" i="4"/>
  <c r="R204" i="4"/>
  <c r="AW204" i="4" s="1"/>
  <c r="AX203" i="4"/>
  <c r="R203" i="4"/>
  <c r="AW203" i="4" s="1"/>
  <c r="AX202" i="4"/>
  <c r="R202" i="4"/>
  <c r="AW202" i="4" s="1"/>
  <c r="AX201" i="4"/>
  <c r="R201" i="4"/>
  <c r="AW201" i="4" s="1"/>
  <c r="AX200" i="4"/>
  <c r="R200" i="4"/>
  <c r="AW200" i="4" s="1"/>
  <c r="AX199" i="4"/>
  <c r="R199" i="4"/>
  <c r="AW199" i="4" s="1"/>
  <c r="AX198" i="4"/>
  <c r="R198" i="4"/>
  <c r="AW198" i="4" s="1"/>
  <c r="AX197" i="4"/>
  <c r="R197" i="4"/>
  <c r="AW197" i="4" s="1"/>
  <c r="AX196" i="4"/>
  <c r="R196" i="4"/>
  <c r="AW196" i="4" s="1"/>
  <c r="AX195" i="4"/>
  <c r="R195" i="4"/>
  <c r="AW195" i="4" s="1"/>
  <c r="AX194" i="4"/>
  <c r="R194" i="4"/>
  <c r="AW194" i="4" s="1"/>
  <c r="AX193" i="4"/>
  <c r="R193" i="4"/>
  <c r="AW193" i="4" s="1"/>
  <c r="AX192" i="4"/>
  <c r="R192" i="4"/>
  <c r="AW192" i="4" s="1"/>
  <c r="AX214" i="4"/>
  <c r="R214" i="4"/>
  <c r="AW214" i="4" s="1"/>
  <c r="AX191" i="4"/>
  <c r="R191" i="4"/>
  <c r="AW191" i="4" s="1"/>
  <c r="AX190" i="4"/>
  <c r="R190" i="4"/>
  <c r="AW190" i="4" s="1"/>
  <c r="AX189" i="4"/>
  <c r="R189" i="4"/>
  <c r="AW189" i="4" s="1"/>
  <c r="AX188" i="4"/>
  <c r="R188" i="4"/>
  <c r="AW188" i="4" s="1"/>
  <c r="AX187" i="4"/>
  <c r="R187" i="4"/>
  <c r="AW187" i="4" s="1"/>
  <c r="AX186" i="4"/>
  <c r="R186" i="4"/>
  <c r="AW186" i="4" s="1"/>
  <c r="AX185" i="4"/>
  <c r="R185" i="4"/>
  <c r="AW185" i="4" s="1"/>
  <c r="AX184" i="4"/>
  <c r="R184" i="4"/>
  <c r="AW184" i="4" s="1"/>
  <c r="AX183" i="4"/>
  <c r="R183" i="4"/>
  <c r="AW183" i="4" s="1"/>
  <c r="AX182" i="4"/>
  <c r="R182" i="4"/>
  <c r="AW182" i="4" s="1"/>
  <c r="AX181" i="4"/>
  <c r="R181" i="4"/>
  <c r="AW181" i="4" s="1"/>
  <c r="AX180" i="4"/>
  <c r="R180" i="4"/>
  <c r="AW180" i="4" s="1"/>
  <c r="AX179" i="4"/>
  <c r="R179" i="4"/>
  <c r="AW179" i="4" s="1"/>
  <c r="AX178" i="4"/>
  <c r="R178" i="4"/>
  <c r="AW178" i="4" s="1"/>
  <c r="AX177" i="4"/>
  <c r="R177" i="4"/>
  <c r="AW177" i="4" s="1"/>
  <c r="AX176" i="4"/>
  <c r="R176" i="4"/>
  <c r="AW176" i="4" s="1"/>
  <c r="AX175" i="4"/>
  <c r="R175" i="4"/>
  <c r="AW175" i="4" s="1"/>
  <c r="AX174" i="4"/>
  <c r="R174" i="4"/>
  <c r="AW174" i="4" s="1"/>
  <c r="AX173" i="4"/>
  <c r="R173" i="4"/>
  <c r="AW173" i="4" s="1"/>
  <c r="AX172" i="4"/>
  <c r="R172" i="4"/>
  <c r="AW172" i="4" s="1"/>
  <c r="AX171" i="4"/>
  <c r="R171" i="4"/>
  <c r="AW171" i="4" s="1"/>
  <c r="AX170" i="4"/>
  <c r="R170" i="4"/>
  <c r="AW170" i="4" s="1"/>
  <c r="AX169" i="4"/>
  <c r="R169" i="4"/>
  <c r="AW169" i="4" s="1"/>
  <c r="AX168" i="4"/>
  <c r="R168" i="4"/>
  <c r="AW168" i="4" s="1"/>
  <c r="AX167" i="4"/>
  <c r="R167" i="4"/>
  <c r="AW167" i="4" s="1"/>
  <c r="AX166" i="4"/>
  <c r="R166" i="4"/>
  <c r="AW166" i="4" s="1"/>
  <c r="AX165" i="4"/>
  <c r="R165" i="4"/>
  <c r="AW165" i="4" s="1"/>
  <c r="AX164" i="4"/>
  <c r="R164" i="4"/>
  <c r="AW164" i="4" s="1"/>
  <c r="AX163" i="4"/>
  <c r="R163" i="4"/>
  <c r="AW163" i="4" s="1"/>
  <c r="AX162" i="4"/>
  <c r="R162" i="4"/>
  <c r="AW162" i="4" s="1"/>
  <c r="AX161" i="4"/>
  <c r="R161" i="4"/>
  <c r="AW161" i="4" s="1"/>
  <c r="AX160" i="4"/>
  <c r="R160" i="4"/>
  <c r="AW160" i="4" s="1"/>
  <c r="AX159" i="4"/>
  <c r="R159" i="4"/>
  <c r="AW159" i="4" s="1"/>
  <c r="AX158" i="4"/>
  <c r="R158" i="4"/>
  <c r="AW158" i="4" s="1"/>
  <c r="AX157" i="4"/>
  <c r="R157" i="4"/>
  <c r="AW157" i="4" s="1"/>
  <c r="AX156" i="4"/>
  <c r="R156" i="4"/>
  <c r="AW156" i="4" s="1"/>
  <c r="AX155" i="4"/>
  <c r="R155" i="4"/>
  <c r="AW155" i="4" s="1"/>
  <c r="AX154" i="4"/>
  <c r="R154" i="4"/>
  <c r="AW154" i="4" s="1"/>
  <c r="AX153" i="4"/>
  <c r="R153" i="4"/>
  <c r="AW153" i="4" s="1"/>
  <c r="AX152" i="4"/>
  <c r="R152" i="4"/>
  <c r="AW152" i="4" s="1"/>
  <c r="AX151" i="4"/>
  <c r="R151" i="4"/>
  <c r="AW151" i="4" s="1"/>
  <c r="AX150" i="4"/>
  <c r="R150" i="4"/>
  <c r="AW150" i="4" s="1"/>
  <c r="AX149" i="4"/>
  <c r="R149" i="4"/>
  <c r="AW149" i="4" s="1"/>
  <c r="AX148" i="4"/>
  <c r="R148" i="4"/>
  <c r="AW148" i="4" s="1"/>
  <c r="AX147" i="4"/>
  <c r="R147" i="4"/>
  <c r="AW147" i="4" s="1"/>
  <c r="AX146" i="4"/>
  <c r="R146" i="4"/>
  <c r="AW146" i="4" s="1"/>
  <c r="AX145" i="4"/>
  <c r="R145" i="4"/>
  <c r="AW145" i="4" s="1"/>
  <c r="AX144" i="4"/>
  <c r="R144" i="4"/>
  <c r="AW144" i="4" s="1"/>
  <c r="AX143" i="4"/>
  <c r="R143" i="4"/>
  <c r="AW143" i="4" s="1"/>
  <c r="AX142" i="4"/>
  <c r="R142" i="4"/>
  <c r="AW142" i="4" s="1"/>
  <c r="AX141" i="4"/>
  <c r="R141" i="4"/>
  <c r="AW141" i="4" s="1"/>
  <c r="AX140" i="4"/>
  <c r="R140" i="4"/>
  <c r="AW140" i="4" s="1"/>
  <c r="AX139" i="4"/>
  <c r="R139" i="4"/>
  <c r="AW139" i="4" s="1"/>
  <c r="AX138" i="4"/>
  <c r="R138" i="4"/>
  <c r="AW138" i="4" s="1"/>
  <c r="AX137" i="4"/>
  <c r="R137" i="4"/>
  <c r="AW137" i="4" s="1"/>
  <c r="AX136" i="4"/>
  <c r="R136" i="4"/>
  <c r="AW136" i="4" s="1"/>
  <c r="AX135" i="4"/>
  <c r="R135" i="4"/>
  <c r="AW135" i="4" s="1"/>
  <c r="AX134" i="4"/>
  <c r="R134" i="4"/>
  <c r="AW134" i="4" s="1"/>
  <c r="AX133" i="4"/>
  <c r="R133" i="4"/>
  <c r="AW133" i="4" s="1"/>
  <c r="AX132" i="4"/>
  <c r="R132" i="4"/>
  <c r="AW132" i="4" s="1"/>
  <c r="AX131" i="4"/>
  <c r="R131" i="4"/>
  <c r="AW131" i="4" s="1"/>
  <c r="AX130" i="4"/>
  <c r="R130" i="4"/>
  <c r="AW130" i="4" s="1"/>
  <c r="AX129" i="4"/>
  <c r="R129" i="4"/>
  <c r="AW129" i="4" s="1"/>
  <c r="AX128" i="4"/>
  <c r="R128" i="4"/>
  <c r="AW128" i="4" s="1"/>
  <c r="AX127" i="4"/>
  <c r="AW127" i="4"/>
  <c r="AX126" i="4"/>
  <c r="R126" i="4"/>
  <c r="AW126" i="4" s="1"/>
  <c r="N282" i="27"/>
  <c r="N283" i="27"/>
  <c r="N284" i="27"/>
  <c r="N285" i="27"/>
  <c r="N286" i="27"/>
  <c r="N287" i="27"/>
  <c r="N288" i="27"/>
  <c r="N289" i="27"/>
  <c r="N290" i="27"/>
  <c r="N291" i="27"/>
  <c r="N292" i="27"/>
  <c r="N293" i="27"/>
  <c r="N294" i="27"/>
  <c r="N295" i="27"/>
  <c r="N296" i="27"/>
  <c r="N297" i="27"/>
  <c r="N298" i="27"/>
  <c r="N299" i="27"/>
  <c r="N300" i="27"/>
  <c r="N301" i="27"/>
  <c r="N302" i="27"/>
  <c r="N303" i="27"/>
  <c r="N304" i="27"/>
  <c r="N305" i="27"/>
  <c r="N306" i="27"/>
  <c r="N307" i="27"/>
  <c r="N308" i="27"/>
  <c r="N309" i="27"/>
  <c r="N310" i="27"/>
  <c r="N311" i="27"/>
  <c r="N312" i="27"/>
  <c r="N313" i="27"/>
  <c r="N314" i="27"/>
  <c r="N315" i="27"/>
  <c r="N316" i="27"/>
  <c r="N317" i="27"/>
  <c r="N318" i="27"/>
  <c r="N319" i="27"/>
  <c r="N320" i="27"/>
  <c r="N321" i="27"/>
  <c r="N322" i="27"/>
  <c r="N323" i="27"/>
  <c r="N324" i="27"/>
  <c r="N325" i="27"/>
  <c r="N326" i="27"/>
  <c r="N327" i="27"/>
  <c r="N328" i="27"/>
  <c r="N329" i="27"/>
  <c r="N330" i="27"/>
  <c r="N331" i="27"/>
  <c r="N332" i="27"/>
  <c r="N333" i="27"/>
  <c r="N334" i="27"/>
  <c r="N335" i="27"/>
  <c r="N336" i="27"/>
  <c r="N337" i="27"/>
  <c r="N338" i="27"/>
  <c r="N339" i="27"/>
  <c r="N340" i="27"/>
  <c r="N341" i="27"/>
  <c r="N342" i="27"/>
  <c r="N343" i="27"/>
  <c r="N344" i="27"/>
  <c r="N345" i="27"/>
  <c r="N346" i="27"/>
  <c r="N347" i="27"/>
  <c r="N348" i="27"/>
  <c r="N155" i="27"/>
  <c r="N156" i="27"/>
  <c r="N157" i="27"/>
  <c r="N158" i="27"/>
  <c r="N159" i="27"/>
  <c r="N160" i="27"/>
  <c r="N161" i="27"/>
  <c r="N162" i="27"/>
  <c r="N163" i="27"/>
  <c r="N164" i="27"/>
  <c r="N165" i="27"/>
  <c r="N166" i="27"/>
  <c r="N167" i="27"/>
  <c r="N168" i="27"/>
  <c r="N169" i="27"/>
  <c r="N170" i="27"/>
  <c r="N171" i="27"/>
  <c r="N172" i="27"/>
  <c r="N173" i="27"/>
  <c r="N174" i="27"/>
  <c r="N175" i="27"/>
  <c r="N176" i="27"/>
  <c r="N177" i="27"/>
  <c r="N178" i="27"/>
  <c r="N179" i="27"/>
  <c r="N180" i="27"/>
  <c r="N181" i="27"/>
  <c r="N182" i="27"/>
  <c r="N183" i="27"/>
  <c r="N184" i="27"/>
  <c r="N185" i="27"/>
  <c r="N186" i="27"/>
  <c r="N187" i="27"/>
  <c r="N188" i="27"/>
  <c r="N189" i="27"/>
  <c r="N190" i="27"/>
  <c r="N191" i="27"/>
  <c r="N192" i="27"/>
  <c r="N193" i="27"/>
  <c r="N194" i="27"/>
  <c r="N195" i="27"/>
  <c r="N196" i="27"/>
  <c r="N197" i="27"/>
  <c r="N198" i="27"/>
  <c r="N199" i="27"/>
  <c r="N200" i="27"/>
  <c r="N201" i="27"/>
  <c r="N202" i="27"/>
  <c r="N203" i="27"/>
  <c r="N204" i="27"/>
  <c r="N205" i="27"/>
  <c r="N206" i="27"/>
  <c r="N207" i="27"/>
  <c r="N208" i="27"/>
  <c r="N209" i="27"/>
  <c r="N210" i="27"/>
  <c r="N211" i="27"/>
  <c r="N212" i="27"/>
  <c r="N213" i="27"/>
  <c r="N214" i="27"/>
  <c r="N215" i="27"/>
  <c r="N216" i="27"/>
  <c r="N217" i="27"/>
  <c r="N218" i="27"/>
  <c r="N219" i="27"/>
  <c r="N220" i="27"/>
  <c r="N221" i="27"/>
  <c r="N222" i="27"/>
  <c r="N223" i="27"/>
  <c r="N224" i="27"/>
  <c r="N225" i="27"/>
  <c r="N226" i="27"/>
  <c r="N227" i="27"/>
  <c r="N228" i="27"/>
  <c r="N229" i="27"/>
  <c r="N230" i="27"/>
  <c r="N231" i="27"/>
  <c r="N232" i="27"/>
  <c r="N233" i="27"/>
  <c r="N234" i="27"/>
  <c r="N235" i="27"/>
  <c r="N236" i="27"/>
  <c r="N237" i="27"/>
  <c r="N238" i="27"/>
  <c r="N239" i="27"/>
  <c r="N240" i="27"/>
  <c r="N241" i="27"/>
  <c r="N242" i="27"/>
  <c r="N243" i="27"/>
  <c r="N244" i="27"/>
  <c r="N245" i="27"/>
  <c r="N246" i="27"/>
  <c r="N247" i="27"/>
  <c r="N248" i="27"/>
  <c r="N249" i="27"/>
  <c r="N250" i="27"/>
  <c r="N251" i="27"/>
  <c r="N252" i="27"/>
  <c r="N253" i="27"/>
  <c r="N254" i="27"/>
  <c r="N255" i="27"/>
  <c r="N256" i="27"/>
  <c r="N257" i="27"/>
  <c r="N258" i="27"/>
  <c r="N259" i="27"/>
  <c r="N260" i="27"/>
  <c r="N261" i="27"/>
  <c r="N262" i="27"/>
  <c r="N263" i="27"/>
  <c r="N264" i="27"/>
  <c r="N265" i="27"/>
  <c r="N266" i="27"/>
  <c r="N267" i="27"/>
  <c r="N268" i="27"/>
  <c r="N269" i="27"/>
  <c r="N270" i="27"/>
  <c r="N271" i="27"/>
  <c r="N272" i="27"/>
  <c r="N273" i="27"/>
  <c r="N274" i="27"/>
  <c r="N275" i="27"/>
  <c r="N276" i="27"/>
  <c r="N277" i="27"/>
  <c r="N278" i="27"/>
  <c r="N279" i="27"/>
  <c r="N280" i="27"/>
  <c r="N281" i="27"/>
  <c r="AX125" i="4"/>
  <c r="R125" i="4"/>
  <c r="AW125" i="4" s="1"/>
  <c r="AX124" i="4"/>
  <c r="R124" i="4"/>
  <c r="AW124" i="4" s="1"/>
  <c r="AX123" i="4"/>
  <c r="R123" i="4"/>
  <c r="AW123" i="4" s="1"/>
  <c r="AX122" i="4"/>
  <c r="R122" i="4"/>
  <c r="AW122" i="4" s="1"/>
  <c r="R103" i="4"/>
  <c r="AW103" i="4" s="1"/>
  <c r="R104" i="4"/>
  <c r="AW104" i="4" s="1"/>
  <c r="R105" i="4"/>
  <c r="AW105" i="4" s="1"/>
  <c r="R106" i="4"/>
  <c r="AW106" i="4" s="1"/>
  <c r="AX102" i="4"/>
  <c r="AW102" i="4"/>
  <c r="AX101" i="4"/>
  <c r="R101" i="4"/>
  <c r="AW101" i="4" s="1"/>
  <c r="AX100" i="4"/>
  <c r="R100" i="4"/>
  <c r="AW100" i="4" s="1"/>
  <c r="AX99" i="4"/>
  <c r="R99" i="4"/>
  <c r="AW99" i="4" s="1"/>
  <c r="AX98" i="4"/>
  <c r="R98" i="4"/>
  <c r="AW98" i="4" s="1"/>
  <c r="AX97" i="4"/>
  <c r="R97" i="4"/>
  <c r="AW97" i="4" s="1"/>
  <c r="AX96" i="4"/>
  <c r="R96" i="4"/>
  <c r="AW96" i="4" s="1"/>
  <c r="AX95" i="4"/>
  <c r="R95" i="4"/>
  <c r="AW95" i="4" s="1"/>
  <c r="AX94" i="4"/>
  <c r="R94" i="4"/>
  <c r="AW94" i="4" s="1"/>
  <c r="AX93" i="4"/>
  <c r="R93" i="4"/>
  <c r="AW93" i="4" s="1"/>
  <c r="M6" i="24"/>
  <c r="M7" i="24"/>
  <c r="M8" i="24"/>
  <c r="M9" i="24"/>
  <c r="M10" i="24"/>
  <c r="M11" i="24"/>
  <c r="M12" i="24"/>
  <c r="M13" i="24"/>
  <c r="M14" i="24"/>
  <c r="M15" i="24"/>
  <c r="M16" i="24"/>
  <c r="M17" i="24"/>
  <c r="M18" i="24"/>
  <c r="M19" i="24"/>
  <c r="M20" i="24"/>
  <c r="M21" i="24"/>
  <c r="M22" i="24"/>
  <c r="M23" i="24"/>
  <c r="M24" i="24"/>
  <c r="M25" i="24"/>
  <c r="M26" i="24"/>
  <c r="M27" i="24"/>
  <c r="M28" i="24"/>
  <c r="M29" i="24"/>
  <c r="M30" i="24"/>
  <c r="M31" i="24"/>
  <c r="M32" i="24"/>
  <c r="M33" i="24"/>
  <c r="M34" i="24"/>
  <c r="M35" i="24"/>
  <c r="M36" i="24"/>
  <c r="M37" i="24"/>
  <c r="M38" i="24"/>
  <c r="M39" i="24"/>
  <c r="M40" i="24"/>
  <c r="M41" i="24"/>
  <c r="M42" i="24"/>
  <c r="M43" i="24"/>
  <c r="M44" i="24"/>
  <c r="M45" i="24"/>
  <c r="M46" i="24"/>
  <c r="M47" i="24"/>
  <c r="M48" i="24"/>
  <c r="M49" i="24"/>
  <c r="M50" i="24"/>
  <c r="M51" i="24"/>
  <c r="M52" i="24"/>
  <c r="M53" i="24"/>
  <c r="M54" i="24"/>
  <c r="M55" i="24"/>
  <c r="M56" i="24"/>
  <c r="M57" i="24"/>
  <c r="M58" i="24"/>
  <c r="M59" i="24"/>
  <c r="M60" i="24"/>
  <c r="M61" i="24"/>
  <c r="M62" i="24"/>
  <c r="M63" i="24"/>
  <c r="M64" i="24"/>
  <c r="M65" i="24"/>
  <c r="M66" i="24"/>
  <c r="M67" i="24"/>
  <c r="M68" i="24"/>
  <c r="M69" i="24"/>
  <c r="M70" i="24"/>
  <c r="M71" i="24"/>
  <c r="M72" i="24"/>
  <c r="M73" i="24"/>
  <c r="M74" i="24"/>
  <c r="M75" i="24"/>
  <c r="M76" i="24"/>
  <c r="M77" i="24"/>
  <c r="M78" i="24"/>
  <c r="M79" i="24"/>
  <c r="M80" i="24"/>
  <c r="M81" i="24"/>
  <c r="M82" i="24"/>
  <c r="M83" i="24"/>
  <c r="M84" i="24"/>
  <c r="M85" i="24"/>
  <c r="M86" i="24"/>
  <c r="M87" i="24"/>
  <c r="M88" i="24"/>
  <c r="M89" i="24"/>
  <c r="M90" i="24"/>
  <c r="M91" i="24"/>
  <c r="M92" i="24"/>
  <c r="M93" i="24"/>
  <c r="M94" i="24"/>
  <c r="M95" i="24"/>
  <c r="M96" i="24"/>
  <c r="M97" i="24"/>
  <c r="M98" i="24"/>
  <c r="M99" i="24"/>
  <c r="M100" i="24"/>
  <c r="M101" i="24"/>
  <c r="M102" i="24"/>
  <c r="M103" i="24"/>
  <c r="M104" i="24"/>
  <c r="M105" i="24"/>
  <c r="M106" i="24"/>
  <c r="M107" i="24"/>
  <c r="M108" i="24"/>
  <c r="M109" i="24"/>
  <c r="M110" i="24"/>
  <c r="M111" i="24"/>
  <c r="M112" i="24"/>
  <c r="M113" i="24"/>
  <c r="M114" i="24"/>
  <c r="M115" i="24"/>
  <c r="M116" i="24"/>
  <c r="M117" i="24"/>
  <c r="M118" i="24"/>
  <c r="M119" i="24"/>
  <c r="M120" i="24"/>
  <c r="M121" i="24"/>
  <c r="M122" i="24"/>
  <c r="M123" i="24"/>
  <c r="M124" i="24"/>
  <c r="M125" i="24"/>
  <c r="M126" i="24"/>
  <c r="M127" i="24"/>
  <c r="M128" i="24"/>
  <c r="M129" i="24"/>
  <c r="M130" i="24"/>
  <c r="M131" i="24"/>
  <c r="M132" i="24"/>
  <c r="M133" i="24"/>
  <c r="M134" i="24"/>
  <c r="M135" i="24"/>
  <c r="M136" i="24"/>
  <c r="M137" i="24"/>
  <c r="M138" i="24"/>
  <c r="M139" i="24"/>
  <c r="M140" i="24"/>
  <c r="M141" i="24"/>
  <c r="M142" i="24"/>
  <c r="M143" i="24"/>
  <c r="M144" i="24"/>
  <c r="M145" i="24"/>
  <c r="M146" i="24"/>
  <c r="M147" i="24"/>
  <c r="M148" i="24"/>
  <c r="M149" i="24"/>
  <c r="M150" i="24"/>
  <c r="M151" i="24"/>
  <c r="M152" i="24"/>
  <c r="M153" i="24"/>
  <c r="M154" i="24"/>
  <c r="M155" i="24"/>
  <c r="M156" i="24"/>
  <c r="M157" i="24"/>
  <c r="M158" i="24"/>
  <c r="M159" i="24"/>
  <c r="M160" i="24"/>
  <c r="M161" i="24"/>
  <c r="M162" i="24"/>
  <c r="M163" i="24"/>
  <c r="M164" i="24"/>
  <c r="M165" i="24"/>
  <c r="M166" i="24"/>
  <c r="M167" i="24"/>
  <c r="M168" i="24"/>
  <c r="M169" i="24"/>
  <c r="M170" i="24"/>
  <c r="M171" i="24"/>
  <c r="M172" i="24"/>
  <c r="M173" i="24"/>
  <c r="M174" i="24"/>
  <c r="M175" i="24"/>
  <c r="M176" i="24"/>
  <c r="M177" i="24"/>
  <c r="M178" i="24"/>
  <c r="M179" i="24"/>
  <c r="M180" i="24"/>
  <c r="M181" i="24"/>
  <c r="M182" i="24"/>
  <c r="M183" i="24"/>
  <c r="M184" i="24"/>
  <c r="M185" i="24"/>
  <c r="M186" i="24"/>
  <c r="M187" i="24"/>
  <c r="M188" i="24"/>
  <c r="M189" i="24"/>
  <c r="M190" i="24"/>
  <c r="M191" i="24"/>
  <c r="M192" i="24"/>
  <c r="M193" i="24"/>
  <c r="M194" i="24"/>
  <c r="M195" i="24"/>
  <c r="M196" i="24"/>
  <c r="M197" i="24"/>
  <c r="M198" i="24"/>
  <c r="M199" i="24"/>
  <c r="M200" i="24"/>
  <c r="M201" i="24"/>
  <c r="M202" i="24"/>
  <c r="M203" i="24"/>
  <c r="M204" i="24"/>
  <c r="M205" i="24"/>
  <c r="M206" i="24"/>
  <c r="M207" i="24"/>
  <c r="M208" i="24"/>
  <c r="M209" i="24"/>
  <c r="M210" i="24"/>
  <c r="M211" i="24"/>
  <c r="M212" i="24"/>
  <c r="M213" i="24"/>
  <c r="M214" i="24"/>
  <c r="M215" i="24"/>
  <c r="M216" i="24"/>
  <c r="M217" i="24"/>
  <c r="M218" i="24"/>
  <c r="M219" i="24"/>
  <c r="M220" i="24"/>
  <c r="M221" i="24"/>
  <c r="M222" i="24"/>
  <c r="M223" i="24"/>
  <c r="M224" i="24"/>
  <c r="M225" i="24"/>
  <c r="M226" i="24"/>
  <c r="M227" i="24"/>
  <c r="M228" i="24"/>
  <c r="M229" i="24"/>
  <c r="M230" i="24"/>
  <c r="M231" i="24"/>
  <c r="M232" i="24"/>
  <c r="M233" i="24"/>
  <c r="M234" i="24"/>
  <c r="M235" i="24"/>
  <c r="M236" i="24"/>
  <c r="M237" i="24"/>
  <c r="M238" i="24"/>
  <c r="M239" i="24"/>
  <c r="M240" i="24"/>
  <c r="M241" i="24"/>
  <c r="M242" i="24"/>
  <c r="M243" i="24"/>
  <c r="M244" i="24"/>
  <c r="M245" i="24"/>
  <c r="M246" i="24"/>
  <c r="M247" i="24"/>
  <c r="M248" i="24"/>
  <c r="M249" i="24"/>
  <c r="M250" i="24"/>
  <c r="M251" i="24"/>
  <c r="M252" i="24"/>
  <c r="M253" i="24"/>
  <c r="M254" i="24"/>
  <c r="M255" i="24"/>
  <c r="M256" i="24"/>
  <c r="M257" i="24"/>
  <c r="M258" i="24"/>
  <c r="M259" i="24"/>
  <c r="M260" i="24"/>
  <c r="M261" i="24"/>
  <c r="M262" i="24"/>
  <c r="M263" i="24"/>
  <c r="M5" i="24"/>
  <c r="N4" i="24"/>
  <c r="O4" i="24"/>
  <c r="P4" i="24"/>
  <c r="V4" i="15"/>
  <c r="R4" i="15" s="1"/>
  <c r="U3" i="15"/>
  <c r="U4" i="15"/>
  <c r="J36" i="23"/>
  <c r="J36" i="22"/>
  <c r="J36" i="21"/>
  <c r="J35" i="21"/>
  <c r="D12" i="23"/>
  <c r="D30" i="23" s="1"/>
  <c r="D12" i="21"/>
  <c r="D30" i="21" s="1"/>
  <c r="N143" i="27"/>
  <c r="N144" i="27"/>
  <c r="N145" i="27"/>
  <c r="N146" i="27"/>
  <c r="N147" i="27"/>
  <c r="N148" i="27"/>
  <c r="N149" i="27"/>
  <c r="N150" i="27"/>
  <c r="N151" i="27"/>
  <c r="N152" i="27"/>
  <c r="N153" i="27"/>
  <c r="N154" i="27"/>
  <c r="N129" i="27"/>
  <c r="N130" i="27"/>
  <c r="N131" i="27"/>
  <c r="N132" i="27"/>
  <c r="N133" i="27"/>
  <c r="N134" i="27"/>
  <c r="N135" i="27"/>
  <c r="N136" i="27"/>
  <c r="N137" i="27"/>
  <c r="N138" i="27"/>
  <c r="N139" i="27"/>
  <c r="N140" i="27"/>
  <c r="N141" i="27"/>
  <c r="N142" i="27"/>
  <c r="N61" i="27"/>
  <c r="N115" i="27"/>
  <c r="N116" i="27"/>
  <c r="N117" i="27"/>
  <c r="N118" i="27"/>
  <c r="N119" i="27"/>
  <c r="N120" i="27"/>
  <c r="N121" i="27"/>
  <c r="N122" i="27"/>
  <c r="N123" i="27"/>
  <c r="N124" i="27"/>
  <c r="N125" i="27"/>
  <c r="N126" i="27"/>
  <c r="N127" i="27"/>
  <c r="N128" i="27"/>
  <c r="R119" i="4"/>
  <c r="R118" i="4"/>
  <c r="R117" i="4"/>
  <c r="N4" i="27"/>
  <c r="G12" i="23"/>
  <c r="G12" i="22"/>
  <c r="D12" i="22"/>
  <c r="G12" i="21"/>
  <c r="N114" i="27"/>
  <c r="N113" i="27"/>
  <c r="N112" i="27"/>
  <c r="N111" i="27"/>
  <c r="N110" i="27"/>
  <c r="N109" i="27"/>
  <c r="N108" i="27"/>
  <c r="N107" i="27"/>
  <c r="N106" i="27"/>
  <c r="N105" i="27"/>
  <c r="N104" i="27"/>
  <c r="N103" i="27"/>
  <c r="N102" i="27"/>
  <c r="N101" i="27"/>
  <c r="N100" i="27"/>
  <c r="N99" i="27"/>
  <c r="N98" i="27"/>
  <c r="N97" i="27"/>
  <c r="N96" i="27"/>
  <c r="N95" i="27"/>
  <c r="N94" i="27"/>
  <c r="N93" i="27"/>
  <c r="N92" i="27"/>
  <c r="N91" i="27"/>
  <c r="N90" i="27"/>
  <c r="N89" i="27"/>
  <c r="N88" i="27"/>
  <c r="N87" i="27"/>
  <c r="N86" i="27"/>
  <c r="N85" i="27"/>
  <c r="N84" i="27"/>
  <c r="N83" i="27"/>
  <c r="N82" i="27"/>
  <c r="N81" i="27"/>
  <c r="N80" i="27"/>
  <c r="N79" i="27"/>
  <c r="N78" i="27"/>
  <c r="N77" i="27"/>
  <c r="N76" i="27"/>
  <c r="N75" i="27"/>
  <c r="N74" i="27"/>
  <c r="N73" i="27"/>
  <c r="N72" i="27"/>
  <c r="N71" i="27"/>
  <c r="N70" i="27"/>
  <c r="N69" i="27"/>
  <c r="N68" i="27"/>
  <c r="N67" i="27"/>
  <c r="N66" i="27"/>
  <c r="N65" i="27"/>
  <c r="N64" i="27"/>
  <c r="N63" i="27"/>
  <c r="N62" i="27"/>
  <c r="N60" i="27"/>
  <c r="N59" i="27"/>
  <c r="N58" i="27"/>
  <c r="N57" i="27"/>
  <c r="N56" i="27"/>
  <c r="N55" i="27"/>
  <c r="N54" i="27"/>
  <c r="N53" i="27"/>
  <c r="N52" i="27"/>
  <c r="N51" i="27"/>
  <c r="N50" i="27"/>
  <c r="N49" i="27"/>
  <c r="N48" i="27"/>
  <c r="N47" i="27"/>
  <c r="N46" i="27"/>
  <c r="N45" i="27"/>
  <c r="N44" i="27"/>
  <c r="N43" i="27"/>
  <c r="N42" i="27"/>
  <c r="N41" i="27"/>
  <c r="N40" i="27"/>
  <c r="N39" i="27"/>
  <c r="N38" i="27"/>
  <c r="N37" i="27"/>
  <c r="N36" i="27"/>
  <c r="N35" i="27"/>
  <c r="N34" i="27"/>
  <c r="N33" i="27"/>
  <c r="N32" i="27"/>
  <c r="N31" i="27"/>
  <c r="N30" i="27"/>
  <c r="N29" i="27"/>
  <c r="N28" i="27"/>
  <c r="N27" i="27"/>
  <c r="N26" i="27"/>
  <c r="N25" i="27"/>
  <c r="N24" i="27"/>
  <c r="N23" i="27"/>
  <c r="N22" i="27"/>
  <c r="N21" i="27"/>
  <c r="N20" i="27"/>
  <c r="N19" i="27"/>
  <c r="N18" i="27"/>
  <c r="N17" i="27"/>
  <c r="N16" i="27"/>
  <c r="N15" i="27"/>
  <c r="N14" i="27"/>
  <c r="N13" i="27"/>
  <c r="N12" i="27"/>
  <c r="N11" i="27"/>
  <c r="N10" i="27"/>
  <c r="N9" i="27"/>
  <c r="N8" i="27"/>
  <c r="N7" i="27"/>
  <c r="N6" i="27"/>
  <c r="N5" i="27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107" i="4"/>
  <c r="AW107" i="4" s="1"/>
  <c r="R108" i="4"/>
  <c r="R109" i="4"/>
  <c r="R110" i="4"/>
  <c r="R111" i="4"/>
  <c r="R112" i="4"/>
  <c r="R113" i="4"/>
  <c r="R114" i="4"/>
  <c r="R115" i="4"/>
  <c r="R116" i="4"/>
  <c r="R120" i="4"/>
  <c r="R121" i="4"/>
  <c r="R215" i="4"/>
  <c r="R216" i="4"/>
  <c r="AW216" i="4" s="1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231" i="4"/>
  <c r="R232" i="4"/>
  <c r="R23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63" i="4"/>
  <c r="R264" i="4"/>
  <c r="R5" i="4" l="1"/>
  <c r="AW12" i="4"/>
  <c r="A14" i="26"/>
  <c r="B14" i="26"/>
  <c r="C14" i="26"/>
  <c r="E14" i="26"/>
  <c r="H14" i="26"/>
  <c r="K14" i="26"/>
  <c r="A15" i="26"/>
  <c r="B15" i="26"/>
  <c r="C15" i="26"/>
  <c r="E15" i="26"/>
  <c r="H15" i="26"/>
  <c r="K15" i="26"/>
  <c r="A16" i="26"/>
  <c r="B16" i="26"/>
  <c r="C16" i="26"/>
  <c r="E16" i="26"/>
  <c r="H16" i="26"/>
  <c r="K16" i="26"/>
  <c r="A17" i="26"/>
  <c r="B17" i="26"/>
  <c r="C17" i="26"/>
  <c r="E17" i="26"/>
  <c r="H17" i="26"/>
  <c r="K17" i="26"/>
  <c r="A18" i="26"/>
  <c r="B18" i="26"/>
  <c r="C18" i="26"/>
  <c r="E18" i="26"/>
  <c r="H18" i="26"/>
  <c r="K18" i="26"/>
  <c r="A19" i="26"/>
  <c r="B19" i="26"/>
  <c r="C19" i="26"/>
  <c r="E19" i="26"/>
  <c r="H19" i="26"/>
  <c r="K19" i="26"/>
  <c r="A20" i="26"/>
  <c r="B20" i="26"/>
  <c r="C20" i="26"/>
  <c r="E20" i="26"/>
  <c r="H20" i="26"/>
  <c r="K20" i="26"/>
  <c r="A21" i="26"/>
  <c r="B21" i="26"/>
  <c r="C21" i="26"/>
  <c r="E21" i="26"/>
  <c r="H21" i="26"/>
  <c r="K21" i="26"/>
  <c r="A22" i="26"/>
  <c r="B22" i="26"/>
  <c r="C22" i="26"/>
  <c r="E22" i="26"/>
  <c r="H22" i="26"/>
  <c r="K22" i="26"/>
  <c r="A23" i="26"/>
  <c r="B23" i="26"/>
  <c r="C23" i="26"/>
  <c r="E23" i="26"/>
  <c r="H23" i="26"/>
  <c r="K23" i="26"/>
  <c r="A24" i="26"/>
  <c r="B24" i="26"/>
  <c r="C24" i="26"/>
  <c r="E24" i="26"/>
  <c r="H24" i="26"/>
  <c r="K24" i="26"/>
  <c r="A25" i="26"/>
  <c r="B25" i="26"/>
  <c r="C25" i="26"/>
  <c r="E25" i="26"/>
  <c r="H25" i="26"/>
  <c r="K25" i="26"/>
  <c r="A26" i="26"/>
  <c r="B26" i="26"/>
  <c r="C26" i="26"/>
  <c r="E26" i="26"/>
  <c r="H26" i="26"/>
  <c r="K26" i="26"/>
  <c r="A27" i="26"/>
  <c r="B27" i="26"/>
  <c r="C27" i="26"/>
  <c r="E27" i="26"/>
  <c r="H27" i="26"/>
  <c r="K27" i="26"/>
  <c r="A28" i="26"/>
  <c r="B28" i="26"/>
  <c r="C28" i="26"/>
  <c r="E28" i="26"/>
  <c r="H28" i="26"/>
  <c r="K28" i="26"/>
  <c r="A29" i="26"/>
  <c r="B29" i="26"/>
  <c r="C29" i="26"/>
  <c r="E29" i="26"/>
  <c r="H29" i="26"/>
  <c r="K29" i="26"/>
  <c r="A30" i="26"/>
  <c r="B30" i="26"/>
  <c r="C30" i="26"/>
  <c r="E30" i="26"/>
  <c r="H30" i="26"/>
  <c r="K30" i="26"/>
  <c r="A31" i="26"/>
  <c r="B31" i="26"/>
  <c r="C31" i="26"/>
  <c r="E31" i="26"/>
  <c r="H31" i="26"/>
  <c r="K31" i="26"/>
  <c r="A32" i="26"/>
  <c r="B32" i="26"/>
  <c r="C32" i="26"/>
  <c r="E32" i="26"/>
  <c r="H32" i="26"/>
  <c r="K32" i="26"/>
  <c r="A33" i="26"/>
  <c r="B33" i="26"/>
  <c r="C33" i="26"/>
  <c r="E33" i="26"/>
  <c r="H33" i="26"/>
  <c r="K33" i="26"/>
  <c r="A34" i="26"/>
  <c r="B34" i="26"/>
  <c r="C34" i="26"/>
  <c r="E34" i="26"/>
  <c r="H34" i="26"/>
  <c r="K34" i="26"/>
  <c r="A35" i="26"/>
  <c r="B35" i="26"/>
  <c r="C35" i="26"/>
  <c r="E35" i="26"/>
  <c r="H35" i="26"/>
  <c r="K35" i="26"/>
  <c r="A36" i="26"/>
  <c r="B36" i="26"/>
  <c r="C36" i="26"/>
  <c r="E36" i="26"/>
  <c r="H36" i="26"/>
  <c r="K36" i="26"/>
  <c r="A37" i="26"/>
  <c r="B37" i="26"/>
  <c r="C37" i="26"/>
  <c r="E37" i="26"/>
  <c r="H37" i="26"/>
  <c r="K37" i="26"/>
  <c r="A38" i="26"/>
  <c r="B38" i="26"/>
  <c r="C38" i="26"/>
  <c r="E38" i="26"/>
  <c r="H38" i="26"/>
  <c r="K38" i="26"/>
  <c r="A39" i="26"/>
  <c r="B39" i="26"/>
  <c r="C39" i="26"/>
  <c r="E39" i="26"/>
  <c r="H39" i="26"/>
  <c r="K39" i="26"/>
  <c r="A40" i="26"/>
  <c r="B40" i="26"/>
  <c r="C40" i="26"/>
  <c r="E40" i="26"/>
  <c r="H40" i="26"/>
  <c r="K40" i="26"/>
  <c r="A41" i="26"/>
  <c r="B41" i="26"/>
  <c r="C41" i="26"/>
  <c r="E41" i="26"/>
  <c r="H41" i="26"/>
  <c r="K41" i="26"/>
  <c r="A42" i="26"/>
  <c r="B42" i="26"/>
  <c r="C42" i="26"/>
  <c r="E42" i="26"/>
  <c r="H42" i="26"/>
  <c r="K42" i="26"/>
  <c r="A43" i="26"/>
  <c r="B43" i="26"/>
  <c r="C43" i="26"/>
  <c r="E43" i="26"/>
  <c r="H43" i="26"/>
  <c r="K43" i="26"/>
  <c r="A44" i="26"/>
  <c r="B44" i="26"/>
  <c r="C44" i="26"/>
  <c r="E44" i="26"/>
  <c r="H44" i="26"/>
  <c r="K44" i="26"/>
  <c r="A45" i="26"/>
  <c r="B45" i="26"/>
  <c r="C45" i="26"/>
  <c r="E45" i="26"/>
  <c r="H45" i="26"/>
  <c r="K45" i="26"/>
  <c r="A46" i="26"/>
  <c r="B46" i="26"/>
  <c r="C46" i="26"/>
  <c r="E46" i="26"/>
  <c r="H46" i="26"/>
  <c r="K46" i="26"/>
  <c r="A47" i="26"/>
  <c r="B47" i="26"/>
  <c r="C47" i="26"/>
  <c r="E47" i="26"/>
  <c r="H47" i="26"/>
  <c r="K47" i="26"/>
  <c r="A48" i="26"/>
  <c r="B48" i="26"/>
  <c r="C48" i="26"/>
  <c r="E48" i="26"/>
  <c r="H48" i="26"/>
  <c r="K48" i="26"/>
  <c r="A49" i="26"/>
  <c r="B49" i="26"/>
  <c r="C49" i="26"/>
  <c r="E49" i="26"/>
  <c r="H49" i="26"/>
  <c r="K49" i="26"/>
  <c r="A50" i="26"/>
  <c r="B50" i="26"/>
  <c r="C50" i="26"/>
  <c r="E50" i="26"/>
  <c r="H50" i="26"/>
  <c r="K50" i="26"/>
  <c r="A51" i="26"/>
  <c r="B51" i="26"/>
  <c r="C51" i="26"/>
  <c r="E51" i="26"/>
  <c r="H51" i="26"/>
  <c r="K51" i="26"/>
  <c r="A52" i="26"/>
  <c r="B52" i="26"/>
  <c r="C52" i="26"/>
  <c r="E52" i="26"/>
  <c r="H52" i="26"/>
  <c r="K52" i="26"/>
  <c r="A53" i="26"/>
  <c r="B53" i="26"/>
  <c r="C53" i="26"/>
  <c r="E53" i="26"/>
  <c r="H53" i="26"/>
  <c r="K53" i="26"/>
  <c r="A54" i="26"/>
  <c r="B54" i="26"/>
  <c r="C54" i="26"/>
  <c r="E54" i="26"/>
  <c r="H54" i="26"/>
  <c r="K54" i="26"/>
  <c r="A55" i="26"/>
  <c r="B55" i="26"/>
  <c r="C55" i="26"/>
  <c r="E55" i="26"/>
  <c r="H55" i="26"/>
  <c r="K55" i="26"/>
  <c r="A56" i="26"/>
  <c r="B56" i="26"/>
  <c r="C56" i="26"/>
  <c r="E56" i="26"/>
  <c r="H56" i="26"/>
  <c r="K56" i="26"/>
  <c r="A57" i="26"/>
  <c r="B57" i="26"/>
  <c r="C57" i="26"/>
  <c r="E57" i="26"/>
  <c r="H57" i="26"/>
  <c r="K57" i="26"/>
  <c r="A58" i="26"/>
  <c r="B58" i="26"/>
  <c r="C58" i="26"/>
  <c r="E58" i="26"/>
  <c r="H58" i="26"/>
  <c r="K58" i="26"/>
  <c r="A59" i="26"/>
  <c r="B59" i="26"/>
  <c r="C59" i="26"/>
  <c r="E59" i="26"/>
  <c r="H59" i="26"/>
  <c r="K59" i="26"/>
  <c r="A60" i="26"/>
  <c r="B60" i="26"/>
  <c r="C60" i="26"/>
  <c r="E60" i="26"/>
  <c r="H60" i="26"/>
  <c r="K60" i="26"/>
  <c r="A61" i="26"/>
  <c r="B61" i="26"/>
  <c r="C61" i="26"/>
  <c r="E61" i="26"/>
  <c r="H61" i="26"/>
  <c r="K61" i="26"/>
  <c r="A62" i="26"/>
  <c r="B62" i="26"/>
  <c r="C62" i="26"/>
  <c r="E62" i="26"/>
  <c r="H62" i="26"/>
  <c r="K62" i="26"/>
  <c r="A63" i="26"/>
  <c r="B63" i="26"/>
  <c r="C63" i="26"/>
  <c r="E63" i="26"/>
  <c r="H63" i="26"/>
  <c r="K63" i="26"/>
  <c r="A64" i="26"/>
  <c r="B64" i="26"/>
  <c r="C64" i="26"/>
  <c r="E64" i="26"/>
  <c r="H64" i="26"/>
  <c r="K64" i="26"/>
  <c r="A65" i="26"/>
  <c r="B65" i="26"/>
  <c r="C65" i="26"/>
  <c r="E65" i="26"/>
  <c r="H65" i="26"/>
  <c r="K65" i="26"/>
  <c r="A66" i="26"/>
  <c r="B66" i="26"/>
  <c r="C66" i="26"/>
  <c r="E66" i="26"/>
  <c r="H66" i="26"/>
  <c r="K66" i="26"/>
  <c r="A67" i="26"/>
  <c r="B67" i="26"/>
  <c r="C67" i="26"/>
  <c r="E67" i="26"/>
  <c r="H67" i="26"/>
  <c r="K67" i="26"/>
  <c r="A68" i="26"/>
  <c r="B68" i="26"/>
  <c r="C68" i="26"/>
  <c r="E68" i="26"/>
  <c r="H68" i="26"/>
  <c r="K68" i="26"/>
  <c r="A69" i="26"/>
  <c r="B69" i="26"/>
  <c r="C69" i="26"/>
  <c r="E69" i="26"/>
  <c r="H69" i="26"/>
  <c r="K69" i="26"/>
  <c r="A70" i="26"/>
  <c r="B70" i="26"/>
  <c r="C70" i="26"/>
  <c r="E70" i="26"/>
  <c r="H70" i="26"/>
  <c r="K70" i="26"/>
  <c r="A71" i="26"/>
  <c r="B71" i="26"/>
  <c r="C71" i="26"/>
  <c r="E71" i="26"/>
  <c r="H71" i="26"/>
  <c r="K71" i="26"/>
  <c r="A72" i="26"/>
  <c r="B72" i="26"/>
  <c r="C72" i="26"/>
  <c r="E72" i="26"/>
  <c r="H72" i="26"/>
  <c r="K72" i="26"/>
  <c r="A73" i="26"/>
  <c r="B73" i="26"/>
  <c r="C73" i="26"/>
  <c r="E73" i="26"/>
  <c r="H73" i="26"/>
  <c r="K73" i="26"/>
  <c r="A74" i="26"/>
  <c r="B74" i="26"/>
  <c r="C74" i="26"/>
  <c r="E74" i="26"/>
  <c r="H74" i="26"/>
  <c r="K74" i="26"/>
  <c r="A75" i="26"/>
  <c r="B75" i="26"/>
  <c r="C75" i="26"/>
  <c r="E75" i="26"/>
  <c r="H75" i="26"/>
  <c r="K75" i="26"/>
  <c r="A76" i="26"/>
  <c r="B76" i="26"/>
  <c r="C76" i="26"/>
  <c r="E76" i="26"/>
  <c r="H76" i="26"/>
  <c r="K76" i="26"/>
  <c r="A77" i="26"/>
  <c r="B77" i="26"/>
  <c r="C77" i="26"/>
  <c r="E77" i="26"/>
  <c r="H77" i="26"/>
  <c r="K77" i="26"/>
  <c r="A78" i="26"/>
  <c r="B78" i="26"/>
  <c r="C78" i="26"/>
  <c r="E78" i="26"/>
  <c r="H78" i="26"/>
  <c r="K78" i="26"/>
  <c r="A79" i="26"/>
  <c r="B79" i="26"/>
  <c r="C79" i="26"/>
  <c r="E79" i="26"/>
  <c r="H79" i="26"/>
  <c r="K79" i="26"/>
  <c r="A80" i="26"/>
  <c r="B80" i="26"/>
  <c r="C80" i="26"/>
  <c r="E80" i="26"/>
  <c r="H80" i="26"/>
  <c r="K80" i="26"/>
  <c r="A81" i="26"/>
  <c r="B81" i="26"/>
  <c r="C81" i="26"/>
  <c r="E81" i="26"/>
  <c r="H81" i="26"/>
  <c r="K81" i="26"/>
  <c r="A82" i="26"/>
  <c r="B82" i="26"/>
  <c r="C82" i="26"/>
  <c r="E82" i="26"/>
  <c r="H82" i="26"/>
  <c r="K82" i="26"/>
  <c r="A83" i="26"/>
  <c r="B83" i="26"/>
  <c r="C83" i="26"/>
  <c r="E83" i="26"/>
  <c r="H83" i="26"/>
  <c r="K83" i="26"/>
  <c r="A84" i="26"/>
  <c r="B84" i="26"/>
  <c r="C84" i="26"/>
  <c r="E84" i="26"/>
  <c r="H84" i="26"/>
  <c r="K84" i="26"/>
  <c r="A85" i="26"/>
  <c r="B85" i="26"/>
  <c r="C85" i="26"/>
  <c r="E85" i="26"/>
  <c r="H85" i="26"/>
  <c r="K85" i="26"/>
  <c r="A86" i="26"/>
  <c r="B86" i="26"/>
  <c r="C86" i="26"/>
  <c r="E86" i="26"/>
  <c r="H86" i="26"/>
  <c r="K86" i="26"/>
  <c r="A87" i="26"/>
  <c r="B87" i="26"/>
  <c r="C87" i="26"/>
  <c r="E87" i="26"/>
  <c r="H87" i="26"/>
  <c r="K87" i="26"/>
  <c r="A88" i="26"/>
  <c r="B88" i="26"/>
  <c r="C88" i="26"/>
  <c r="E88" i="26"/>
  <c r="H88" i="26"/>
  <c r="K88" i="26"/>
  <c r="A89" i="26"/>
  <c r="B89" i="26"/>
  <c r="C89" i="26"/>
  <c r="E89" i="26"/>
  <c r="H89" i="26"/>
  <c r="K89" i="26"/>
  <c r="A90" i="26"/>
  <c r="B90" i="26"/>
  <c r="C90" i="26"/>
  <c r="E90" i="26"/>
  <c r="H90" i="26"/>
  <c r="K90" i="26"/>
  <c r="A91" i="26"/>
  <c r="B91" i="26"/>
  <c r="C91" i="26"/>
  <c r="E91" i="26"/>
  <c r="H91" i="26"/>
  <c r="K91" i="26"/>
  <c r="A92" i="26"/>
  <c r="B92" i="26"/>
  <c r="C92" i="26"/>
  <c r="E92" i="26"/>
  <c r="H92" i="26"/>
  <c r="K92" i="26"/>
  <c r="A93" i="26"/>
  <c r="B93" i="26"/>
  <c r="C93" i="26"/>
  <c r="E93" i="26"/>
  <c r="H93" i="26"/>
  <c r="K93" i="26"/>
  <c r="A94" i="26"/>
  <c r="B94" i="26"/>
  <c r="C94" i="26"/>
  <c r="E94" i="26"/>
  <c r="H94" i="26"/>
  <c r="K94" i="26"/>
  <c r="A95" i="26"/>
  <c r="B95" i="26"/>
  <c r="C95" i="26"/>
  <c r="E95" i="26"/>
  <c r="H95" i="26"/>
  <c r="K95" i="26"/>
  <c r="A96" i="26"/>
  <c r="B96" i="26"/>
  <c r="C96" i="26"/>
  <c r="E96" i="26"/>
  <c r="H96" i="26"/>
  <c r="A97" i="26"/>
  <c r="B97" i="26"/>
  <c r="C97" i="26"/>
  <c r="E97" i="26"/>
  <c r="H97" i="26"/>
  <c r="K97" i="26"/>
  <c r="A98" i="26"/>
  <c r="B98" i="26"/>
  <c r="C98" i="26"/>
  <c r="E98" i="26"/>
  <c r="H98" i="26"/>
  <c r="K98" i="26"/>
  <c r="A99" i="26"/>
  <c r="B99" i="26"/>
  <c r="C99" i="26"/>
  <c r="E99" i="26"/>
  <c r="H99" i="26"/>
  <c r="A100" i="26"/>
  <c r="B100" i="26"/>
  <c r="C100" i="26"/>
  <c r="E100" i="26"/>
  <c r="H100" i="26"/>
  <c r="K100" i="26"/>
  <c r="A101" i="26"/>
  <c r="B101" i="26"/>
  <c r="C101" i="26"/>
  <c r="E101" i="26"/>
  <c r="H101" i="26"/>
  <c r="K101" i="26"/>
  <c r="A102" i="26"/>
  <c r="B102" i="26"/>
  <c r="C102" i="26"/>
  <c r="E102" i="26"/>
  <c r="H102" i="26"/>
  <c r="K102" i="26"/>
  <c r="A103" i="26"/>
  <c r="B103" i="26"/>
  <c r="C103" i="26"/>
  <c r="E103" i="26"/>
  <c r="H103" i="26"/>
  <c r="K103" i="26"/>
  <c r="A104" i="26"/>
  <c r="B104" i="26"/>
  <c r="C104" i="26"/>
  <c r="E104" i="26"/>
  <c r="H104" i="26"/>
  <c r="K104" i="26"/>
  <c r="A105" i="26"/>
  <c r="B105" i="26"/>
  <c r="C105" i="26"/>
  <c r="E105" i="26"/>
  <c r="H105" i="26"/>
  <c r="K105" i="26"/>
  <c r="A106" i="26"/>
  <c r="B106" i="26"/>
  <c r="C106" i="26"/>
  <c r="E106" i="26"/>
  <c r="H106" i="26"/>
  <c r="K106" i="26"/>
  <c r="A107" i="26"/>
  <c r="B107" i="26"/>
  <c r="C107" i="26"/>
  <c r="E107" i="26"/>
  <c r="H107" i="26"/>
  <c r="K107" i="26"/>
  <c r="A108" i="26"/>
  <c r="B108" i="26"/>
  <c r="C108" i="26"/>
  <c r="E108" i="26"/>
  <c r="H108" i="26"/>
  <c r="K108" i="26"/>
  <c r="A109" i="26"/>
  <c r="B109" i="26"/>
  <c r="C109" i="26"/>
  <c r="E109" i="26"/>
  <c r="H109" i="26"/>
  <c r="K109" i="26"/>
  <c r="A110" i="26"/>
  <c r="B110" i="26"/>
  <c r="C110" i="26"/>
  <c r="E110" i="26"/>
  <c r="H110" i="26"/>
  <c r="K110" i="26"/>
  <c r="A111" i="26"/>
  <c r="B111" i="26"/>
  <c r="C111" i="26"/>
  <c r="E111" i="26"/>
  <c r="H111" i="26"/>
  <c r="K111" i="26"/>
  <c r="A112" i="26"/>
  <c r="B112" i="26"/>
  <c r="C112" i="26"/>
  <c r="E112" i="26"/>
  <c r="H112" i="26"/>
  <c r="K112" i="26"/>
  <c r="A113" i="26"/>
  <c r="B113" i="26"/>
  <c r="C113" i="26"/>
  <c r="E113" i="26"/>
  <c r="H113" i="26"/>
  <c r="K113" i="26"/>
  <c r="A114" i="26"/>
  <c r="B114" i="26"/>
  <c r="C114" i="26"/>
  <c r="E114" i="26"/>
  <c r="H114" i="26"/>
  <c r="K114" i="26"/>
  <c r="A115" i="26"/>
  <c r="B115" i="26"/>
  <c r="C115" i="26"/>
  <c r="E115" i="26"/>
  <c r="H115" i="26"/>
  <c r="K115" i="26"/>
  <c r="A116" i="26"/>
  <c r="B116" i="26"/>
  <c r="C116" i="26"/>
  <c r="E116" i="26"/>
  <c r="H116" i="26"/>
  <c r="K116" i="26"/>
  <c r="A117" i="26"/>
  <c r="B117" i="26"/>
  <c r="C117" i="26"/>
  <c r="E117" i="26"/>
  <c r="H117" i="26"/>
  <c r="K117" i="26"/>
  <c r="A118" i="26"/>
  <c r="B118" i="26"/>
  <c r="C118" i="26"/>
  <c r="E118" i="26"/>
  <c r="H118" i="26"/>
  <c r="K118" i="26"/>
  <c r="A119" i="26"/>
  <c r="B119" i="26"/>
  <c r="C119" i="26"/>
  <c r="E119" i="26"/>
  <c r="H119" i="26"/>
  <c r="K119" i="26"/>
  <c r="A120" i="26"/>
  <c r="B120" i="26"/>
  <c r="C120" i="26"/>
  <c r="E120" i="26"/>
  <c r="H120" i="26"/>
  <c r="K120" i="26"/>
  <c r="A121" i="26"/>
  <c r="B121" i="26"/>
  <c r="C121" i="26"/>
  <c r="E121" i="26"/>
  <c r="H121" i="26"/>
  <c r="K121" i="26"/>
  <c r="A122" i="26"/>
  <c r="B122" i="26"/>
  <c r="C122" i="26"/>
  <c r="E122" i="26"/>
  <c r="H122" i="26"/>
  <c r="K122" i="26"/>
  <c r="A123" i="26"/>
  <c r="B123" i="26"/>
  <c r="C123" i="26"/>
  <c r="E123" i="26"/>
  <c r="H123" i="26"/>
  <c r="K123" i="26"/>
  <c r="A124" i="26"/>
  <c r="B124" i="26"/>
  <c r="C124" i="26"/>
  <c r="E124" i="26"/>
  <c r="H124" i="26"/>
  <c r="K124" i="26"/>
  <c r="A125" i="26"/>
  <c r="B125" i="26"/>
  <c r="C125" i="26"/>
  <c r="E125" i="26"/>
  <c r="H125" i="26"/>
  <c r="K125" i="26"/>
  <c r="A126" i="26"/>
  <c r="B126" i="26"/>
  <c r="C126" i="26"/>
  <c r="E126" i="26"/>
  <c r="H126" i="26"/>
  <c r="K126" i="26"/>
  <c r="A127" i="26"/>
  <c r="B127" i="26"/>
  <c r="C127" i="26"/>
  <c r="E127" i="26"/>
  <c r="H127" i="26"/>
  <c r="K127" i="26"/>
  <c r="A128" i="26"/>
  <c r="B128" i="26"/>
  <c r="C128" i="26"/>
  <c r="E128" i="26"/>
  <c r="H128" i="26"/>
  <c r="K128" i="26"/>
  <c r="A129" i="26"/>
  <c r="B129" i="26"/>
  <c r="C129" i="26"/>
  <c r="E129" i="26"/>
  <c r="H129" i="26"/>
  <c r="K129" i="26"/>
  <c r="A130" i="26"/>
  <c r="B130" i="26"/>
  <c r="C130" i="26"/>
  <c r="E130" i="26"/>
  <c r="H130" i="26"/>
  <c r="K130" i="26"/>
  <c r="A131" i="26"/>
  <c r="B131" i="26"/>
  <c r="C131" i="26"/>
  <c r="E131" i="26"/>
  <c r="H131" i="26"/>
  <c r="K131" i="26"/>
  <c r="A132" i="26"/>
  <c r="B132" i="26"/>
  <c r="C132" i="26"/>
  <c r="E132" i="26"/>
  <c r="H132" i="26"/>
  <c r="K132" i="26"/>
  <c r="A133" i="26"/>
  <c r="B133" i="26"/>
  <c r="C133" i="26"/>
  <c r="E133" i="26"/>
  <c r="H133" i="26"/>
  <c r="K133" i="26"/>
  <c r="A134" i="26"/>
  <c r="B134" i="26"/>
  <c r="C134" i="26"/>
  <c r="E134" i="26"/>
  <c r="H134" i="26"/>
  <c r="K134" i="26"/>
  <c r="A135" i="26"/>
  <c r="B135" i="26"/>
  <c r="C135" i="26"/>
  <c r="E135" i="26"/>
  <c r="H135" i="26"/>
  <c r="K135" i="26"/>
  <c r="A136" i="26"/>
  <c r="B136" i="26"/>
  <c r="C136" i="26"/>
  <c r="E136" i="26"/>
  <c r="H136" i="26"/>
  <c r="K136" i="26"/>
  <c r="A137" i="26"/>
  <c r="B137" i="26"/>
  <c r="C137" i="26"/>
  <c r="E137" i="26"/>
  <c r="H137" i="26"/>
  <c r="K137" i="26"/>
  <c r="A138" i="26"/>
  <c r="B138" i="26"/>
  <c r="C138" i="26"/>
  <c r="E138" i="26"/>
  <c r="H138" i="26"/>
  <c r="K138" i="26"/>
  <c r="A139" i="26"/>
  <c r="B139" i="26"/>
  <c r="C139" i="26"/>
  <c r="E139" i="26"/>
  <c r="H139" i="26"/>
  <c r="K139" i="26"/>
  <c r="A140" i="26"/>
  <c r="B140" i="26"/>
  <c r="C140" i="26"/>
  <c r="E140" i="26"/>
  <c r="H140" i="26"/>
  <c r="K140" i="26"/>
  <c r="A141" i="26"/>
  <c r="B141" i="26"/>
  <c r="C141" i="26"/>
  <c r="E141" i="26"/>
  <c r="H141" i="26"/>
  <c r="K141" i="26"/>
  <c r="A142" i="26"/>
  <c r="B142" i="26"/>
  <c r="C142" i="26"/>
  <c r="E142" i="26"/>
  <c r="H142" i="26"/>
  <c r="K142" i="26"/>
  <c r="A143" i="26"/>
  <c r="B143" i="26"/>
  <c r="C143" i="26"/>
  <c r="E143" i="26"/>
  <c r="H143" i="26"/>
  <c r="K143" i="26"/>
  <c r="A144" i="26"/>
  <c r="B144" i="26"/>
  <c r="C144" i="26"/>
  <c r="E144" i="26"/>
  <c r="H144" i="26"/>
  <c r="K144" i="26"/>
  <c r="A145" i="26"/>
  <c r="B145" i="26"/>
  <c r="C145" i="26"/>
  <c r="E145" i="26"/>
  <c r="H145" i="26"/>
  <c r="K145" i="26"/>
  <c r="A146" i="26"/>
  <c r="B146" i="26"/>
  <c r="C146" i="26"/>
  <c r="E146" i="26"/>
  <c r="H146" i="26"/>
  <c r="K146" i="26"/>
  <c r="A147" i="26"/>
  <c r="B147" i="26"/>
  <c r="C147" i="26"/>
  <c r="E147" i="26"/>
  <c r="H147" i="26"/>
  <c r="K147" i="26"/>
  <c r="A148" i="26"/>
  <c r="B148" i="26"/>
  <c r="C148" i="26"/>
  <c r="E148" i="26"/>
  <c r="H148" i="26"/>
  <c r="K148" i="26"/>
  <c r="A149" i="26"/>
  <c r="B149" i="26"/>
  <c r="C149" i="26"/>
  <c r="E149" i="26"/>
  <c r="H149" i="26"/>
  <c r="K149" i="26"/>
  <c r="A150" i="26"/>
  <c r="B150" i="26"/>
  <c r="C150" i="26"/>
  <c r="E150" i="26"/>
  <c r="H150" i="26"/>
  <c r="K150" i="26"/>
  <c r="A151" i="26"/>
  <c r="B151" i="26"/>
  <c r="C151" i="26"/>
  <c r="E151" i="26"/>
  <c r="H151" i="26"/>
  <c r="K151" i="26"/>
  <c r="A152" i="26"/>
  <c r="B152" i="26"/>
  <c r="C152" i="26"/>
  <c r="E152" i="26"/>
  <c r="H152" i="26"/>
  <c r="K152" i="26"/>
  <c r="A153" i="26"/>
  <c r="B153" i="26"/>
  <c r="C153" i="26"/>
  <c r="E153" i="26"/>
  <c r="H153" i="26"/>
  <c r="K153" i="26"/>
  <c r="A154" i="26"/>
  <c r="B154" i="26"/>
  <c r="C154" i="26"/>
  <c r="E154" i="26"/>
  <c r="H154" i="26"/>
  <c r="K154" i="26"/>
  <c r="A155" i="26"/>
  <c r="B155" i="26"/>
  <c r="C155" i="26"/>
  <c r="E155" i="26"/>
  <c r="H155" i="26"/>
  <c r="K155" i="26"/>
  <c r="A156" i="26"/>
  <c r="B156" i="26"/>
  <c r="C156" i="26"/>
  <c r="E156" i="26"/>
  <c r="H156" i="26"/>
  <c r="K156" i="26"/>
  <c r="A157" i="26"/>
  <c r="B157" i="26"/>
  <c r="C157" i="26"/>
  <c r="E157" i="26"/>
  <c r="H157" i="26"/>
  <c r="K157" i="26"/>
  <c r="A158" i="26"/>
  <c r="B158" i="26"/>
  <c r="C158" i="26"/>
  <c r="E158" i="26"/>
  <c r="H158" i="26"/>
  <c r="K158" i="26"/>
  <c r="A159" i="26"/>
  <c r="B159" i="26"/>
  <c r="C159" i="26"/>
  <c r="E159" i="26"/>
  <c r="H159" i="26"/>
  <c r="K159" i="26"/>
  <c r="A160" i="26"/>
  <c r="B160" i="26"/>
  <c r="C160" i="26"/>
  <c r="E160" i="26"/>
  <c r="H160" i="26"/>
  <c r="K160" i="26"/>
  <c r="A161" i="26"/>
  <c r="B161" i="26"/>
  <c r="C161" i="26"/>
  <c r="E161" i="26"/>
  <c r="H161" i="26"/>
  <c r="K161" i="26"/>
  <c r="A162" i="26"/>
  <c r="B162" i="26"/>
  <c r="C162" i="26"/>
  <c r="E162" i="26"/>
  <c r="H162" i="26"/>
  <c r="K162" i="26"/>
  <c r="A163" i="26"/>
  <c r="B163" i="26"/>
  <c r="C163" i="26"/>
  <c r="E163" i="26"/>
  <c r="H163" i="26"/>
  <c r="K163" i="26"/>
  <c r="A164" i="26"/>
  <c r="B164" i="26"/>
  <c r="C164" i="26"/>
  <c r="E164" i="26"/>
  <c r="H164" i="26"/>
  <c r="K164" i="26"/>
  <c r="A165" i="26"/>
  <c r="B165" i="26"/>
  <c r="C165" i="26"/>
  <c r="E165" i="26"/>
  <c r="H165" i="26"/>
  <c r="K165" i="26"/>
  <c r="A166" i="26"/>
  <c r="B166" i="26"/>
  <c r="C166" i="26"/>
  <c r="E166" i="26"/>
  <c r="H166" i="26"/>
  <c r="K166" i="26"/>
  <c r="A167" i="26"/>
  <c r="B167" i="26"/>
  <c r="C167" i="26"/>
  <c r="E167" i="26"/>
  <c r="H167" i="26"/>
  <c r="K167" i="26"/>
  <c r="A168" i="26"/>
  <c r="B168" i="26"/>
  <c r="C168" i="26"/>
  <c r="E168" i="26"/>
  <c r="H168" i="26"/>
  <c r="K168" i="26"/>
  <c r="A169" i="26"/>
  <c r="B169" i="26"/>
  <c r="C169" i="26"/>
  <c r="E169" i="26"/>
  <c r="H169" i="26"/>
  <c r="K169" i="26"/>
  <c r="A170" i="26"/>
  <c r="B170" i="26"/>
  <c r="C170" i="26"/>
  <c r="E170" i="26"/>
  <c r="H170" i="26"/>
  <c r="K170" i="26"/>
  <c r="A171" i="26"/>
  <c r="B171" i="26"/>
  <c r="C171" i="26"/>
  <c r="E171" i="26"/>
  <c r="H171" i="26"/>
  <c r="K171" i="26"/>
  <c r="A172" i="26"/>
  <c r="B172" i="26"/>
  <c r="C172" i="26"/>
  <c r="E172" i="26"/>
  <c r="H172" i="26"/>
  <c r="K172" i="26"/>
  <c r="A173" i="26"/>
  <c r="B173" i="26"/>
  <c r="C173" i="26"/>
  <c r="E173" i="26"/>
  <c r="H173" i="26"/>
  <c r="K173" i="26"/>
  <c r="A174" i="26"/>
  <c r="B174" i="26"/>
  <c r="C174" i="26"/>
  <c r="E174" i="26"/>
  <c r="H174" i="26"/>
  <c r="K174" i="26"/>
  <c r="A175" i="26"/>
  <c r="B175" i="26"/>
  <c r="C175" i="26"/>
  <c r="E175" i="26"/>
  <c r="H175" i="26"/>
  <c r="K175" i="26"/>
  <c r="A176" i="26"/>
  <c r="B176" i="26"/>
  <c r="C176" i="26"/>
  <c r="E176" i="26"/>
  <c r="H176" i="26"/>
  <c r="K176" i="26"/>
  <c r="A177" i="26"/>
  <c r="B177" i="26"/>
  <c r="C177" i="26"/>
  <c r="E177" i="26"/>
  <c r="H177" i="26"/>
  <c r="K177" i="26"/>
  <c r="A178" i="26"/>
  <c r="B178" i="26"/>
  <c r="C178" i="26"/>
  <c r="E178" i="26"/>
  <c r="H178" i="26"/>
  <c r="K178" i="26"/>
  <c r="A179" i="26"/>
  <c r="B179" i="26"/>
  <c r="C179" i="26"/>
  <c r="E179" i="26"/>
  <c r="H179" i="26"/>
  <c r="K179" i="26"/>
  <c r="A180" i="26"/>
  <c r="B180" i="26"/>
  <c r="C180" i="26"/>
  <c r="E180" i="26"/>
  <c r="H180" i="26"/>
  <c r="K180" i="26"/>
  <c r="A181" i="26"/>
  <c r="B181" i="26"/>
  <c r="C181" i="26"/>
  <c r="E181" i="26"/>
  <c r="H181" i="26"/>
  <c r="K181" i="26"/>
  <c r="A182" i="26"/>
  <c r="B182" i="26"/>
  <c r="C182" i="26"/>
  <c r="E182" i="26"/>
  <c r="H182" i="26"/>
  <c r="K182" i="26"/>
  <c r="A183" i="26"/>
  <c r="B183" i="26"/>
  <c r="C183" i="26"/>
  <c r="E183" i="26"/>
  <c r="H183" i="26"/>
  <c r="K183" i="26"/>
  <c r="A184" i="26"/>
  <c r="B184" i="26"/>
  <c r="C184" i="26"/>
  <c r="E184" i="26"/>
  <c r="H184" i="26"/>
  <c r="K184" i="26"/>
  <c r="A185" i="26"/>
  <c r="B185" i="26"/>
  <c r="C185" i="26"/>
  <c r="E185" i="26"/>
  <c r="H185" i="26"/>
  <c r="K185" i="26"/>
  <c r="A186" i="26"/>
  <c r="B186" i="26"/>
  <c r="C186" i="26"/>
  <c r="E186" i="26"/>
  <c r="H186" i="26"/>
  <c r="K186" i="26"/>
  <c r="A187" i="26"/>
  <c r="B187" i="26"/>
  <c r="C187" i="26"/>
  <c r="E187" i="26"/>
  <c r="H187" i="26"/>
  <c r="K187" i="26"/>
  <c r="A188" i="26"/>
  <c r="B188" i="26"/>
  <c r="C188" i="26"/>
  <c r="E188" i="26"/>
  <c r="H188" i="26"/>
  <c r="K188" i="26"/>
  <c r="A189" i="26"/>
  <c r="B189" i="26"/>
  <c r="C189" i="26"/>
  <c r="E189" i="26"/>
  <c r="H189" i="26"/>
  <c r="K189" i="26"/>
  <c r="A190" i="26"/>
  <c r="B190" i="26"/>
  <c r="C190" i="26"/>
  <c r="E190" i="26"/>
  <c r="H190" i="26"/>
  <c r="K190" i="26"/>
  <c r="A191" i="26"/>
  <c r="B191" i="26"/>
  <c r="C191" i="26"/>
  <c r="E191" i="26"/>
  <c r="H191" i="26"/>
  <c r="K191" i="26"/>
  <c r="A192" i="26"/>
  <c r="B192" i="26"/>
  <c r="C192" i="26"/>
  <c r="E192" i="26"/>
  <c r="H192" i="26"/>
  <c r="K192" i="26"/>
  <c r="A193" i="26"/>
  <c r="B193" i="26"/>
  <c r="C193" i="26"/>
  <c r="E193" i="26"/>
  <c r="H193" i="26"/>
  <c r="K193" i="26"/>
  <c r="A194" i="26"/>
  <c r="B194" i="26"/>
  <c r="C194" i="26"/>
  <c r="E194" i="26"/>
  <c r="H194" i="26"/>
  <c r="K194" i="26"/>
  <c r="A195" i="26"/>
  <c r="B195" i="26"/>
  <c r="C195" i="26"/>
  <c r="E195" i="26"/>
  <c r="H195" i="26"/>
  <c r="K195" i="26"/>
  <c r="A196" i="26"/>
  <c r="B196" i="26"/>
  <c r="C196" i="26"/>
  <c r="E196" i="26"/>
  <c r="H196" i="26"/>
  <c r="K196" i="26"/>
  <c r="A197" i="26"/>
  <c r="B197" i="26"/>
  <c r="C197" i="26"/>
  <c r="E197" i="26"/>
  <c r="H197" i="26"/>
  <c r="K197" i="26"/>
  <c r="A198" i="26"/>
  <c r="B198" i="26"/>
  <c r="C198" i="26"/>
  <c r="E198" i="26"/>
  <c r="H198" i="26"/>
  <c r="K198" i="26"/>
  <c r="A199" i="26"/>
  <c r="B199" i="26"/>
  <c r="C199" i="26"/>
  <c r="E199" i="26"/>
  <c r="H199" i="26"/>
  <c r="K199" i="26"/>
  <c r="A200" i="26"/>
  <c r="B200" i="26"/>
  <c r="C200" i="26"/>
  <c r="E200" i="26"/>
  <c r="H200" i="26"/>
  <c r="K200" i="26"/>
  <c r="A201" i="26"/>
  <c r="B201" i="26"/>
  <c r="C201" i="26"/>
  <c r="E201" i="26"/>
  <c r="H201" i="26"/>
  <c r="K201" i="26"/>
  <c r="A202" i="26"/>
  <c r="B202" i="26"/>
  <c r="C202" i="26"/>
  <c r="E202" i="26"/>
  <c r="H202" i="26"/>
  <c r="K202" i="26"/>
  <c r="A203" i="26"/>
  <c r="B203" i="26"/>
  <c r="C203" i="26"/>
  <c r="E203" i="26"/>
  <c r="H203" i="26"/>
  <c r="K203" i="26"/>
  <c r="A204" i="26"/>
  <c r="B204" i="26"/>
  <c r="C204" i="26"/>
  <c r="E204" i="26"/>
  <c r="H204" i="26"/>
  <c r="K204" i="26"/>
  <c r="A205" i="26"/>
  <c r="B205" i="26"/>
  <c r="C205" i="26"/>
  <c r="E205" i="26"/>
  <c r="H205" i="26"/>
  <c r="K205" i="26"/>
  <c r="A206" i="26"/>
  <c r="B206" i="26"/>
  <c r="C206" i="26"/>
  <c r="E206" i="26"/>
  <c r="H206" i="26"/>
  <c r="K206" i="26"/>
  <c r="A207" i="26"/>
  <c r="B207" i="26"/>
  <c r="C207" i="26"/>
  <c r="E207" i="26"/>
  <c r="H207" i="26"/>
  <c r="K207" i="26"/>
  <c r="A208" i="26"/>
  <c r="B208" i="26"/>
  <c r="C208" i="26"/>
  <c r="E208" i="26"/>
  <c r="H208" i="26"/>
  <c r="K208" i="26"/>
  <c r="A209" i="26"/>
  <c r="B209" i="26"/>
  <c r="C209" i="26"/>
  <c r="E209" i="26"/>
  <c r="H209" i="26"/>
  <c r="K209" i="26"/>
  <c r="A210" i="26"/>
  <c r="B210" i="26"/>
  <c r="C210" i="26"/>
  <c r="E210" i="26"/>
  <c r="H210" i="26"/>
  <c r="K210" i="26"/>
  <c r="A211" i="26"/>
  <c r="B211" i="26"/>
  <c r="C211" i="26"/>
  <c r="E211" i="26"/>
  <c r="H211" i="26"/>
  <c r="K211" i="26"/>
  <c r="A212" i="26"/>
  <c r="B212" i="26"/>
  <c r="C212" i="26"/>
  <c r="E212" i="26"/>
  <c r="H212" i="26"/>
  <c r="K212" i="26"/>
  <c r="A213" i="26"/>
  <c r="B213" i="26"/>
  <c r="C213" i="26"/>
  <c r="E213" i="26"/>
  <c r="H213" i="26"/>
  <c r="K213" i="26"/>
  <c r="A214" i="26"/>
  <c r="B214" i="26"/>
  <c r="C214" i="26"/>
  <c r="E214" i="26"/>
  <c r="H214" i="26"/>
  <c r="K214" i="26"/>
  <c r="A215" i="26"/>
  <c r="B215" i="26"/>
  <c r="C215" i="26"/>
  <c r="E215" i="26"/>
  <c r="H215" i="26"/>
  <c r="K215" i="26"/>
  <c r="A216" i="26"/>
  <c r="B216" i="26"/>
  <c r="C216" i="26"/>
  <c r="E216" i="26"/>
  <c r="H216" i="26"/>
  <c r="K216" i="26"/>
  <c r="A217" i="26"/>
  <c r="B217" i="26"/>
  <c r="C217" i="26"/>
  <c r="E217" i="26"/>
  <c r="H217" i="26"/>
  <c r="K217" i="26"/>
  <c r="A218" i="26"/>
  <c r="B218" i="26"/>
  <c r="C218" i="26"/>
  <c r="E218" i="26"/>
  <c r="H218" i="26"/>
  <c r="K218" i="26"/>
  <c r="A219" i="26"/>
  <c r="B219" i="26"/>
  <c r="C219" i="26"/>
  <c r="E219" i="26"/>
  <c r="H219" i="26"/>
  <c r="K219" i="26"/>
  <c r="A220" i="26"/>
  <c r="B220" i="26"/>
  <c r="C220" i="26"/>
  <c r="E220" i="26"/>
  <c r="H220" i="26"/>
  <c r="K220" i="26"/>
  <c r="A221" i="26"/>
  <c r="B221" i="26"/>
  <c r="C221" i="26"/>
  <c r="E221" i="26"/>
  <c r="H221" i="26"/>
  <c r="K221" i="26"/>
  <c r="A222" i="26"/>
  <c r="B222" i="26"/>
  <c r="C222" i="26"/>
  <c r="E222" i="26"/>
  <c r="H222" i="26"/>
  <c r="K222" i="26"/>
  <c r="A223" i="26"/>
  <c r="B223" i="26"/>
  <c r="C223" i="26"/>
  <c r="E223" i="26"/>
  <c r="H223" i="26"/>
  <c r="K223" i="26"/>
  <c r="A224" i="26"/>
  <c r="B224" i="26"/>
  <c r="C224" i="26"/>
  <c r="E224" i="26"/>
  <c r="H224" i="26"/>
  <c r="K224" i="26"/>
  <c r="A225" i="26"/>
  <c r="B225" i="26"/>
  <c r="C225" i="26"/>
  <c r="E225" i="26"/>
  <c r="H225" i="26"/>
  <c r="K225" i="26"/>
  <c r="A226" i="26"/>
  <c r="B226" i="26"/>
  <c r="C226" i="26"/>
  <c r="E226" i="26"/>
  <c r="H226" i="26"/>
  <c r="K226" i="26"/>
  <c r="A227" i="26"/>
  <c r="B227" i="26"/>
  <c r="C227" i="26"/>
  <c r="E227" i="26"/>
  <c r="H227" i="26"/>
  <c r="K227" i="26"/>
  <c r="A228" i="26"/>
  <c r="B228" i="26"/>
  <c r="C228" i="26"/>
  <c r="E228" i="26"/>
  <c r="H228" i="26"/>
  <c r="K228" i="26"/>
  <c r="A229" i="26"/>
  <c r="B229" i="26"/>
  <c r="C229" i="26"/>
  <c r="E229" i="26"/>
  <c r="H229" i="26"/>
  <c r="K229" i="26"/>
  <c r="A230" i="26"/>
  <c r="B230" i="26"/>
  <c r="C230" i="26"/>
  <c r="E230" i="26"/>
  <c r="H230" i="26"/>
  <c r="K230" i="26"/>
  <c r="A231" i="26"/>
  <c r="B231" i="26"/>
  <c r="C231" i="26"/>
  <c r="E231" i="26"/>
  <c r="H231" i="26"/>
  <c r="K231" i="26"/>
  <c r="A232" i="26"/>
  <c r="B232" i="26"/>
  <c r="C232" i="26"/>
  <c r="E232" i="26"/>
  <c r="H232" i="26"/>
  <c r="K232" i="26"/>
  <c r="A233" i="26"/>
  <c r="B233" i="26"/>
  <c r="C233" i="26"/>
  <c r="E233" i="26"/>
  <c r="H233" i="26"/>
  <c r="K233" i="26"/>
  <c r="A234" i="26"/>
  <c r="B234" i="26"/>
  <c r="C234" i="26"/>
  <c r="E234" i="26"/>
  <c r="H234" i="26"/>
  <c r="K234" i="26"/>
  <c r="A235" i="26"/>
  <c r="B235" i="26"/>
  <c r="C235" i="26"/>
  <c r="E235" i="26"/>
  <c r="H235" i="26"/>
  <c r="K235" i="26"/>
  <c r="A236" i="26"/>
  <c r="B236" i="26"/>
  <c r="C236" i="26"/>
  <c r="E236" i="26"/>
  <c r="H236" i="26"/>
  <c r="K236" i="26"/>
  <c r="A237" i="26"/>
  <c r="B237" i="26"/>
  <c r="C237" i="26"/>
  <c r="E237" i="26"/>
  <c r="H237" i="26"/>
  <c r="K237" i="26"/>
  <c r="A238" i="26"/>
  <c r="B238" i="26"/>
  <c r="C238" i="26"/>
  <c r="E238" i="26"/>
  <c r="H238" i="26"/>
  <c r="K238" i="26"/>
  <c r="A239" i="26"/>
  <c r="B239" i="26"/>
  <c r="C239" i="26"/>
  <c r="E239" i="26"/>
  <c r="H239" i="26"/>
  <c r="K239" i="26"/>
  <c r="A240" i="26"/>
  <c r="B240" i="26"/>
  <c r="C240" i="26"/>
  <c r="E240" i="26"/>
  <c r="H240" i="26"/>
  <c r="K240" i="26"/>
  <c r="A241" i="26"/>
  <c r="B241" i="26"/>
  <c r="C241" i="26"/>
  <c r="E241" i="26"/>
  <c r="H241" i="26"/>
  <c r="K241" i="26"/>
  <c r="A242" i="26"/>
  <c r="B242" i="26"/>
  <c r="C242" i="26"/>
  <c r="E242" i="26"/>
  <c r="H242" i="26"/>
  <c r="K242" i="26"/>
  <c r="A243" i="26"/>
  <c r="B243" i="26"/>
  <c r="C243" i="26"/>
  <c r="E243" i="26"/>
  <c r="H243" i="26"/>
  <c r="K243" i="26"/>
  <c r="A244" i="26"/>
  <c r="B244" i="26"/>
  <c r="C244" i="26"/>
  <c r="E244" i="26"/>
  <c r="H244" i="26"/>
  <c r="K244" i="26"/>
  <c r="A245" i="26"/>
  <c r="B245" i="26"/>
  <c r="C245" i="26"/>
  <c r="E245" i="26"/>
  <c r="H245" i="26"/>
  <c r="K245" i="26"/>
  <c r="A246" i="26"/>
  <c r="B246" i="26"/>
  <c r="C246" i="26"/>
  <c r="E246" i="26"/>
  <c r="H246" i="26"/>
  <c r="K246" i="26"/>
  <c r="A247" i="26"/>
  <c r="B247" i="26"/>
  <c r="C247" i="26"/>
  <c r="E247" i="26"/>
  <c r="H247" i="26"/>
  <c r="K247" i="26"/>
  <c r="A248" i="26"/>
  <c r="B248" i="26"/>
  <c r="C248" i="26"/>
  <c r="E248" i="26"/>
  <c r="H248" i="26"/>
  <c r="K248" i="26"/>
  <c r="A249" i="26"/>
  <c r="B249" i="26"/>
  <c r="C249" i="26"/>
  <c r="E249" i="26"/>
  <c r="H249" i="26"/>
  <c r="K249" i="26"/>
  <c r="A250" i="26"/>
  <c r="B250" i="26"/>
  <c r="C250" i="26"/>
  <c r="E250" i="26"/>
  <c r="H250" i="26"/>
  <c r="K250" i="26"/>
  <c r="A251" i="26"/>
  <c r="B251" i="26"/>
  <c r="C251" i="26"/>
  <c r="E251" i="26"/>
  <c r="H251" i="26"/>
  <c r="K251" i="26"/>
  <c r="A252" i="26"/>
  <c r="B252" i="26"/>
  <c r="C252" i="26"/>
  <c r="E252" i="26"/>
  <c r="H252" i="26"/>
  <c r="K252" i="26"/>
  <c r="A253" i="26"/>
  <c r="B253" i="26"/>
  <c r="C253" i="26"/>
  <c r="E253" i="26"/>
  <c r="H253" i="26"/>
  <c r="K253" i="26"/>
  <c r="A254" i="26"/>
  <c r="B254" i="26"/>
  <c r="C254" i="26"/>
  <c r="E254" i="26"/>
  <c r="H254" i="26"/>
  <c r="K254" i="26"/>
  <c r="A255" i="26"/>
  <c r="B255" i="26"/>
  <c r="C255" i="26"/>
  <c r="E255" i="26"/>
  <c r="H255" i="26"/>
  <c r="K255" i="26"/>
  <c r="A256" i="26"/>
  <c r="B256" i="26"/>
  <c r="C256" i="26"/>
  <c r="E256" i="26"/>
  <c r="H256" i="26"/>
  <c r="K256" i="26"/>
  <c r="A257" i="26"/>
  <c r="B257" i="26"/>
  <c r="C257" i="26"/>
  <c r="E257" i="26"/>
  <c r="H257" i="26"/>
  <c r="K257" i="26"/>
  <c r="A258" i="26"/>
  <c r="B258" i="26"/>
  <c r="C258" i="26"/>
  <c r="E258" i="26"/>
  <c r="H258" i="26"/>
  <c r="K258" i="26"/>
  <c r="A259" i="26"/>
  <c r="B259" i="26"/>
  <c r="C259" i="26"/>
  <c r="E259" i="26"/>
  <c r="H259" i="26"/>
  <c r="K259" i="26"/>
  <c r="A260" i="26"/>
  <c r="B260" i="26"/>
  <c r="C260" i="26"/>
  <c r="E260" i="26"/>
  <c r="H260" i="26"/>
  <c r="K260" i="26"/>
  <c r="A261" i="26"/>
  <c r="B261" i="26"/>
  <c r="C261" i="26"/>
  <c r="E261" i="26"/>
  <c r="H261" i="26"/>
  <c r="K261" i="26"/>
  <c r="A262" i="26"/>
  <c r="B262" i="26"/>
  <c r="C262" i="26"/>
  <c r="E262" i="26"/>
  <c r="H262" i="26"/>
  <c r="K262" i="26"/>
  <c r="A263" i="26"/>
  <c r="B263" i="26"/>
  <c r="C263" i="26"/>
  <c r="E263" i="26"/>
  <c r="H263" i="26"/>
  <c r="K263" i="26"/>
  <c r="A264" i="26"/>
  <c r="B264" i="26"/>
  <c r="C264" i="26"/>
  <c r="E264" i="26"/>
  <c r="H264" i="26"/>
  <c r="K264" i="26"/>
  <c r="A265" i="26"/>
  <c r="B265" i="26"/>
  <c r="C265" i="26"/>
  <c r="E265" i="26"/>
  <c r="H265" i="26"/>
  <c r="K265" i="26"/>
  <c r="A266" i="26"/>
  <c r="B266" i="26"/>
  <c r="C266" i="26"/>
  <c r="E266" i="26"/>
  <c r="H266" i="26"/>
  <c r="K266" i="26"/>
  <c r="E14" i="21"/>
  <c r="Z4" i="23"/>
  <c r="Z5" i="23"/>
  <c r="Z6" i="23"/>
  <c r="Z7" i="23"/>
  <c r="Z8" i="23"/>
  <c r="Z9" i="23"/>
  <c r="Z10" i="23"/>
  <c r="Z11" i="23"/>
  <c r="Z12" i="23"/>
  <c r="Z13" i="23"/>
  <c r="Z14" i="23"/>
  <c r="Z3" i="23"/>
  <c r="Y3" i="21"/>
  <c r="X9" i="22"/>
  <c r="AW34" i="4" l="1"/>
  <c r="Z4" i="22" l="1"/>
  <c r="Z5" i="22"/>
  <c r="Z6" i="22"/>
  <c r="Z7" i="22"/>
  <c r="Z8" i="22"/>
  <c r="Z9" i="22"/>
  <c r="Z10" i="22"/>
  <c r="Z11" i="22"/>
  <c r="Z12" i="22"/>
  <c r="Z13" i="22"/>
  <c r="Z14" i="22"/>
  <c r="Z3" i="22"/>
  <c r="X4" i="23"/>
  <c r="X5" i="23"/>
  <c r="X6" i="23"/>
  <c r="X7" i="23"/>
  <c r="X8" i="23"/>
  <c r="X9" i="23"/>
  <c r="X10" i="23"/>
  <c r="X11" i="23"/>
  <c r="X12" i="23"/>
  <c r="X13" i="23"/>
  <c r="X14" i="23"/>
  <c r="AX6" i="4"/>
  <c r="AX7" i="4"/>
  <c r="AX8" i="4"/>
  <c r="AX9" i="4"/>
  <c r="AX10" i="4"/>
  <c r="AX11" i="4"/>
  <c r="AW16" i="4"/>
  <c r="AX105" i="4" l="1"/>
  <c r="AA11" i="23" l="1"/>
  <c r="AA13" i="23"/>
  <c r="AA14" i="23"/>
  <c r="Y11" i="23"/>
  <c r="Y12" i="23"/>
  <c r="Y13" i="23"/>
  <c r="Y14" i="23"/>
  <c r="AA13" i="22"/>
  <c r="AA14" i="22"/>
  <c r="Y11" i="22"/>
  <c r="Y12" i="22"/>
  <c r="Y13" i="22"/>
  <c r="Y14" i="22"/>
  <c r="X11" i="22"/>
  <c r="X12" i="22"/>
  <c r="X13" i="22"/>
  <c r="X14" i="22"/>
  <c r="Z13" i="21"/>
  <c r="Z14" i="21"/>
  <c r="Y12" i="21"/>
  <c r="Y13" i="21"/>
  <c r="Y14" i="21"/>
  <c r="X12" i="21"/>
  <c r="X13" i="21"/>
  <c r="X14" i="21"/>
  <c r="W13" i="21"/>
  <c r="W12" i="21"/>
  <c r="Y11" i="21"/>
  <c r="X11" i="21"/>
  <c r="W11" i="21"/>
  <c r="AX5" i="4" l="1"/>
  <c r="AX12" i="4"/>
  <c r="AX13" i="4"/>
  <c r="AX14" i="4"/>
  <c r="AX15" i="4"/>
  <c r="AX16" i="4"/>
  <c r="AX17" i="4"/>
  <c r="AX18" i="4"/>
  <c r="AX19" i="4"/>
  <c r="AX20" i="4"/>
  <c r="AX21" i="4"/>
  <c r="AX22" i="4"/>
  <c r="AX23" i="4"/>
  <c r="AX24" i="4"/>
  <c r="AX25" i="4"/>
  <c r="AX26" i="4"/>
  <c r="AX27" i="4"/>
  <c r="AX28" i="4"/>
  <c r="AX29" i="4"/>
  <c r="AX30" i="4"/>
  <c r="AX31" i="4"/>
  <c r="AX32" i="4"/>
  <c r="AX33" i="4"/>
  <c r="AX34" i="4"/>
  <c r="AX35" i="4"/>
  <c r="AX36" i="4"/>
  <c r="AX37" i="4"/>
  <c r="AX38" i="4"/>
  <c r="AX39" i="4"/>
  <c r="AX40" i="4"/>
  <c r="AX41" i="4"/>
  <c r="AX42" i="4"/>
  <c r="AX43" i="4"/>
  <c r="AX44" i="4"/>
  <c r="AX45" i="4"/>
  <c r="AX46" i="4"/>
  <c r="AX47" i="4"/>
  <c r="AX48" i="4"/>
  <c r="AX49" i="4"/>
  <c r="AX51" i="4"/>
  <c r="AX52" i="4"/>
  <c r="AX53" i="4"/>
  <c r="AX54" i="4"/>
  <c r="AX55" i="4"/>
  <c r="AX56" i="4"/>
  <c r="AX57" i="4"/>
  <c r="AX58" i="4"/>
  <c r="AX59" i="4"/>
  <c r="AX60" i="4"/>
  <c r="AX61" i="4"/>
  <c r="AX62" i="4"/>
  <c r="AX63" i="4"/>
  <c r="AX64" i="4"/>
  <c r="AX65" i="4"/>
  <c r="AX66" i="4"/>
  <c r="AX67" i="4"/>
  <c r="AX68" i="4"/>
  <c r="AX69" i="4"/>
  <c r="AX70" i="4"/>
  <c r="AX71" i="4"/>
  <c r="AX72" i="4"/>
  <c r="AX73" i="4"/>
  <c r="AX74" i="4"/>
  <c r="AX75" i="4"/>
  <c r="AX76" i="4"/>
  <c r="AX77" i="4"/>
  <c r="AX78" i="4"/>
  <c r="AX79" i="4"/>
  <c r="AX80" i="4"/>
  <c r="AX81" i="4"/>
  <c r="AX82" i="4"/>
  <c r="AX83" i="4"/>
  <c r="AX84" i="4"/>
  <c r="AX85" i="4"/>
  <c r="AX86" i="4"/>
  <c r="AX87" i="4"/>
  <c r="AX88" i="4"/>
  <c r="AX89" i="4"/>
  <c r="AX90" i="4"/>
  <c r="AX91" i="4"/>
  <c r="AX92" i="4"/>
  <c r="AX103" i="4"/>
  <c r="AX104" i="4"/>
  <c r="AX106" i="4"/>
  <c r="AX107" i="4"/>
  <c r="AX108" i="4"/>
  <c r="AX109" i="4"/>
  <c r="AX110" i="4"/>
  <c r="AX111" i="4"/>
  <c r="AX112" i="4"/>
  <c r="AX113" i="4"/>
  <c r="AX114" i="4"/>
  <c r="AX115" i="4"/>
  <c r="AX116" i="4"/>
  <c r="AX117" i="4"/>
  <c r="AX118" i="4"/>
  <c r="AX119" i="4"/>
  <c r="AX120" i="4"/>
  <c r="AX121" i="4"/>
  <c r="AX215" i="4"/>
  <c r="AX216" i="4"/>
  <c r="AX217" i="4"/>
  <c r="AX218" i="4"/>
  <c r="AX219" i="4"/>
  <c r="AX220" i="4"/>
  <c r="AX221" i="4"/>
  <c r="AX222" i="4"/>
  <c r="AX223" i="4"/>
  <c r="AX224" i="4"/>
  <c r="AX225" i="4"/>
  <c r="AX226" i="4"/>
  <c r="AX227" i="4"/>
  <c r="AX228" i="4"/>
  <c r="AX229" i="4"/>
  <c r="AX230" i="4"/>
  <c r="AX231" i="4"/>
  <c r="AX232" i="4"/>
  <c r="AX233" i="4"/>
  <c r="AX234" i="4"/>
  <c r="AX235" i="4"/>
  <c r="AX236" i="4"/>
  <c r="AX237" i="4"/>
  <c r="AX238" i="4"/>
  <c r="AX239" i="4"/>
  <c r="AX240" i="4"/>
  <c r="AX241" i="4"/>
  <c r="AX242" i="4"/>
  <c r="AX243" i="4"/>
  <c r="AX244" i="4"/>
  <c r="AX245" i="4"/>
  <c r="AX246" i="4"/>
  <c r="AX247" i="4"/>
  <c r="AX248" i="4"/>
  <c r="AX249" i="4"/>
  <c r="AX250" i="4"/>
  <c r="AX251" i="4"/>
  <c r="AX252" i="4"/>
  <c r="AX253" i="4"/>
  <c r="AX254" i="4"/>
  <c r="AX255" i="4"/>
  <c r="AX256" i="4"/>
  <c r="AX257" i="4"/>
  <c r="AX258" i="4"/>
  <c r="AX259" i="4"/>
  <c r="AX260" i="4"/>
  <c r="AX261" i="4"/>
  <c r="AX262" i="4"/>
  <c r="AX263" i="4"/>
  <c r="AX264" i="4"/>
  <c r="AX265" i="4"/>
  <c r="AX266" i="4"/>
  <c r="AX50" i="4"/>
  <c r="AW109" i="4" l="1"/>
  <c r="AX267" i="4" l="1"/>
  <c r="AX4" i="4" l="1"/>
  <c r="S22" i="22" s="1"/>
  <c r="T4" i="15" l="1"/>
  <c r="S4" i="15"/>
  <c r="T3" i="15" a="1"/>
  <c r="T3" i="15" s="1"/>
  <c r="S3" i="15" a="1"/>
  <c r="S3" i="15" s="1"/>
  <c r="R3" i="15" a="1"/>
  <c r="R3" i="15" s="1"/>
  <c r="A9" i="26" l="1"/>
  <c r="K10" i="26" l="1"/>
  <c r="K11" i="26"/>
  <c r="K12" i="26"/>
  <c r="K13" i="26"/>
  <c r="H10" i="26"/>
  <c r="H11" i="26"/>
  <c r="H12" i="26"/>
  <c r="H13" i="26"/>
  <c r="H9" i="26"/>
  <c r="E10" i="26"/>
  <c r="E11" i="26"/>
  <c r="E12" i="26"/>
  <c r="E13" i="26"/>
  <c r="E9" i="26"/>
  <c r="C10" i="26"/>
  <c r="C11" i="26"/>
  <c r="C12" i="26"/>
  <c r="C13" i="26"/>
  <c r="C9" i="26"/>
  <c r="B10" i="26" l="1"/>
  <c r="B11" i="26"/>
  <c r="B12" i="26"/>
  <c r="B13" i="26"/>
  <c r="B9" i="26"/>
  <c r="A10" i="26"/>
  <c r="A11" i="26"/>
  <c r="A12" i="26"/>
  <c r="A13" i="26"/>
  <c r="E12" i="23"/>
  <c r="AA11" i="22" l="1"/>
  <c r="Z11" i="21"/>
  <c r="Z12" i="21"/>
  <c r="AA12" i="22"/>
  <c r="AA12" i="23"/>
  <c r="AW63" i="4" l="1"/>
  <c r="AW62" i="4"/>
  <c r="AW61" i="4"/>
  <c r="AW60" i="4"/>
  <c r="AZ4" i="4" l="1"/>
  <c r="BA4" i="4"/>
  <c r="BB4" i="4"/>
  <c r="BB5" i="4" l="1"/>
  <c r="BB6" i="4"/>
  <c r="BB7" i="4"/>
  <c r="BB8" i="4"/>
  <c r="BB9" i="4"/>
  <c r="BB10" i="4"/>
  <c r="BB11" i="4"/>
  <c r="BB13" i="4"/>
  <c r="BB14" i="4"/>
  <c r="BB12" i="4"/>
  <c r="BB15" i="4"/>
  <c r="AW11" i="4" l="1"/>
  <c r="AW13" i="4"/>
  <c r="BA5" i="4" l="1"/>
  <c r="BA6" i="4"/>
  <c r="BA7" i="4"/>
  <c r="BA8" i="4"/>
  <c r="BA9" i="4"/>
  <c r="BA10" i="4"/>
  <c r="BA11" i="4"/>
  <c r="BA13" i="4"/>
  <c r="BA14" i="4"/>
  <c r="BA12" i="4"/>
  <c r="BA15" i="4"/>
  <c r="BA17" i="4" l="1"/>
  <c r="BB17" i="4"/>
  <c r="AA8" i="23"/>
  <c r="AA3" i="23"/>
  <c r="Y4" i="23"/>
  <c r="Y5" i="23"/>
  <c r="Y6" i="23"/>
  <c r="Y7" i="23"/>
  <c r="Y8" i="23"/>
  <c r="Y9" i="23"/>
  <c r="Y10" i="23"/>
  <c r="Y3" i="23"/>
  <c r="AA4" i="22"/>
  <c r="AA5" i="22"/>
  <c r="AA6" i="22"/>
  <c r="AA7" i="22"/>
  <c r="AA8" i="22"/>
  <c r="AA3" i="22"/>
  <c r="Y4" i="22"/>
  <c r="Y5" i="22"/>
  <c r="Y6" i="22"/>
  <c r="Y7" i="22"/>
  <c r="Y8" i="22"/>
  <c r="Y9" i="22"/>
  <c r="Y10" i="22"/>
  <c r="Y3" i="22"/>
  <c r="X3" i="21"/>
  <c r="X4" i="21"/>
  <c r="X5" i="21"/>
  <c r="X6" i="21"/>
  <c r="X7" i="21"/>
  <c r="X8" i="21"/>
  <c r="X9" i="21"/>
  <c r="X10" i="21"/>
  <c r="X3" i="23"/>
  <c r="X15" i="23" s="1"/>
  <c r="X4" i="22"/>
  <c r="X5" i="22"/>
  <c r="X6" i="22"/>
  <c r="X7" i="22"/>
  <c r="X8" i="22"/>
  <c r="X10" i="22"/>
  <c r="X3" i="22"/>
  <c r="X15" i="22" l="1"/>
  <c r="Z15" i="22"/>
  <c r="Y15" i="22"/>
  <c r="X15" i="21"/>
  <c r="BC9" i="4" l="1"/>
  <c r="BC13" i="4"/>
  <c r="BC14" i="4"/>
  <c r="BC15" i="4"/>
  <c r="Z4" i="21" l="1"/>
  <c r="Z6" i="21"/>
  <c r="Z7" i="21"/>
  <c r="Z8" i="21"/>
  <c r="Y4" i="21"/>
  <c r="Y5" i="21"/>
  <c r="Y6" i="21"/>
  <c r="Y7" i="21"/>
  <c r="Y8" i="21"/>
  <c r="Y9" i="21"/>
  <c r="Y10" i="21"/>
  <c r="W4" i="21"/>
  <c r="W5" i="21"/>
  <c r="W6" i="21"/>
  <c r="W7" i="21"/>
  <c r="W8" i="21"/>
  <c r="W9" i="21"/>
  <c r="W10" i="21"/>
  <c r="W14" i="21"/>
  <c r="W3" i="21"/>
  <c r="Y15" i="23" l="1"/>
  <c r="Z15" i="23"/>
  <c r="W15" i="21"/>
  <c r="Y15" i="21"/>
  <c r="Q12" i="21"/>
  <c r="E12" i="22"/>
  <c r="J12" i="22" l="1"/>
  <c r="AZ5" i="4"/>
  <c r="AZ6" i="4"/>
  <c r="AZ7" i="4"/>
  <c r="AZ8" i="4"/>
  <c r="AZ9" i="4"/>
  <c r="AZ10" i="4"/>
  <c r="AZ11" i="4"/>
  <c r="AZ13" i="4"/>
  <c r="AZ14" i="4"/>
  <c r="AZ12" i="4"/>
  <c r="AZ15" i="4"/>
  <c r="AZ17" i="4" l="1"/>
  <c r="AA5" i="23"/>
  <c r="AA7" i="23" l="1"/>
  <c r="BC8" i="4"/>
  <c r="BC6" i="4"/>
  <c r="Z5" i="21"/>
  <c r="BC7" i="4"/>
  <c r="AA6" i="23"/>
  <c r="AW6" i="4"/>
  <c r="AW7" i="4"/>
  <c r="AW8" i="4"/>
  <c r="AW9" i="4"/>
  <c r="AW10" i="4"/>
  <c r="AW14" i="4"/>
  <c r="BC4" i="4" l="1"/>
  <c r="AA4" i="23"/>
  <c r="BC5" i="4"/>
  <c r="Z3" i="21"/>
  <c r="C9" i="14" l="1"/>
  <c r="C7" i="14"/>
  <c r="C8" i="14"/>
  <c r="S15" i="23" l="1"/>
  <c r="S14" i="23"/>
  <c r="S13" i="23"/>
  <c r="Q8" i="23"/>
  <c r="Q7" i="23"/>
  <c r="Q6" i="23"/>
  <c r="Q5" i="23"/>
  <c r="Q4" i="23"/>
  <c r="S24" i="22"/>
  <c r="S23" i="22"/>
  <c r="Q17" i="22"/>
  <c r="Q16" i="22"/>
  <c r="Q15" i="22"/>
  <c r="Q14" i="22"/>
  <c r="Q13" i="22"/>
  <c r="R9" i="22"/>
  <c r="Q9" i="22"/>
  <c r="Q8" i="22"/>
  <c r="Q6" i="22"/>
  <c r="Q7" i="22"/>
  <c r="Q5" i="22"/>
  <c r="J35" i="23"/>
  <c r="J35" i="22"/>
  <c r="S5" i="23" l="1"/>
  <c r="S4" i="23"/>
  <c r="S14" i="22"/>
  <c r="S6" i="23"/>
  <c r="S7" i="23"/>
  <c r="S8" i="23"/>
  <c r="S16" i="22"/>
  <c r="S17" i="22"/>
  <c r="S13" i="22"/>
  <c r="S15" i="22"/>
  <c r="Q8" i="21" l="1"/>
  <c r="AC4" i="24" l="1"/>
  <c r="AB4" i="24"/>
  <c r="AA4" i="24"/>
  <c r="Z4" i="24"/>
  <c r="Y4" i="24"/>
  <c r="X4" i="24"/>
  <c r="W4" i="24"/>
  <c r="V4" i="24"/>
  <c r="U4" i="24"/>
  <c r="T4" i="24"/>
  <c r="S4" i="24"/>
  <c r="R4" i="24"/>
  <c r="Q4" i="24"/>
  <c r="K34" i="23" l="1"/>
  <c r="J34" i="23"/>
  <c r="E9" i="14" s="1"/>
  <c r="J34" i="21"/>
  <c r="E8" i="14" s="1"/>
  <c r="K34" i="21"/>
  <c r="K34" i="22"/>
  <c r="J34" i="22"/>
  <c r="E7" i="14" s="1"/>
  <c r="M4" i="24"/>
  <c r="J32" i="23" l="1"/>
  <c r="J32" i="22"/>
  <c r="J32" i="21"/>
  <c r="S28" i="21"/>
  <c r="S27" i="21"/>
  <c r="S26" i="21"/>
  <c r="S25" i="21"/>
  <c r="S24" i="21"/>
  <c r="S23" i="21"/>
  <c r="S22" i="21"/>
  <c r="S21" i="21"/>
  <c r="Q16" i="21"/>
  <c r="Q15" i="21"/>
  <c r="Q14" i="21"/>
  <c r="Q13" i="21"/>
  <c r="S5" i="21"/>
  <c r="Q7" i="21"/>
  <c r="Q6" i="21"/>
  <c r="Q5" i="21"/>
  <c r="R6" i="21"/>
  <c r="S16" i="21" l="1"/>
  <c r="S12" i="21"/>
  <c r="S13" i="21"/>
  <c r="S14" i="21"/>
  <c r="S15" i="21"/>
  <c r="H14" i="23"/>
  <c r="H12" i="23"/>
  <c r="E14" i="23"/>
  <c r="H29" i="23"/>
  <c r="H28" i="23"/>
  <c r="H27" i="23"/>
  <c r="H26" i="23"/>
  <c r="H25" i="23"/>
  <c r="H24" i="23"/>
  <c r="H23" i="23"/>
  <c r="H22" i="23"/>
  <c r="H21" i="23"/>
  <c r="H20" i="23"/>
  <c r="H19" i="23"/>
  <c r="H17" i="23"/>
  <c r="H18" i="23"/>
  <c r="H16" i="23"/>
  <c r="H15" i="23"/>
  <c r="H13" i="23"/>
  <c r="E29" i="23"/>
  <c r="E28" i="23"/>
  <c r="E27" i="23"/>
  <c r="E26" i="23"/>
  <c r="E25" i="23"/>
  <c r="E24" i="23"/>
  <c r="E23" i="23"/>
  <c r="E22" i="23"/>
  <c r="E21" i="23"/>
  <c r="E20" i="23"/>
  <c r="E19" i="23"/>
  <c r="E18" i="23"/>
  <c r="E17" i="23"/>
  <c r="E16" i="23"/>
  <c r="E15" i="23"/>
  <c r="E13" i="23"/>
  <c r="H13" i="22"/>
  <c r="H12" i="22"/>
  <c r="K12" i="22" s="1"/>
  <c r="E13" i="22"/>
  <c r="H29" i="22"/>
  <c r="H28" i="22"/>
  <c r="H27" i="22"/>
  <c r="H26" i="22"/>
  <c r="H25" i="22"/>
  <c r="H24" i="22"/>
  <c r="H23" i="22"/>
  <c r="H22" i="22"/>
  <c r="H21" i="22"/>
  <c r="H20" i="22"/>
  <c r="H19" i="22"/>
  <c r="H18" i="22"/>
  <c r="H17" i="22"/>
  <c r="H16" i="22"/>
  <c r="H15" i="22"/>
  <c r="H14" i="22"/>
  <c r="E29" i="22"/>
  <c r="E28" i="22"/>
  <c r="E27" i="22"/>
  <c r="E26" i="22"/>
  <c r="E25" i="22"/>
  <c r="E24" i="22"/>
  <c r="E23" i="22"/>
  <c r="E22" i="22"/>
  <c r="E21" i="22"/>
  <c r="E20" i="22"/>
  <c r="E19" i="22"/>
  <c r="E18" i="22"/>
  <c r="E17" i="22"/>
  <c r="E16" i="22"/>
  <c r="E15" i="22"/>
  <c r="E14" i="22"/>
  <c r="K28" i="23" l="1"/>
  <c r="K22" i="23"/>
  <c r="K20" i="23"/>
  <c r="K14" i="23"/>
  <c r="K12" i="23"/>
  <c r="K29" i="22"/>
  <c r="K28" i="22"/>
  <c r="J28" i="22"/>
  <c r="K27" i="22"/>
  <c r="J27" i="22"/>
  <c r="K26" i="22"/>
  <c r="J26" i="22"/>
  <c r="K25" i="22"/>
  <c r="J25" i="22"/>
  <c r="K24" i="22"/>
  <c r="J24" i="22"/>
  <c r="K23" i="22"/>
  <c r="J23" i="22"/>
  <c r="K22" i="22"/>
  <c r="J22" i="22"/>
  <c r="K21" i="22"/>
  <c r="J21" i="22"/>
  <c r="K20" i="22"/>
  <c r="J20" i="22"/>
  <c r="K19" i="22"/>
  <c r="J19" i="22"/>
  <c r="K18" i="22"/>
  <c r="J18" i="22"/>
  <c r="K17" i="22"/>
  <c r="J17" i="22"/>
  <c r="K16" i="22"/>
  <c r="J16" i="22"/>
  <c r="K15" i="22"/>
  <c r="J15" i="22"/>
  <c r="K14" i="22"/>
  <c r="J14" i="22"/>
  <c r="K13" i="22"/>
  <c r="J13" i="22"/>
  <c r="H30" i="22"/>
  <c r="L5" i="22" s="1"/>
  <c r="G30" i="22"/>
  <c r="E5" i="22" l="1"/>
  <c r="C5" i="22"/>
  <c r="J5" i="22"/>
  <c r="J14" i="23"/>
  <c r="K29" i="23"/>
  <c r="J16" i="23"/>
  <c r="J18" i="23"/>
  <c r="J24" i="23"/>
  <c r="J23" i="23"/>
  <c r="J12" i="23"/>
  <c r="J21" i="23"/>
  <c r="K15" i="23"/>
  <c r="K17" i="23"/>
  <c r="K19" i="23"/>
  <c r="K23" i="23"/>
  <c r="K25" i="23"/>
  <c r="K27" i="23"/>
  <c r="J13" i="23"/>
  <c r="J15" i="23"/>
  <c r="K24" i="23"/>
  <c r="K26" i="23"/>
  <c r="J28" i="23"/>
  <c r="H30" i="23"/>
  <c r="K13" i="23"/>
  <c r="J17" i="23"/>
  <c r="J19" i="23"/>
  <c r="K21" i="23"/>
  <c r="J25" i="23"/>
  <c r="J27" i="23"/>
  <c r="G30" i="23"/>
  <c r="K16" i="23"/>
  <c r="K18" i="23"/>
  <c r="J20" i="23"/>
  <c r="J22" i="23"/>
  <c r="J26" i="23"/>
  <c r="E30" i="23"/>
  <c r="J30" i="22"/>
  <c r="C6" i="22" s="1"/>
  <c r="K30" i="22"/>
  <c r="E6" i="22" s="1"/>
  <c r="D30" i="22"/>
  <c r="E30" i="22"/>
  <c r="L4" i="22" s="1"/>
  <c r="L6" i="22" s="1"/>
  <c r="H29" i="21"/>
  <c r="E29" i="21"/>
  <c r="E28" i="21"/>
  <c r="AW15" i="4"/>
  <c r="AW17" i="4"/>
  <c r="AW19" i="4"/>
  <c r="AW20" i="4"/>
  <c r="AW21" i="4"/>
  <c r="AW22" i="4"/>
  <c r="AW23" i="4"/>
  <c r="AW24" i="4"/>
  <c r="AW25" i="4"/>
  <c r="AW26" i="4"/>
  <c r="AW27" i="4"/>
  <c r="AW28" i="4"/>
  <c r="AW29" i="4"/>
  <c r="AW30" i="4"/>
  <c r="AW31" i="4"/>
  <c r="AW32" i="4"/>
  <c r="AW33" i="4"/>
  <c r="AW35" i="4"/>
  <c r="AW36" i="4"/>
  <c r="AW39" i="4"/>
  <c r="AW41" i="4"/>
  <c r="AW44" i="4"/>
  <c r="AW45" i="4"/>
  <c r="AW46" i="4"/>
  <c r="AW47" i="4"/>
  <c r="AW48" i="4"/>
  <c r="AW50" i="4"/>
  <c r="AW51" i="4"/>
  <c r="AW52" i="4"/>
  <c r="AW53" i="4"/>
  <c r="AW54" i="4"/>
  <c r="AW55" i="4"/>
  <c r="AW56" i="4"/>
  <c r="AW57" i="4"/>
  <c r="AW58" i="4"/>
  <c r="AW64" i="4"/>
  <c r="AW65" i="4"/>
  <c r="AW66" i="4"/>
  <c r="AW67" i="4"/>
  <c r="AW68" i="4"/>
  <c r="AW69" i="4"/>
  <c r="AW70" i="4"/>
  <c r="AW71" i="4"/>
  <c r="AW72" i="4"/>
  <c r="AW74" i="4"/>
  <c r="AW75" i="4"/>
  <c r="AW76" i="4"/>
  <c r="AW77" i="4"/>
  <c r="AW80" i="4"/>
  <c r="AW81" i="4"/>
  <c r="AW82" i="4"/>
  <c r="AW83" i="4"/>
  <c r="AW84" i="4"/>
  <c r="AW85" i="4"/>
  <c r="AW86" i="4"/>
  <c r="AW87" i="4"/>
  <c r="AW90" i="4"/>
  <c r="AW91" i="4"/>
  <c r="AW92" i="4"/>
  <c r="AW108" i="4"/>
  <c r="AW110" i="4"/>
  <c r="AW111" i="4"/>
  <c r="AW112" i="4"/>
  <c r="AW113" i="4"/>
  <c r="AW114" i="4"/>
  <c r="AW115" i="4"/>
  <c r="AW116" i="4"/>
  <c r="AW117" i="4"/>
  <c r="AW118" i="4"/>
  <c r="AW119" i="4"/>
  <c r="AW120" i="4"/>
  <c r="AW121" i="4"/>
  <c r="AW215" i="4"/>
  <c r="AW217" i="4"/>
  <c r="AW218" i="4"/>
  <c r="AW219" i="4"/>
  <c r="AW220" i="4"/>
  <c r="AW221" i="4"/>
  <c r="AW222" i="4"/>
  <c r="AW223" i="4"/>
  <c r="AW224" i="4"/>
  <c r="AW225" i="4"/>
  <c r="AW226" i="4"/>
  <c r="AW227" i="4"/>
  <c r="AW228" i="4"/>
  <c r="AW229" i="4"/>
  <c r="AW230" i="4"/>
  <c r="AW231" i="4"/>
  <c r="AW232" i="4"/>
  <c r="AW233" i="4"/>
  <c r="AW234" i="4"/>
  <c r="AW235" i="4"/>
  <c r="AW236" i="4"/>
  <c r="AW237" i="4"/>
  <c r="AW238" i="4"/>
  <c r="AW239" i="4"/>
  <c r="AW240" i="4"/>
  <c r="AW241" i="4"/>
  <c r="AW242" i="4"/>
  <c r="AW243" i="4"/>
  <c r="AW244" i="4"/>
  <c r="AW245" i="4"/>
  <c r="AW246" i="4"/>
  <c r="AW247" i="4"/>
  <c r="AW248" i="4"/>
  <c r="AW249" i="4"/>
  <c r="AW250" i="4"/>
  <c r="AW251" i="4"/>
  <c r="AW252" i="4"/>
  <c r="AW253" i="4"/>
  <c r="AW254" i="4"/>
  <c r="AW255" i="4"/>
  <c r="AW256" i="4"/>
  <c r="AW257" i="4"/>
  <c r="AW258" i="4"/>
  <c r="AW259" i="4"/>
  <c r="AW260" i="4"/>
  <c r="AW261" i="4"/>
  <c r="AW262" i="4"/>
  <c r="AW263" i="4"/>
  <c r="AW264" i="4"/>
  <c r="R265" i="4"/>
  <c r="AW265" i="4" s="1"/>
  <c r="R266" i="4"/>
  <c r="AW266" i="4" s="1"/>
  <c r="R267" i="4"/>
  <c r="AW267" i="4" s="1"/>
  <c r="H28" i="21"/>
  <c r="H27" i="21"/>
  <c r="H26" i="21"/>
  <c r="H25" i="21"/>
  <c r="H24" i="21"/>
  <c r="H23" i="21"/>
  <c r="H22" i="21"/>
  <c r="H21" i="21"/>
  <c r="H20" i="21"/>
  <c r="H19" i="21"/>
  <c r="H18" i="21"/>
  <c r="H17" i="21"/>
  <c r="H16" i="21"/>
  <c r="H15" i="21"/>
  <c r="H14" i="21"/>
  <c r="H13" i="21"/>
  <c r="H12" i="21"/>
  <c r="E27" i="21"/>
  <c r="E26" i="21"/>
  <c r="E25" i="21"/>
  <c r="E24" i="21"/>
  <c r="E23" i="21"/>
  <c r="E22" i="21"/>
  <c r="E21" i="21"/>
  <c r="E20" i="21"/>
  <c r="E19" i="21"/>
  <c r="E18" i="21"/>
  <c r="E17" i="21"/>
  <c r="E16" i="21"/>
  <c r="E15" i="21"/>
  <c r="E13" i="21"/>
  <c r="E12" i="21"/>
  <c r="BC12" i="4" l="1"/>
  <c r="AW78" i="4"/>
  <c r="R8" i="21"/>
  <c r="R6" i="22"/>
  <c r="K16" i="21"/>
  <c r="AA10" i="23"/>
  <c r="AW89" i="4"/>
  <c r="Z10" i="21"/>
  <c r="AW88" i="4"/>
  <c r="AA10" i="22"/>
  <c r="BC11" i="4"/>
  <c r="R5" i="22"/>
  <c r="AW79" i="4"/>
  <c r="S6" i="22"/>
  <c r="K26" i="21"/>
  <c r="AW73" i="4"/>
  <c r="S9" i="22"/>
  <c r="T9" i="22" s="1"/>
  <c r="R7" i="21"/>
  <c r="R5" i="21"/>
  <c r="T5" i="21" s="1"/>
  <c r="S8" i="21"/>
  <c r="S6" i="21"/>
  <c r="T6" i="21" s="1"/>
  <c r="AW59" i="4"/>
  <c r="R7" i="22"/>
  <c r="J27" i="21"/>
  <c r="AW49" i="4"/>
  <c r="S7" i="22"/>
  <c r="AW43" i="4"/>
  <c r="R8" i="22"/>
  <c r="AW42" i="4"/>
  <c r="AA9" i="23"/>
  <c r="D9" i="14"/>
  <c r="AW40" i="4"/>
  <c r="S5" i="22"/>
  <c r="AW38" i="4"/>
  <c r="Z9" i="21"/>
  <c r="D8" i="14"/>
  <c r="AW37" i="4"/>
  <c r="AA9" i="22"/>
  <c r="BC10" i="4"/>
  <c r="J13" i="21"/>
  <c r="J21" i="21"/>
  <c r="J24" i="21"/>
  <c r="S7" i="21"/>
  <c r="AW18" i="4"/>
  <c r="J17" i="21"/>
  <c r="J25" i="21"/>
  <c r="D7" i="14"/>
  <c r="S8" i="22"/>
  <c r="J28" i="21"/>
  <c r="K18" i="21"/>
  <c r="C5" i="23"/>
  <c r="J5" i="23"/>
  <c r="J4" i="23"/>
  <c r="C4" i="23"/>
  <c r="E4" i="23"/>
  <c r="L4" i="23" s="1"/>
  <c r="E5" i="23"/>
  <c r="L5" i="23" s="1"/>
  <c r="J12" i="21"/>
  <c r="J20" i="21"/>
  <c r="E4" i="22"/>
  <c r="C4" i="22"/>
  <c r="J4" i="22"/>
  <c r="J6" i="22" s="1"/>
  <c r="J19" i="21"/>
  <c r="K12" i="21"/>
  <c r="K27" i="21"/>
  <c r="K24" i="21"/>
  <c r="K21" i="21"/>
  <c r="G30" i="21"/>
  <c r="J18" i="21"/>
  <c r="J26" i="21"/>
  <c r="K17" i="21"/>
  <c r="K25" i="21"/>
  <c r="K30" i="23"/>
  <c r="E6" i="23" s="1"/>
  <c r="J30" i="23"/>
  <c r="C6" i="23" s="1"/>
  <c r="K29" i="21"/>
  <c r="K23" i="21"/>
  <c r="K19" i="21"/>
  <c r="K28" i="21"/>
  <c r="K20" i="21"/>
  <c r="K15" i="21"/>
  <c r="J14" i="21"/>
  <c r="J22" i="21"/>
  <c r="J16" i="21"/>
  <c r="J15" i="21"/>
  <c r="J23" i="21"/>
  <c r="K14" i="21"/>
  <c r="K22" i="21"/>
  <c r="K13" i="21"/>
  <c r="H30" i="21"/>
  <c r="L5" i="21" s="1"/>
  <c r="E30" i="21"/>
  <c r="L4" i="21" s="1"/>
  <c r="Q23" i="23" l="1"/>
  <c r="Q21" i="23"/>
  <c r="Q22" i="23"/>
  <c r="Q20" i="23"/>
  <c r="L6" i="23"/>
  <c r="L6" i="21"/>
  <c r="T8" i="21"/>
  <c r="T6" i="22"/>
  <c r="AA15" i="22"/>
  <c r="T20" i="23"/>
  <c r="T21" i="23"/>
  <c r="T22" i="23"/>
  <c r="AA15" i="23"/>
  <c r="BC17" i="4"/>
  <c r="T5" i="22"/>
  <c r="T7" i="21"/>
  <c r="T7" i="22"/>
  <c r="T8" i="22"/>
  <c r="J6" i="23"/>
  <c r="E5" i="21"/>
  <c r="J5" i="21"/>
  <c r="C5" i="21"/>
  <c r="E4" i="21"/>
  <c r="C4" i="21"/>
  <c r="J4" i="21"/>
  <c r="J30" i="21"/>
  <c r="C6" i="21" s="1"/>
  <c r="K30" i="21"/>
  <c r="E6" i="21" s="1"/>
  <c r="J6" i="21" l="1"/>
  <c r="S4" i="4" l="1"/>
  <c r="K32" i="21" s="1"/>
  <c r="AT4" i="4"/>
  <c r="AL4" i="4"/>
  <c r="J33" i="22" s="1"/>
  <c r="F7" i="14" s="1"/>
  <c r="AM4" i="4"/>
  <c r="J33" i="23" s="1"/>
  <c r="F9" i="14" s="1"/>
  <c r="AK4" i="4"/>
  <c r="J33" i="21" s="1"/>
  <c r="F8" i="14" s="1"/>
  <c r="T35" i="22" l="1"/>
  <c r="T34" i="22"/>
  <c r="T33" i="22"/>
  <c r="Q36" i="22"/>
  <c r="Q35" i="22"/>
  <c r="Q34" i="22"/>
  <c r="Q33" i="22"/>
  <c r="AJ4" i="4"/>
  <c r="W4" i="4"/>
  <c r="X4" i="4"/>
  <c r="Y4" i="4"/>
  <c r="Z4" i="4"/>
  <c r="AA4" i="4"/>
  <c r="AB4" i="4"/>
  <c r="AC4" i="4"/>
  <c r="AD4" i="4"/>
  <c r="AE4" i="4"/>
  <c r="S469" i="4" l="1"/>
  <c r="AO4" i="4" l="1"/>
  <c r="AP4" i="4"/>
  <c r="AQ4" i="4"/>
  <c r="AR4" i="4"/>
  <c r="AS4" i="4"/>
  <c r="AU4" i="4" l="1"/>
  <c r="AV4" i="4"/>
  <c r="E6" i="14" l="1"/>
  <c r="D6" i="14" l="1"/>
  <c r="C6" i="14" l="1"/>
  <c r="F6" i="14"/>
  <c r="AF4" i="4"/>
  <c r="U4" i="4"/>
  <c r="K32" i="23" s="1"/>
  <c r="AG4" i="4"/>
  <c r="AI4" i="4"/>
  <c r="T4" i="4"/>
  <c r="K32" i="22" s="1"/>
  <c r="V4" i="4"/>
  <c r="AH4" i="4"/>
  <c r="Z15" i="21" l="1"/>
  <c r="AW5" i="4"/>
  <c r="R4" i="4"/>
  <c r="AZ26" i="4" l="1"/>
  <c r="Q35" i="21"/>
  <c r="T33" i="21"/>
  <c r="Q34" i="21"/>
  <c r="T35" i="21"/>
  <c r="Q33" i="21"/>
  <c r="T34" i="21"/>
  <c r="Q36" i="21"/>
  <c r="AZ28" i="4"/>
  <c r="AZ30" i="4"/>
  <c r="AZ24" i="4"/>
  <c r="AZ25" i="4"/>
  <c r="AZ29" i="4"/>
  <c r="AZ27" i="4"/>
  <c r="AZ32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Hislop, Leigh A</author>
    <author>mrich</author>
  </authors>
  <commentList>
    <comment ref="BC3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Hislop, Leigh A:</t>
        </r>
        <r>
          <rPr>
            <sz val="8"/>
            <color indexed="81"/>
            <rFont val="Tahoma"/>
            <family val="2"/>
          </rPr>
          <t xml:space="preserve">
INCLUDES ALL PROTECTION ACRES + ALL BOISE DISTRICT BLM ACRES BURNED</t>
        </r>
      </text>
    </comment>
    <comment ref="BH3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mrich:</t>
        </r>
        <r>
          <rPr>
            <sz val="9"/>
            <color indexed="81"/>
            <rFont val="Tahoma"/>
            <family val="2"/>
          </rPr>
          <t xml:space="preserve">
MUST CHANGE DATES FOR EACH YEAR WITH THE LEAP YEAR FOR FEBRUARY
DATES UNDER FIRE BY MONTH GRAPH
</t>
        </r>
      </text>
    </comment>
  </commentList>
</comments>
</file>

<file path=xl/sharedStrings.xml><?xml version="1.0" encoding="utf-8"?>
<sst xmlns="http://schemas.openxmlformats.org/spreadsheetml/2006/main" count="6885" uniqueCount="2135">
  <si>
    <t>DATE</t>
  </si>
  <si>
    <t>INCIDENT #</t>
  </si>
  <si>
    <t>ACRES</t>
  </si>
  <si>
    <t>TOTAL ACRES</t>
  </si>
  <si>
    <t>TOTAL</t>
  </si>
  <si>
    <t xml:space="preserve"> </t>
  </si>
  <si>
    <t>FIRE NAME</t>
  </si>
  <si>
    <t>ORIGIN LOCATION</t>
  </si>
  <si>
    <t>FIRE        CODE</t>
  </si>
  <si>
    <t>LEGAL</t>
  </si>
  <si>
    <t>CAUSE</t>
  </si>
  <si>
    <t>ORIGIN OWNER</t>
  </si>
  <si>
    <t>REPORTED BY</t>
  </si>
  <si>
    <t>WUI</t>
  </si>
  <si>
    <t>LEPA AREA</t>
  </si>
  <si>
    <t>LAT        DDMMSS</t>
  </si>
  <si>
    <t>LONG                  DDMMSS</t>
  </si>
  <si>
    <t>UTM              EASTING</t>
  </si>
  <si>
    <t>UTM NORTHING</t>
  </si>
  <si>
    <t>HUMAN</t>
  </si>
  <si>
    <t>LIGHTNING</t>
  </si>
  <si>
    <t>DETECTION METHOD</t>
  </si>
  <si>
    <t>---</t>
  </si>
  <si>
    <t>HUMAN ACRES</t>
  </si>
  <si>
    <t>LIGHTNING ACRES</t>
  </si>
  <si>
    <t>BOD</t>
  </si>
  <si>
    <t>BOF</t>
  </si>
  <si>
    <t>AGENCY</t>
  </si>
  <si>
    <t>SWS</t>
  </si>
  <si>
    <t>IC TRAINEE</t>
  </si>
  <si>
    <t>BLM - BOD</t>
  </si>
  <si>
    <t>USFS - BOF</t>
  </si>
  <si>
    <t>IDL - SWS</t>
  </si>
  <si>
    <t>IC / CONTACT</t>
  </si>
  <si>
    <t>TOTAL # FIRES</t>
  </si>
  <si>
    <t>HUMAN FIRES</t>
  </si>
  <si>
    <t>LIGHTNING FIRES</t>
  </si>
  <si>
    <t>MARCH</t>
  </si>
  <si>
    <t>APRIL</t>
  </si>
  <si>
    <t>MAY</t>
  </si>
  <si>
    <t>AUGUST</t>
  </si>
  <si>
    <t>SEPTEMBER</t>
  </si>
  <si>
    <t>OCTOBER</t>
  </si>
  <si>
    <t>NOVEMBER</t>
  </si>
  <si>
    <t>DECEMBER</t>
  </si>
  <si>
    <t>BOISE DISPATCH CENTER STATISTICS</t>
  </si>
  <si>
    <t>TOTAL FIRES</t>
  </si>
  <si>
    <t>RFD ASSISTS</t>
  </si>
  <si>
    <t>LOCAL FIRE INFORMATION - BY PROTECTION</t>
  </si>
  <si>
    <t>FED/STATE ASSISTS</t>
  </si>
  <si>
    <t>AREA</t>
  </si>
  <si>
    <t>FEBRUARY</t>
  </si>
  <si>
    <t>E</t>
  </si>
  <si>
    <t>DOZER LINE</t>
  </si>
  <si>
    <t>RETARDANT USED</t>
  </si>
  <si>
    <t>A</t>
  </si>
  <si>
    <t>C</t>
  </si>
  <si>
    <t>D</t>
  </si>
  <si>
    <t>#FIRES</t>
  </si>
  <si>
    <t>FIRE SIZE</t>
  </si>
  <si>
    <t>B</t>
  </si>
  <si>
    <t>G</t>
  </si>
  <si>
    <t>SAGE GROUSE</t>
  </si>
  <si>
    <t>BOD PROTECTION FIRES AND ACRES BY OWNERSHIP</t>
  </si>
  <si>
    <t>F</t>
  </si>
  <si>
    <t>BOF PROTECTION FIRES AND ACRES BY OWNERSHIP</t>
  </si>
  <si>
    <t>DFR</t>
  </si>
  <si>
    <t>MHQ</t>
  </si>
  <si>
    <t>LPE</t>
  </si>
  <si>
    <t>SIZE CLASS               OF FIRE</t>
  </si>
  <si>
    <t xml:space="preserve">SRL </t>
  </si>
  <si>
    <t>Date</t>
  </si>
  <si>
    <t>Burn Boss</t>
  </si>
  <si>
    <t>Legal</t>
  </si>
  <si>
    <t>Remarks</t>
  </si>
  <si>
    <t>Acres</t>
  </si>
  <si>
    <t>ELX</t>
  </si>
  <si>
    <t>1VX</t>
  </si>
  <si>
    <t>2CX</t>
  </si>
  <si>
    <t>6BX</t>
  </si>
  <si>
    <t>1AX</t>
  </si>
  <si>
    <t>1GX</t>
  </si>
  <si>
    <t>OWX</t>
  </si>
  <si>
    <t>1PX</t>
  </si>
  <si>
    <t>1WX</t>
  </si>
  <si>
    <t>ADX</t>
  </si>
  <si>
    <t>PROTECTION</t>
  </si>
  <si>
    <t>OTHER</t>
  </si>
  <si>
    <t>BOD ASSISTED</t>
  </si>
  <si>
    <t>BOF ASSITED</t>
  </si>
  <si>
    <t>SWS ASSISTED</t>
  </si>
  <si>
    <t>RFPA RESPONSE</t>
  </si>
  <si>
    <t>WILDERNESS OR JMSFMA</t>
  </si>
  <si>
    <t>ADD ROWS IF NEEDED</t>
  </si>
  <si>
    <t>RURAL FIRE COUNTY ASSISTS</t>
  </si>
  <si>
    <t>FEDERAL AND STATE ASSISTS</t>
  </si>
  <si>
    <t>OTHER BOD-BLM SUPRESSED BY OTHER JURISDICTIONS</t>
  </si>
  <si>
    <t xml:space="preserve">COMBINED TOTAL </t>
  </si>
  <si>
    <t xml:space="preserve">OTHER </t>
  </si>
  <si>
    <t>BOR - SRL</t>
  </si>
  <si>
    <t>MILITARY - LPE</t>
  </si>
  <si>
    <t>MILITARY - MHQ</t>
  </si>
  <si>
    <t>FWS - DFR</t>
  </si>
  <si>
    <t>PRI - OWX</t>
  </si>
  <si>
    <t>PRI - ELX</t>
  </si>
  <si>
    <t>PRI - ADX</t>
  </si>
  <si>
    <t>PRI - 6BX</t>
  </si>
  <si>
    <t>PRI - 2CX</t>
  </si>
  <si>
    <t>PRI - 1WX</t>
  </si>
  <si>
    <t>PRI - 1VX</t>
  </si>
  <si>
    <t>PRI - 1PX</t>
  </si>
  <si>
    <t>PRI - 1GX</t>
  </si>
  <si>
    <t xml:space="preserve">PRI - 1AX </t>
  </si>
  <si>
    <t>FIRES</t>
  </si>
  <si>
    <t>UNIT</t>
  </si>
  <si>
    <t>"FIRES BY OWNERSHIP ORIGIN - ACRES NOT DEPENDENT OF ORIGIN OWNERSHIP"</t>
  </si>
  <si>
    <t>FIELD OFFICE STATISTICS</t>
  </si>
  <si>
    <t xml:space="preserve">SIT REPORT ACRES - </t>
  </si>
  <si>
    <t>BOD PROTECTION TOTAL FIRES AND ACRES</t>
  </si>
  <si>
    <t>ID - SWS</t>
  </si>
  <si>
    <t>IDL PROTECTION FIRES AND ACRES BY OWNERSHIP</t>
  </si>
  <si>
    <t>OTHER IDL-SWS SUPRESSED BY OTHER JURISDICTIONS</t>
  </si>
  <si>
    <t>BOF PROTECTION TOTAL FIRES AND ACRES</t>
  </si>
  <si>
    <t>OTHER USFS-BOF SUPRESSED BY OTHER JURISDICTIONS</t>
  </si>
  <si>
    <t>IDL PROTECTION TOTAL FIRES AND ACRES</t>
  </si>
  <si>
    <t>BIRDS OF PREY</t>
  </si>
  <si>
    <t>BRUNEAU</t>
  </si>
  <si>
    <t>FOUR RIVERS</t>
  </si>
  <si>
    <t>OWYHEE</t>
  </si>
  <si>
    <t>FIELD OFFICE</t>
  </si>
  <si>
    <t>PERCENTAGE OF TOTAL</t>
  </si>
  <si>
    <t>LOOKOUTS</t>
  </si>
  <si>
    <t>AIRCRAFT</t>
  </si>
  <si>
    <t>AGENCY PERSONNEL</t>
  </si>
  <si>
    <t>COUNTY DISPATCH</t>
  </si>
  <si>
    <t>PRIVATE CITIZEN</t>
  </si>
  <si>
    <t xml:space="preserve">MANAGEMENT STATISTICS </t>
  </si>
  <si>
    <t>SAGE-GROUSE</t>
  </si>
  <si>
    <t>LEPA</t>
  </si>
  <si>
    <t>WILDERNESS/JMSFMA</t>
  </si>
  <si>
    <t>RFPA REPSONSE</t>
  </si>
  <si>
    <t>DOZER LINE USED</t>
  </si>
  <si>
    <t>AREA OF CONCERN OR STRATEGY USED</t>
  </si>
  <si>
    <t>RFD RESPONSE</t>
  </si>
  <si>
    <t>NUMBER OF FIRES BY SIZE CLASS</t>
  </si>
  <si>
    <t>SIZE CLASS</t>
  </si>
  <si>
    <t>A (0-0.25)</t>
  </si>
  <si>
    <t>B (0.26-9)</t>
  </si>
  <si>
    <t>C (10-99)</t>
  </si>
  <si>
    <t>D (100-299)</t>
  </si>
  <si>
    <t>E (300-999)</t>
  </si>
  <si>
    <t>F (1000-4999)</t>
  </si>
  <si>
    <t>G (5000+)</t>
  </si>
  <si>
    <t>FEDERAL ASSISTS</t>
  </si>
  <si>
    <t>-----</t>
  </si>
  <si>
    <t>TOTAL OCCURANCES</t>
  </si>
  <si>
    <t>RANGER DISTRICT STATISTICS</t>
  </si>
  <si>
    <t>D3 - IDAHO CITY</t>
  </si>
  <si>
    <t>D1 - MOUNTAIN HOME</t>
  </si>
  <si>
    <t>D4 - CASCADE</t>
  </si>
  <si>
    <t>D5 - LOWMAN</t>
  </si>
  <si>
    <t>D6 - EMMETT</t>
  </si>
  <si>
    <t>FALSE ALARMS</t>
  </si>
  <si>
    <t>District</t>
  </si>
  <si>
    <t>JANUARY</t>
  </si>
  <si>
    <t>JUNE</t>
  </si>
  <si>
    <t xml:space="preserve">JULY </t>
  </si>
  <si>
    <t>BLM PROTECTION ACRES</t>
  </si>
  <si>
    <t>BOF PROTECTION ACRES</t>
  </si>
  <si>
    <t>IDL PROTECTION ACRES</t>
  </si>
  <si>
    <t>IC</t>
  </si>
  <si>
    <t>BOF ASSISTED</t>
  </si>
  <si>
    <t>IDL</t>
  </si>
  <si>
    <t>NAME</t>
  </si>
  <si>
    <t>COST SHARE?</t>
  </si>
  <si>
    <t>POTENTIAL COST SHARE AND DECISION</t>
  </si>
  <si>
    <t>INCIDENT NUMBER</t>
  </si>
  <si>
    <t>Burn</t>
  </si>
  <si>
    <t>Burn Plan</t>
  </si>
  <si>
    <t>Unit(s)</t>
  </si>
  <si>
    <t>BURNS</t>
  </si>
  <si>
    <t>BOF 5% RETARDENT</t>
  </si>
  <si>
    <t xml:space="preserve">Incident Number </t>
  </si>
  <si>
    <t xml:space="preserve">Date </t>
  </si>
  <si>
    <t xml:space="preserve">Start Time </t>
  </si>
  <si>
    <t xml:space="preserve">End Time </t>
  </si>
  <si>
    <t>Range</t>
  </si>
  <si>
    <t>Latitude</t>
  </si>
  <si>
    <t xml:space="preserve">Longitude </t>
  </si>
  <si>
    <t>Cause of the Fire</t>
  </si>
  <si>
    <t>OTC #</t>
  </si>
  <si>
    <t>PROT</t>
  </si>
  <si>
    <t>NOTE:  ALL FIRES IN THE GREEN ZONE ARE ALSO ADDED TO THE MAIN STAT PAGE AS A BOD FIRE AND WILL BE ENTERED AS SUCH ON THE SIT REPORT</t>
  </si>
  <si>
    <t>SIT</t>
  </si>
  <si>
    <t>TOT ACRES</t>
  </si>
  <si>
    <t>STAT CAUSE</t>
  </si>
  <si>
    <t>SPEC CAUSE</t>
  </si>
  <si>
    <t>COMMENTS</t>
  </si>
  <si>
    <t>CLASS</t>
  </si>
  <si>
    <t>TOTALS</t>
  </si>
  <si>
    <t>UNIT ID</t>
  </si>
  <si>
    <t>SWS UNIT ID</t>
  </si>
  <si>
    <t>BOD UNIT ID</t>
  </si>
  <si>
    <t>BOF UNIT ID</t>
  </si>
  <si>
    <t>Acreage</t>
  </si>
  <si>
    <t>NON STAT</t>
  </si>
  <si>
    <t>Y</t>
  </si>
  <si>
    <t>OCTC</t>
  </si>
  <si>
    <t>NOTE:  ANY BLUE SUM UP AND ADJUST M3 AS APPROPRIATE, THEN ADD TO SIT REPORT</t>
  </si>
  <si>
    <t>2025 BOISE DISPATCH STATISTICS</t>
  </si>
  <si>
    <t xml:space="preserve">2025 IDL SOUTHWEST WILDLAND FIRE SUPRESSION SUMMARY </t>
  </si>
  <si>
    <t xml:space="preserve">2025 BOISE NATIONAL FOREST WILDLAND FIRE SUPRESSION SUMMARY </t>
  </si>
  <si>
    <t xml:space="preserve">2025 BOISE DISTRICT BLM WILDLAND FIRE SUPRESSION SUMMARY </t>
  </si>
  <si>
    <t>2025 BOISE INTERAGENCY DISPATCH</t>
  </si>
  <si>
    <t>FIRE SEASON 2025</t>
  </si>
  <si>
    <t>RX SPANISH TERRACE</t>
  </si>
  <si>
    <t>B. DURKIN</t>
  </si>
  <si>
    <t>6N 5E 10</t>
  </si>
  <si>
    <t>X</t>
  </si>
  <si>
    <t>RX MOUNTAIN HOME DISTRICT WIDE PILES</t>
  </si>
  <si>
    <t>JOHNSON FORK</t>
  </si>
  <si>
    <t>ALDAPE SUMMIT</t>
  </si>
  <si>
    <t>N. BECHARAS</t>
  </si>
  <si>
    <t>4N 3E 36</t>
  </si>
  <si>
    <t>5N 4E 21</t>
  </si>
  <si>
    <t>D1</t>
  </si>
  <si>
    <t>FRFO</t>
  </si>
  <si>
    <t>BLACKS</t>
  </si>
  <si>
    <t>SAMS</t>
  </si>
  <si>
    <t>H</t>
  </si>
  <si>
    <t>1N 2E 01</t>
  </si>
  <si>
    <t>N</t>
  </si>
  <si>
    <t>43 27 15</t>
  </si>
  <si>
    <t>116 09 27</t>
  </si>
  <si>
    <t>SE6W</t>
  </si>
  <si>
    <t>COUNTY</t>
  </si>
  <si>
    <t xml:space="preserve">N </t>
  </si>
  <si>
    <t>OCTC JAN</t>
  </si>
  <si>
    <t>RX SOUTHEAST IDAHO REFUGE COMPLEX PILE</t>
  </si>
  <si>
    <t>DEER FLAT NWR</t>
  </si>
  <si>
    <t>P. DAVIS</t>
  </si>
  <si>
    <t>3N 3W 36</t>
  </si>
  <si>
    <t>EQUIPMENT USE</t>
  </si>
  <si>
    <t>VEHICLE BURNING</t>
  </si>
  <si>
    <t>OCTC FEB</t>
  </si>
  <si>
    <t>SGQ6</t>
  </si>
  <si>
    <t>HILL</t>
  </si>
  <si>
    <t>DURKIN</t>
  </si>
  <si>
    <t>HRDLICKA</t>
  </si>
  <si>
    <t>4N 4E 19</t>
  </si>
  <si>
    <t>43 40 00</t>
  </si>
  <si>
    <t>116 02 05</t>
  </si>
  <si>
    <t>OFO</t>
  </si>
  <si>
    <t>FEDERAL</t>
  </si>
  <si>
    <t>3S 2W 30</t>
  </si>
  <si>
    <t>43 07 54</t>
  </si>
  <si>
    <t>116 36 51</t>
  </si>
  <si>
    <t>SGW6</t>
  </si>
  <si>
    <t>DEBRIS BURNING</t>
  </si>
  <si>
    <t>MRW</t>
  </si>
  <si>
    <t>SLASH BURNING</t>
  </si>
  <si>
    <t>COOK</t>
  </si>
  <si>
    <t>7N 2E 12</t>
  </si>
  <si>
    <t>43 57 26</t>
  </si>
  <si>
    <t>116 10 23</t>
  </si>
  <si>
    <t>SG1V</t>
  </si>
  <si>
    <t>FA 1 BOD</t>
  </si>
  <si>
    <t>2N 3E 33</t>
  </si>
  <si>
    <t>CONSHEA</t>
  </si>
  <si>
    <t>BOP</t>
  </si>
  <si>
    <t>FIELD BURNING</t>
  </si>
  <si>
    <t>HSBRFD</t>
  </si>
  <si>
    <t>SJ3P</t>
  </si>
  <si>
    <t>2S 1W 05</t>
  </si>
  <si>
    <t>43 16 29</t>
  </si>
  <si>
    <t>116 29 03</t>
  </si>
  <si>
    <t>KIDD</t>
  </si>
  <si>
    <t>FAIRMEADOW</t>
  </si>
  <si>
    <t>GVRFD</t>
  </si>
  <si>
    <t>MISC</t>
  </si>
  <si>
    <t>9N 4E 16</t>
  </si>
  <si>
    <t>44 06 36</t>
  </si>
  <si>
    <t>115 59 19</t>
  </si>
  <si>
    <t>SKK3</t>
  </si>
  <si>
    <t>URBANEK</t>
  </si>
  <si>
    <t>Military Operations</t>
  </si>
  <si>
    <t>21/22</t>
  </si>
  <si>
    <t>NUM OYNG</t>
  </si>
  <si>
    <t>OTR 1</t>
  </si>
  <si>
    <t>OTR 2</t>
  </si>
  <si>
    <t>OTR 3</t>
  </si>
  <si>
    <t>OTR 4</t>
  </si>
  <si>
    <t>OTR 5</t>
  </si>
  <si>
    <t>OTR 6</t>
  </si>
  <si>
    <t>OTR 7</t>
  </si>
  <si>
    <t>OTR 8</t>
  </si>
  <si>
    <t>OTR 9</t>
  </si>
  <si>
    <t>OTR 10</t>
  </si>
  <si>
    <t>OTR 11</t>
  </si>
  <si>
    <t>OTR 12</t>
  </si>
  <si>
    <t>OTR 13</t>
  </si>
  <si>
    <t>OTR 14</t>
  </si>
  <si>
    <t>OTR 15</t>
  </si>
  <si>
    <t>OTR 16</t>
  </si>
  <si>
    <t>OYNG</t>
  </si>
  <si>
    <t>OCTC MAR</t>
  </si>
  <si>
    <t>NS 1 BOD</t>
  </si>
  <si>
    <t>2S 5E 29</t>
  </si>
  <si>
    <t>SGPC</t>
  </si>
  <si>
    <t>RRMP 416</t>
  </si>
  <si>
    <t>NUESSE</t>
  </si>
  <si>
    <t>RAILROAD</t>
  </si>
  <si>
    <t>2S 5E 07</t>
  </si>
  <si>
    <t>EXHAUST</t>
  </si>
  <si>
    <t>43 15 46</t>
  </si>
  <si>
    <t>115 54 20</t>
  </si>
  <si>
    <t>SANDY</t>
  </si>
  <si>
    <t>SHOOTING</t>
  </si>
  <si>
    <t>1S 2E 08</t>
  </si>
  <si>
    <t>PISTONE</t>
  </si>
  <si>
    <t>SGHJ</t>
  </si>
  <si>
    <t>43 21 22</t>
  </si>
  <si>
    <t>116 14 08</t>
  </si>
  <si>
    <t>RX WEST LOWMAN</t>
  </si>
  <si>
    <t>UNIT 5</t>
  </si>
  <si>
    <t>KNIGHT, SANDERS</t>
  </si>
  <si>
    <t>9N 7E 26</t>
  </si>
  <si>
    <t>D5</t>
  </si>
  <si>
    <t>NS 2 BOD</t>
  </si>
  <si>
    <t>6S 6E 04</t>
  </si>
  <si>
    <t>RX FENCELINE</t>
  </si>
  <si>
    <t>OSTERKAMP</t>
  </si>
  <si>
    <t>4S 4E 25</t>
  </si>
  <si>
    <t>NOTE: SUBTRACT 6 FOR OYNG THIS YEAR</t>
  </si>
  <si>
    <t>S03L</t>
  </si>
  <si>
    <t>COULTER</t>
  </si>
  <si>
    <t>9N 4E 26</t>
  </si>
  <si>
    <t>44 05 08</t>
  </si>
  <si>
    <t>115 56 53</t>
  </si>
  <si>
    <t>PEARL</t>
  </si>
  <si>
    <t>SHRFD</t>
  </si>
  <si>
    <t>6N 4W 27</t>
  </si>
  <si>
    <t xml:space="preserve">43 49 20 </t>
  </si>
  <si>
    <t>116 47 44</t>
  </si>
  <si>
    <t>S07B</t>
  </si>
  <si>
    <t>RX JUNIPER MTN KIOSK</t>
  </si>
  <si>
    <t>BURKE</t>
  </si>
  <si>
    <t>10S 5W 26</t>
  </si>
  <si>
    <t>RX BOSH JACKPOT</t>
  </si>
  <si>
    <t>9S 2W 27</t>
  </si>
  <si>
    <t>14N</t>
  </si>
  <si>
    <t>OCTC APR</t>
  </si>
  <si>
    <t>NS 3 BOF</t>
  </si>
  <si>
    <t>3N 4E 21</t>
  </si>
  <si>
    <t>S0F3</t>
  </si>
  <si>
    <t>NS 4 BOD</t>
  </si>
  <si>
    <t>1S 2W 14</t>
  </si>
  <si>
    <t>SOFA</t>
  </si>
  <si>
    <t>OTR 17</t>
  </si>
  <si>
    <t>OTR 18</t>
  </si>
  <si>
    <t>OTR 19</t>
  </si>
  <si>
    <t>OTR 20</t>
  </si>
  <si>
    <t>OTR 21</t>
  </si>
  <si>
    <t>OTR 22</t>
  </si>
  <si>
    <t>OTR 23</t>
  </si>
  <si>
    <t>OTR 24</t>
  </si>
  <si>
    <t>OTR 25</t>
  </si>
  <si>
    <t>OTR 26</t>
  </si>
  <si>
    <t>OTR 27</t>
  </si>
  <si>
    <t>OTR 28</t>
  </si>
  <si>
    <t>WILDGOAT</t>
  </si>
  <si>
    <t>S0MS</t>
  </si>
  <si>
    <t>6N 4E 26</t>
  </si>
  <si>
    <t>43 49 58</t>
  </si>
  <si>
    <t>115 56 52</t>
  </si>
  <si>
    <t>RX COTTONWOOD III</t>
  </si>
  <si>
    <t>1A</t>
  </si>
  <si>
    <t>WELLS, J MILLER</t>
  </si>
  <si>
    <t>3N 5E 22</t>
  </si>
  <si>
    <t>RX HIGH VALLEY</t>
  </si>
  <si>
    <t>11N 2E 26</t>
  </si>
  <si>
    <t>D6</t>
  </si>
  <si>
    <t>YANKEY, HIGHTOWER</t>
  </si>
  <si>
    <t>HIGH FORK</t>
  </si>
  <si>
    <t>BANMAN</t>
  </si>
  <si>
    <t>43 45 04</t>
  </si>
  <si>
    <t>115 59 40</t>
  </si>
  <si>
    <t>CCRFD</t>
  </si>
  <si>
    <t>S0RM</t>
  </si>
  <si>
    <t>EASTYOUNG</t>
  </si>
  <si>
    <t>BRFD</t>
  </si>
  <si>
    <t>S0SB</t>
  </si>
  <si>
    <t>HERSLEY</t>
  </si>
  <si>
    <t>POWER LINES</t>
  </si>
  <si>
    <t xml:space="preserve">HIGH FORK </t>
  </si>
  <si>
    <t>11N 2E 25</t>
  </si>
  <si>
    <t>42 55 58</t>
  </si>
  <si>
    <t>115 45 03</t>
  </si>
  <si>
    <t>LEWIS, HIGHTOWER</t>
  </si>
  <si>
    <t>HIGH FORK 6</t>
  </si>
  <si>
    <t>HIGH FORK UNIT 4</t>
  </si>
  <si>
    <t>CLARKY</t>
  </si>
  <si>
    <t>1N 4W 14</t>
  </si>
  <si>
    <t>CLINE</t>
  </si>
  <si>
    <t>DERRICK</t>
  </si>
  <si>
    <t>43 25 37</t>
  </si>
  <si>
    <t>116 47 08</t>
  </si>
  <si>
    <t>S11S</t>
  </si>
  <si>
    <t>LEWIS, SANDERS</t>
  </si>
  <si>
    <t>RX LITTLE OPHIR</t>
  </si>
  <si>
    <t>UNIT2</t>
  </si>
  <si>
    <t>HUNT, HIGHTOWER</t>
  </si>
  <si>
    <t>D3</t>
  </si>
  <si>
    <t>7N 5E 17</t>
  </si>
  <si>
    <t>G WELLS,              J MILLER</t>
  </si>
  <si>
    <t>4N 5E 22</t>
  </si>
  <si>
    <t>EKW2</t>
  </si>
  <si>
    <t>NS 5 BOF</t>
  </si>
  <si>
    <t>10N 11E 28</t>
  </si>
  <si>
    <t>RX MORES SOUTH</t>
  </si>
  <si>
    <t>BOLDMAN, HIGHTOWER</t>
  </si>
  <si>
    <t>6N 6E 27</t>
  </si>
  <si>
    <t>UNIT 2</t>
  </si>
  <si>
    <t>REYNOLDS</t>
  </si>
  <si>
    <t>GORDON</t>
  </si>
  <si>
    <t>S1J1</t>
  </si>
  <si>
    <t>43 16 05</t>
  </si>
  <si>
    <t>116 42 15</t>
  </si>
  <si>
    <t>S1JP</t>
  </si>
  <si>
    <t>GUL</t>
  </si>
  <si>
    <t>5N 1W 26</t>
  </si>
  <si>
    <t>43 44 41</t>
  </si>
  <si>
    <t>116 25 42</t>
  </si>
  <si>
    <t>2S 3W 14</t>
  </si>
  <si>
    <t>S1KH</t>
  </si>
  <si>
    <t>PLEASANT</t>
  </si>
  <si>
    <t>WALKER</t>
  </si>
  <si>
    <t>1S 2E 06</t>
  </si>
  <si>
    <t>43 22 15</t>
  </si>
  <si>
    <t>116 15 32</t>
  </si>
  <si>
    <t>RA 1 CANYON CO</t>
  </si>
  <si>
    <t>MELBA 253</t>
  </si>
  <si>
    <t>S1L6</t>
  </si>
  <si>
    <t>1S 2W 10</t>
  </si>
  <si>
    <t>43 21 15</t>
  </si>
  <si>
    <t>116 33 11</t>
  </si>
  <si>
    <t>S1NS</t>
  </si>
  <si>
    <t>LILFREEZE</t>
  </si>
  <si>
    <t>MAYNARD</t>
  </si>
  <si>
    <t>6N 2W 19</t>
  </si>
  <si>
    <t>43 50 26</t>
  </si>
  <si>
    <t>116 36 53</t>
  </si>
  <si>
    <t>RX SOUTH MTN ASPEN</t>
  </si>
  <si>
    <t>8S 5W 14</t>
  </si>
  <si>
    <t>RX FAWN-TUSSOCK</t>
  </si>
  <si>
    <t>13N 3E 23</t>
  </si>
  <si>
    <t>D4</t>
  </si>
  <si>
    <t>M HAUPT HOLMES</t>
  </si>
  <si>
    <t>MOORES MOTH 40</t>
  </si>
  <si>
    <t>MOORES MOTH 75</t>
  </si>
  <si>
    <t>S1VU</t>
  </si>
  <si>
    <t>MM73 HWY51</t>
  </si>
  <si>
    <t>FOSTER</t>
  </si>
  <si>
    <t>6S 6E 19</t>
  </si>
  <si>
    <t>42 53 37</t>
  </si>
  <si>
    <t>115 47 23</t>
  </si>
  <si>
    <t>S1WG</t>
  </si>
  <si>
    <t>6N 5W 01</t>
  </si>
  <si>
    <t>43 53 39</t>
  </si>
  <si>
    <t>116 52 26</t>
  </si>
  <si>
    <t>SMORE</t>
  </si>
  <si>
    <t>McQUILLIN</t>
  </si>
  <si>
    <t>BRODKSY</t>
  </si>
  <si>
    <t>2S 1E 15</t>
  </si>
  <si>
    <t>43 14 27</t>
  </si>
  <si>
    <t>116 19 22</t>
  </si>
  <si>
    <t>S1Y0</t>
  </si>
  <si>
    <t xml:space="preserve">LILFREE </t>
  </si>
  <si>
    <t>6N 2W 30</t>
  </si>
  <si>
    <t>ROJAS,GEM860</t>
  </si>
  <si>
    <t>LESTER</t>
  </si>
  <si>
    <t>43 50 02</t>
  </si>
  <si>
    <t>116 37 31</t>
  </si>
  <si>
    <t>S1ZG</t>
  </si>
  <si>
    <t>S219</t>
  </si>
  <si>
    <t>CASNER</t>
  </si>
  <si>
    <t>GUZMAN</t>
  </si>
  <si>
    <t>CAMPFIRE</t>
  </si>
  <si>
    <t>WARMING FIRE</t>
  </si>
  <si>
    <t>9N 9E 14</t>
  </si>
  <si>
    <t>44 07 13</t>
  </si>
  <si>
    <t>115 21 27</t>
  </si>
  <si>
    <t>S22B</t>
  </si>
  <si>
    <t>PLEZ</t>
  </si>
  <si>
    <t>ROJAS</t>
  </si>
  <si>
    <t>HERRERA</t>
  </si>
  <si>
    <t>1N 2E 29</t>
  </si>
  <si>
    <t>43 23 32</t>
  </si>
  <si>
    <t>116 14 19</t>
  </si>
  <si>
    <t>S24N</t>
  </si>
  <si>
    <t>RA 3 ELMORE CO</t>
  </si>
  <si>
    <t>HERSLEY / MHRFD 601</t>
  </si>
  <si>
    <t>KIDD / ANDERSEN</t>
  </si>
  <si>
    <t>4S 6E 15</t>
  </si>
  <si>
    <t>43 04 41</t>
  </si>
  <si>
    <t>115 44 12</t>
  </si>
  <si>
    <t>S27T</t>
  </si>
  <si>
    <t>WARM</t>
  </si>
  <si>
    <t>MM83 I84</t>
  </si>
  <si>
    <t>RAMIREZ</t>
  </si>
  <si>
    <t>10N 4E 34</t>
  </si>
  <si>
    <t>44 09 02</t>
  </si>
  <si>
    <t>115 58 04</t>
  </si>
  <si>
    <t>2S 5E 23</t>
  </si>
  <si>
    <t>43 14 13</t>
  </si>
  <si>
    <t>115 50 15</t>
  </si>
  <si>
    <t>PRIVATE</t>
  </si>
  <si>
    <t>G. WELLS</t>
  </si>
  <si>
    <t>4N 5E 26</t>
  </si>
  <si>
    <t>UNIT 1</t>
  </si>
  <si>
    <t>S296</t>
  </si>
  <si>
    <t>GVRFD / HRDLICKA</t>
  </si>
  <si>
    <t>RA 4 PAYETTE CO</t>
  </si>
  <si>
    <t>RA 2 PAYETTE CO ASHLOCK</t>
  </si>
  <si>
    <t>6N 4W 13</t>
  </si>
  <si>
    <t>SAND HOLLOW</t>
  </si>
  <si>
    <t>43 51 31</t>
  </si>
  <si>
    <t>116 46 16</t>
  </si>
  <si>
    <t>S29M</t>
  </si>
  <si>
    <t>NS 6 SWS</t>
  </si>
  <si>
    <t>4N 4E 11</t>
  </si>
  <si>
    <t>S2BY</t>
  </si>
  <si>
    <t>CINDER</t>
  </si>
  <si>
    <t>WREN</t>
  </si>
  <si>
    <t>2S 4E 28</t>
  </si>
  <si>
    <t>43 13 29</t>
  </si>
  <si>
    <t>115 59 45</t>
  </si>
  <si>
    <t>S2EU</t>
  </si>
  <si>
    <t>SHAW</t>
  </si>
  <si>
    <t>3N 3E 05</t>
  </si>
  <si>
    <t>43 37 45</t>
  </si>
  <si>
    <t>116 07 10</t>
  </si>
  <si>
    <t>ALEXANDER</t>
  </si>
  <si>
    <t>KIELTY</t>
  </si>
  <si>
    <t>S2H4</t>
  </si>
  <si>
    <t>S2JE</t>
  </si>
  <si>
    <t>NS 7 BOD</t>
  </si>
  <si>
    <t>2N 10E 19</t>
  </si>
  <si>
    <t>S2LP</t>
  </si>
  <si>
    <t>NELSON</t>
  </si>
  <si>
    <t>7N 4E 27</t>
  </si>
  <si>
    <t>43 54 57</t>
  </si>
  <si>
    <t>115 58 14</t>
  </si>
  <si>
    <t>S2KW</t>
  </si>
  <si>
    <t>WOLFIE</t>
  </si>
  <si>
    <t>McCORMACK</t>
  </si>
  <si>
    <t>L</t>
  </si>
  <si>
    <t>1S 3E 36</t>
  </si>
  <si>
    <t>43 17 07</t>
  </si>
  <si>
    <t>116 02 40</t>
  </si>
  <si>
    <t>S2LN</t>
  </si>
  <si>
    <t>FA 2 BOD</t>
  </si>
  <si>
    <t>1S 5W 17</t>
  </si>
  <si>
    <t>SUMMIT</t>
  </si>
  <si>
    <t>LUCARELLI</t>
  </si>
  <si>
    <t>15N 7E 10</t>
  </si>
  <si>
    <t>44 38 41</t>
  </si>
  <si>
    <t>115 35 07</t>
  </si>
  <si>
    <t>SPIEGEL</t>
  </si>
  <si>
    <t>GATES</t>
  </si>
  <si>
    <t>COLEMAN</t>
  </si>
  <si>
    <t>12N 9E 36</t>
  </si>
  <si>
    <t>44 19 59</t>
  </si>
  <si>
    <t>115 19 05</t>
  </si>
  <si>
    <t>WASH</t>
  </si>
  <si>
    <t>HENDERSON</t>
  </si>
  <si>
    <t>8N 4E 14</t>
  </si>
  <si>
    <t>44 02 00</t>
  </si>
  <si>
    <t>115 56 31</t>
  </si>
  <si>
    <t>BEAR</t>
  </si>
  <si>
    <t>SONDEREGGER</t>
  </si>
  <si>
    <t>DeLONG</t>
  </si>
  <si>
    <t>15N 7E 17</t>
  </si>
  <si>
    <t>44 38 35</t>
  </si>
  <si>
    <t>115 38 24</t>
  </si>
  <si>
    <t>BACK</t>
  </si>
  <si>
    <t>14N 6E 33</t>
  </si>
  <si>
    <t>44 30 38</t>
  </si>
  <si>
    <t>115 44 19</t>
  </si>
  <si>
    <t>ANDERTON</t>
  </si>
  <si>
    <t>TRASH BURNING</t>
  </si>
  <si>
    <t>GOOSE</t>
  </si>
  <si>
    <t>STEWART</t>
  </si>
  <si>
    <t>SHELEY</t>
  </si>
  <si>
    <t>9N 4E 12</t>
  </si>
  <si>
    <t>44 07 53</t>
  </si>
  <si>
    <t>115 55 43</t>
  </si>
  <si>
    <t>S2P7</t>
  </si>
  <si>
    <t>ION</t>
  </si>
  <si>
    <t>S2NQ</t>
  </si>
  <si>
    <t>1N 4W 19</t>
  </si>
  <si>
    <t>43 24 48</t>
  </si>
  <si>
    <t>116 51 14</t>
  </si>
  <si>
    <t>Village</t>
  </si>
  <si>
    <t>14s</t>
  </si>
  <si>
    <t>5&amp;6</t>
  </si>
  <si>
    <t>11:L51</t>
  </si>
  <si>
    <t>FLINT</t>
  </si>
  <si>
    <t>S2TB</t>
  </si>
  <si>
    <t>SHINKLE</t>
  </si>
  <si>
    <t>6S 4W 15</t>
  </si>
  <si>
    <t>42 53 48</t>
  </si>
  <si>
    <t>116 48 09</t>
  </si>
  <si>
    <t>S2TZ</t>
  </si>
  <si>
    <t>REGG</t>
  </si>
  <si>
    <t>MAZARIEGOS</t>
  </si>
  <si>
    <t>1S 4E 03</t>
  </si>
  <si>
    <t>43 21 55</t>
  </si>
  <si>
    <t>115 57 21</t>
  </si>
  <si>
    <t>MM4 HWY17</t>
  </si>
  <si>
    <t>SRL</t>
  </si>
  <si>
    <t>VEHICLE</t>
  </si>
  <si>
    <t>9N 3E 25</t>
  </si>
  <si>
    <t>S2UM</t>
  </si>
  <si>
    <t>GV 855</t>
  </si>
  <si>
    <t>S2UU</t>
  </si>
  <si>
    <t>6N 4W 35</t>
  </si>
  <si>
    <t>43 49 09</t>
  </si>
  <si>
    <t>116 46 53</t>
  </si>
  <si>
    <t>BUCKAROO</t>
  </si>
  <si>
    <t>S2W3</t>
  </si>
  <si>
    <t>6S 6E 32</t>
  </si>
  <si>
    <t>42 51 03</t>
  </si>
  <si>
    <t>115 45 40</t>
  </si>
  <si>
    <t>44 05 33</t>
  </si>
  <si>
    <t>116 02 35</t>
  </si>
  <si>
    <t>ALMEIDA</t>
  </si>
  <si>
    <t>BIGBAR</t>
  </si>
  <si>
    <t>4S 2E 22</t>
  </si>
  <si>
    <t>S2XS</t>
  </si>
  <si>
    <t>S2XR</t>
  </si>
  <si>
    <t>RA 5 PAYETTE CO</t>
  </si>
  <si>
    <t>RA 6 ADA CO</t>
  </si>
  <si>
    <t>5N 1W 28</t>
  </si>
  <si>
    <t>43 44 52</t>
  </si>
  <si>
    <t>116 27 32</t>
  </si>
  <si>
    <t>MIDSTAR / KIDD</t>
  </si>
  <si>
    <t>MM85 I84</t>
  </si>
  <si>
    <t>S2Y4</t>
  </si>
  <si>
    <t>PERKINS</t>
  </si>
  <si>
    <t>BRUMMET</t>
  </si>
  <si>
    <t>2S 5E 26</t>
  </si>
  <si>
    <t>43 13 18</t>
  </si>
  <si>
    <t>115 49 16</t>
  </si>
  <si>
    <t>S2YC</t>
  </si>
  <si>
    <t>CURLEW</t>
  </si>
  <si>
    <t>1N 10E 08</t>
  </si>
  <si>
    <t>43 26 11</t>
  </si>
  <si>
    <t>115 17 19</t>
  </si>
  <si>
    <t>43 03 28</t>
  </si>
  <si>
    <t>116 12 14</t>
  </si>
  <si>
    <t>S327</t>
  </si>
  <si>
    <t>NS 8 BOD</t>
  </si>
  <si>
    <t>6N 3W 36</t>
  </si>
  <si>
    <t>STANDI</t>
  </si>
  <si>
    <t>43 21 05</t>
  </si>
  <si>
    <t>116 14 14</t>
  </si>
  <si>
    <t>S339</t>
  </si>
  <si>
    <t>5N 5E 18</t>
  </si>
  <si>
    <t>S346</t>
  </si>
  <si>
    <t>FA 3 SWS</t>
  </si>
  <si>
    <t>OTR 29</t>
  </si>
  <si>
    <t>OTR 30</t>
  </si>
  <si>
    <t>OTR 31</t>
  </si>
  <si>
    <t>OTR 32</t>
  </si>
  <si>
    <t>OTR 33</t>
  </si>
  <si>
    <t>OTR 34</t>
  </si>
  <si>
    <t>OTR 35</t>
  </si>
  <si>
    <t>OTR 36</t>
  </si>
  <si>
    <t>OTR 37</t>
  </si>
  <si>
    <t>OTR 38</t>
  </si>
  <si>
    <t>OTR 39</t>
  </si>
  <si>
    <t>OTR 40</t>
  </si>
  <si>
    <t>OTR 41</t>
  </si>
  <si>
    <t>OTR 42</t>
  </si>
  <si>
    <t>OTR 43</t>
  </si>
  <si>
    <t>OTR 44</t>
  </si>
  <si>
    <t>OTR 45</t>
  </si>
  <si>
    <t>OTR 46</t>
  </si>
  <si>
    <t>OTR 47</t>
  </si>
  <si>
    <t>OTR 48</t>
  </si>
  <si>
    <t>OTR 49</t>
  </si>
  <si>
    <t>OTR 50</t>
  </si>
  <si>
    <t>OTR 51</t>
  </si>
  <si>
    <t>OTR 52</t>
  </si>
  <si>
    <t>OTR 53</t>
  </si>
  <si>
    <t>OTR 54</t>
  </si>
  <si>
    <t>OTR 55</t>
  </si>
  <si>
    <t>OTR 56</t>
  </si>
  <si>
    <t>OTR 57</t>
  </si>
  <si>
    <t>OTR 58</t>
  </si>
  <si>
    <t>OTR 59</t>
  </si>
  <si>
    <t>OTR 60</t>
  </si>
  <si>
    <t>OTR 61</t>
  </si>
  <si>
    <t>OTR 62</t>
  </si>
  <si>
    <t>OTR 63</t>
  </si>
  <si>
    <t>OTR 64</t>
  </si>
  <si>
    <t>OTR 65</t>
  </si>
  <si>
    <t>OTR 66</t>
  </si>
  <si>
    <t>OTR 67</t>
  </si>
  <si>
    <t>OTR 68</t>
  </si>
  <si>
    <t>OTR 69</t>
  </si>
  <si>
    <t>OTR 70</t>
  </si>
  <si>
    <t>OTR 71</t>
  </si>
  <si>
    <t>OTR 72</t>
  </si>
  <si>
    <t>OTR 73</t>
  </si>
  <si>
    <t>OTR 74</t>
  </si>
  <si>
    <t>OTR 75</t>
  </si>
  <si>
    <t>OTR 76</t>
  </si>
  <si>
    <t>OTR 77</t>
  </si>
  <si>
    <t>OTR 78</t>
  </si>
  <si>
    <t>OTR 79</t>
  </si>
  <si>
    <t>OTR 80</t>
  </si>
  <si>
    <t>OTR 81</t>
  </si>
  <si>
    <t>OTR 82</t>
  </si>
  <si>
    <t>OTR 83</t>
  </si>
  <si>
    <t>OTR 84</t>
  </si>
  <si>
    <t>OTR 85</t>
  </si>
  <si>
    <t>OTR 86</t>
  </si>
  <si>
    <t>OTR 87</t>
  </si>
  <si>
    <t>OTR 88</t>
  </si>
  <si>
    <t>OTR 89</t>
  </si>
  <si>
    <t>OTR 90</t>
  </si>
  <si>
    <t>OTR 91</t>
  </si>
  <si>
    <t>OTR 92</t>
  </si>
  <si>
    <t>OTR 93</t>
  </si>
  <si>
    <t>OTR 94</t>
  </si>
  <si>
    <t>OTR 95</t>
  </si>
  <si>
    <t>OTR 96</t>
  </si>
  <si>
    <t>OTR 97</t>
  </si>
  <si>
    <t>OTR 98</t>
  </si>
  <si>
    <t>OTR 99</t>
  </si>
  <si>
    <t>OTR 100</t>
  </si>
  <si>
    <t>OTR 101</t>
  </si>
  <si>
    <t>OTR 102</t>
  </si>
  <si>
    <t>OTR 103</t>
  </si>
  <si>
    <t>OTR 104</t>
  </si>
  <si>
    <t>OTR 105</t>
  </si>
  <si>
    <t>OTR 106</t>
  </si>
  <si>
    <t>OTR 107</t>
  </si>
  <si>
    <t>OTR 108</t>
  </si>
  <si>
    <t>OTR 109</t>
  </si>
  <si>
    <t>OTR 110</t>
  </si>
  <si>
    <t>OTR 111</t>
  </si>
  <si>
    <t>OTR 112</t>
  </si>
  <si>
    <t>OTR 113</t>
  </si>
  <si>
    <t>OTR 114</t>
  </si>
  <si>
    <t>OTR 115</t>
  </si>
  <si>
    <t>OTR 116</t>
  </si>
  <si>
    <t>S3CY</t>
  </si>
  <si>
    <t>POINTER</t>
  </si>
  <si>
    <t>1S 1W 02</t>
  </si>
  <si>
    <t>43 21 44</t>
  </si>
  <si>
    <t>116 25 12</t>
  </si>
  <si>
    <t>TOWER</t>
  </si>
  <si>
    <t>FIREWORKS</t>
  </si>
  <si>
    <t>S3D8</t>
  </si>
  <si>
    <t>NEVILLE</t>
  </si>
  <si>
    <t>MCCONN</t>
  </si>
  <si>
    <t>1S 2E 34</t>
  </si>
  <si>
    <t>TRAVIS</t>
  </si>
  <si>
    <t>S3DF</t>
  </si>
  <si>
    <t>43 49 07</t>
  </si>
  <si>
    <t>116 47 21</t>
  </si>
  <si>
    <t>43 17 42</t>
  </si>
  <si>
    <t>116 12 09</t>
  </si>
  <si>
    <t>TENPEN</t>
  </si>
  <si>
    <t>KRFD/ROJAS</t>
  </si>
  <si>
    <t>2N 2E 32</t>
  </si>
  <si>
    <t>S3F7</t>
  </si>
  <si>
    <t>43 27 52</t>
  </si>
  <si>
    <t>116 14 21</t>
  </si>
  <si>
    <t>MM81 I84</t>
  </si>
  <si>
    <t>KELTY</t>
  </si>
  <si>
    <t>S3FM</t>
  </si>
  <si>
    <t>2S 5E 09</t>
  </si>
  <si>
    <t>43 15 53</t>
  </si>
  <si>
    <t>115 52 02</t>
  </si>
  <si>
    <t>S3H0</t>
  </si>
  <si>
    <t>MM8 I84</t>
  </si>
  <si>
    <t>7N 4W 28</t>
  </si>
  <si>
    <t>43 55 14</t>
  </si>
  <si>
    <t>116 49 58</t>
  </si>
  <si>
    <t>S3J5</t>
  </si>
  <si>
    <t>MM84 I84</t>
  </si>
  <si>
    <t>JOYCE</t>
  </si>
  <si>
    <t>11N 10E 23</t>
  </si>
  <si>
    <t>FA 5 BOF</t>
  </si>
  <si>
    <t>FA 4 BOD</t>
  </si>
  <si>
    <t>S35S</t>
  </si>
  <si>
    <t>S3NL</t>
  </si>
  <si>
    <t>CAVES</t>
  </si>
  <si>
    <t>1N 1W 22</t>
  </si>
  <si>
    <t>43 24 44</t>
  </si>
  <si>
    <t>116 26 59</t>
  </si>
  <si>
    <t>43 13 23</t>
  </si>
  <si>
    <t>115 49 22</t>
  </si>
  <si>
    <t>S3SG</t>
  </si>
  <si>
    <t>TENCOLE</t>
  </si>
  <si>
    <t>S3SP</t>
  </si>
  <si>
    <t>HOMER</t>
  </si>
  <si>
    <t>SCHELLENBERG</t>
  </si>
  <si>
    <t>MRFD 51</t>
  </si>
  <si>
    <t>43 28 51</t>
  </si>
  <si>
    <t>116 17 03</t>
  </si>
  <si>
    <t>2N 1E 25</t>
  </si>
  <si>
    <t>DISCOVER</t>
  </si>
  <si>
    <t>SWERSEY</t>
  </si>
  <si>
    <t>MACK</t>
  </si>
  <si>
    <t>S3TN</t>
  </si>
  <si>
    <t>KURTH</t>
  </si>
  <si>
    <t>TRIPLETT</t>
  </si>
  <si>
    <t>6N 5E 27</t>
  </si>
  <si>
    <t>43 49 21</t>
  </si>
  <si>
    <t>115 50 59</t>
  </si>
  <si>
    <t>S3TU</t>
  </si>
  <si>
    <t>2N 3E 11</t>
  </si>
  <si>
    <t>43 31 39</t>
  </si>
  <si>
    <t>116 03 46</t>
  </si>
  <si>
    <t>43 44 46</t>
  </si>
  <si>
    <t>116 25 26</t>
  </si>
  <si>
    <t>TINYFREE</t>
  </si>
  <si>
    <t>LOVELESS</t>
  </si>
  <si>
    <t>43 50 00</t>
  </si>
  <si>
    <t>116 37 25</t>
  </si>
  <si>
    <t>S3UV</t>
  </si>
  <si>
    <t>EASTROSS</t>
  </si>
  <si>
    <t>S3VE</t>
  </si>
  <si>
    <t>HERNANDEZ</t>
  </si>
  <si>
    <t>2N 3W 27</t>
  </si>
  <si>
    <t>MM37 HWY78</t>
  </si>
  <si>
    <t>43 28 42</t>
  </si>
  <si>
    <t>116 41 13</t>
  </si>
  <si>
    <t>S3VZ</t>
  </si>
  <si>
    <t>NIBLETT</t>
  </si>
  <si>
    <t>3S 1W 33</t>
  </si>
  <si>
    <t>43 06 55</t>
  </si>
  <si>
    <t>116 28 25</t>
  </si>
  <si>
    <t>NS 9 BOD</t>
  </si>
  <si>
    <t>5N 1E 34</t>
  </si>
  <si>
    <t>S3Y3</t>
  </si>
  <si>
    <t>S3Z1</t>
  </si>
  <si>
    <t>NORDIFER</t>
  </si>
  <si>
    <t>1S 2E 09</t>
  </si>
  <si>
    <t>43 21 23</t>
  </si>
  <si>
    <t>116 13 50</t>
  </si>
  <si>
    <t>FORK</t>
  </si>
  <si>
    <t>9S 5W 29</t>
  </si>
  <si>
    <t>PASQUAL</t>
  </si>
  <si>
    <t>42 36 16</t>
  </si>
  <si>
    <t>116 57 41</t>
  </si>
  <si>
    <t>S42G</t>
  </si>
  <si>
    <t>GOLDEN</t>
  </si>
  <si>
    <t>BAXTER</t>
  </si>
  <si>
    <t>19N 8E 32</t>
  </si>
  <si>
    <t>44 56 38</t>
  </si>
  <si>
    <t>115 30 35</t>
  </si>
  <si>
    <t>HART</t>
  </si>
  <si>
    <t>S44Q</t>
  </si>
  <si>
    <t>S424</t>
  </si>
  <si>
    <t>FA 6 BOD</t>
  </si>
  <si>
    <t>5S 8E 17</t>
  </si>
  <si>
    <t>FA 7 BOD</t>
  </si>
  <si>
    <t>S44W</t>
  </si>
  <si>
    <t>2N 3E 04</t>
  </si>
  <si>
    <t>S45G</t>
  </si>
  <si>
    <t>FA 8 BOD</t>
  </si>
  <si>
    <t>1N 3E 09</t>
  </si>
  <si>
    <t>S44S</t>
  </si>
  <si>
    <t>RA 7 PAYETTE CO ELPASO</t>
  </si>
  <si>
    <t>6N 4W 01</t>
  </si>
  <si>
    <t>43 53 20</t>
  </si>
  <si>
    <t>116 45 18</t>
  </si>
  <si>
    <t>NEW PLY. 300 / KIDD</t>
  </si>
  <si>
    <t>DITTO</t>
  </si>
  <si>
    <t>S46K</t>
  </si>
  <si>
    <t>BERBIG</t>
  </si>
  <si>
    <t>43 49 35</t>
  </si>
  <si>
    <t>116 37 01</t>
  </si>
  <si>
    <t>43 13 49</t>
  </si>
  <si>
    <t>115 50 02</t>
  </si>
  <si>
    <t>SOSIM</t>
  </si>
  <si>
    <t>4S 4E 10</t>
  </si>
  <si>
    <t>43 05 25</t>
  </si>
  <si>
    <t>115 58 01</t>
  </si>
  <si>
    <t>BAKKEN</t>
  </si>
  <si>
    <t>S474</t>
  </si>
  <si>
    <t>south of ASP</t>
  </si>
  <si>
    <t>OTR 117</t>
  </si>
  <si>
    <t>OTR 118</t>
  </si>
  <si>
    <t>OTR 119</t>
  </si>
  <si>
    <t>OTR 120</t>
  </si>
  <si>
    <t>OTR 121</t>
  </si>
  <si>
    <t>OTR 122</t>
  </si>
  <si>
    <t>OTR 123</t>
  </si>
  <si>
    <t>OTR 124</t>
  </si>
  <si>
    <t>OTR 125</t>
  </si>
  <si>
    <t>OTR 126</t>
  </si>
  <si>
    <t>OTR 127</t>
  </si>
  <si>
    <t>OTR 128</t>
  </si>
  <si>
    <t>OTR 129</t>
  </si>
  <si>
    <t>OTR 130</t>
  </si>
  <si>
    <t>OTR 131</t>
  </si>
  <si>
    <t>OTR 132</t>
  </si>
  <si>
    <t>OTR 133</t>
  </si>
  <si>
    <t>OTR 134</t>
  </si>
  <si>
    <t>OTR 135</t>
  </si>
  <si>
    <t>OTR 136</t>
  </si>
  <si>
    <t>OTR 137</t>
  </si>
  <si>
    <t>OTR 138</t>
  </si>
  <si>
    <t>OTR 139</t>
  </si>
  <si>
    <t>OTR 140</t>
  </si>
  <si>
    <t>OTR 141</t>
  </si>
  <si>
    <t>OTR 142</t>
  </si>
  <si>
    <t>OTR 143</t>
  </si>
  <si>
    <t>OTR 144</t>
  </si>
  <si>
    <t>OTR 145</t>
  </si>
  <si>
    <t>TENMILE</t>
  </si>
  <si>
    <t>LOOKOUT</t>
  </si>
  <si>
    <t>PETERSON</t>
  </si>
  <si>
    <t>SENA</t>
  </si>
  <si>
    <t>9N 9E 15</t>
  </si>
  <si>
    <t>44 06 35</t>
  </si>
  <si>
    <t>115 22 43</t>
  </si>
  <si>
    <t>ROCKY</t>
  </si>
  <si>
    <t>S4FH</t>
  </si>
  <si>
    <t>43 37 46</t>
  </si>
  <si>
    <t>116 07 31</t>
  </si>
  <si>
    <t xml:space="preserve"> NORSOM</t>
  </si>
  <si>
    <t>DRAPER</t>
  </si>
  <si>
    <t>2N 43 29</t>
  </si>
  <si>
    <t>S4JJ</t>
  </si>
  <si>
    <t>43 28 29</t>
  </si>
  <si>
    <t>116 50 33</t>
  </si>
  <si>
    <t>2N 3W 01</t>
  </si>
  <si>
    <t>GOTTS</t>
  </si>
  <si>
    <t>S4KJ</t>
  </si>
  <si>
    <t>STRINGFIELD</t>
  </si>
  <si>
    <t>JIRAK</t>
  </si>
  <si>
    <t>NOSTAND</t>
  </si>
  <si>
    <t>S4LH</t>
  </si>
  <si>
    <t>HAHN</t>
  </si>
  <si>
    <t>6N 4E 15</t>
  </si>
  <si>
    <t>S4MG</t>
  </si>
  <si>
    <t>43 20 39</t>
  </si>
  <si>
    <t>116 14 34</t>
  </si>
  <si>
    <t>43 32 46</t>
  </si>
  <si>
    <t>116 38 28</t>
  </si>
  <si>
    <t>43 51 50</t>
  </si>
  <si>
    <t>115 58 06</t>
  </si>
  <si>
    <t>ROSS</t>
  </si>
  <si>
    <t>S4QM</t>
  </si>
  <si>
    <t>BAECHLE</t>
  </si>
  <si>
    <t>FIELDS</t>
  </si>
  <si>
    <t>43 56 09</t>
  </si>
  <si>
    <t>115 47 48</t>
  </si>
  <si>
    <t>7N 6E 09</t>
  </si>
  <si>
    <t>43 20 40</t>
  </si>
  <si>
    <t>116 14 30</t>
  </si>
  <si>
    <t>S4WS</t>
  </si>
  <si>
    <t>NS 10 SWS</t>
  </si>
  <si>
    <t>3N 3E 07</t>
  </si>
  <si>
    <t>HOHUMM</t>
  </si>
  <si>
    <t>NAMELESS</t>
  </si>
  <si>
    <t>13N 9E 20</t>
  </si>
  <si>
    <t>44 26 55</t>
  </si>
  <si>
    <t>115 24 59</t>
  </si>
  <si>
    <t>S53Y</t>
  </si>
  <si>
    <t>S545</t>
  </si>
  <si>
    <t>FA 9 BOD</t>
  </si>
  <si>
    <t>FA 10 BOD</t>
  </si>
  <si>
    <t>1N 2E 34</t>
  </si>
  <si>
    <t>2S 4E 33</t>
  </si>
  <si>
    <t>MM6 HWY167</t>
  </si>
  <si>
    <t>4S 4E 31</t>
  </si>
  <si>
    <t>43 02 05</t>
  </si>
  <si>
    <t>S54L</t>
  </si>
  <si>
    <t>SECOND</t>
  </si>
  <si>
    <t>S54S</t>
  </si>
  <si>
    <t>TROUT</t>
  </si>
  <si>
    <t>BIGFOOT</t>
  </si>
  <si>
    <t>GEM 951</t>
  </si>
  <si>
    <t>BEGGS</t>
  </si>
  <si>
    <t>11N 1E 24</t>
  </si>
  <si>
    <t>44 16 39</t>
  </si>
  <si>
    <t>116 16 50</t>
  </si>
  <si>
    <t>S55A</t>
  </si>
  <si>
    <t>16N 7E 01</t>
  </si>
  <si>
    <t>44 44 45</t>
  </si>
  <si>
    <t>115 32 56</t>
  </si>
  <si>
    <t>2S 2E 30</t>
  </si>
  <si>
    <t>43 13 28</t>
  </si>
  <si>
    <t>116 15 42</t>
  </si>
  <si>
    <t>16N 5E 22</t>
  </si>
  <si>
    <t xml:space="preserve">GOLD </t>
  </si>
  <si>
    <t>44 42 22</t>
  </si>
  <si>
    <t>115 50 37</t>
  </si>
  <si>
    <t>PATOTA</t>
  </si>
  <si>
    <t>JULLIAN</t>
  </si>
  <si>
    <t>S579</t>
  </si>
  <si>
    <t>RATTLE</t>
  </si>
  <si>
    <t>JUDD</t>
  </si>
  <si>
    <t>5S 6E 19</t>
  </si>
  <si>
    <t>42 58 27</t>
  </si>
  <si>
    <t>115 46 51</t>
  </si>
  <si>
    <t>BYPASS</t>
  </si>
  <si>
    <t>S5AJ</t>
  </si>
  <si>
    <t>TEIDT</t>
  </si>
  <si>
    <t>3S 6E 17</t>
  </si>
  <si>
    <t>43 09 29</t>
  </si>
  <si>
    <t>115 46 04</t>
  </si>
  <si>
    <t>JOHNNY</t>
  </si>
  <si>
    <t>9S 2W 21</t>
  </si>
  <si>
    <t>S5BV</t>
  </si>
  <si>
    <t>COYOTE</t>
  </si>
  <si>
    <t>VAD</t>
  </si>
  <si>
    <t>S5CE</t>
  </si>
  <si>
    <t>42 37 05</t>
  </si>
  <si>
    <t>116 34 31</t>
  </si>
  <si>
    <t>33S 46E 13</t>
  </si>
  <si>
    <t>42 41 16</t>
  </si>
  <si>
    <t>117 01 42</t>
  </si>
  <si>
    <t>FRENCHIE</t>
  </si>
  <si>
    <t>S5DJ</t>
  </si>
  <si>
    <t>1N 5W 23</t>
  </si>
  <si>
    <t>43 24 17</t>
  </si>
  <si>
    <t>116 54 14</t>
  </si>
  <si>
    <t>HOTSPRING</t>
  </si>
  <si>
    <t>11N 5E 32</t>
  </si>
  <si>
    <t>44 14 58</t>
  </si>
  <si>
    <t>115 53 21</t>
  </si>
  <si>
    <t>CARVAJAL</t>
  </si>
  <si>
    <t>S5GY</t>
  </si>
  <si>
    <t>S5JU</t>
  </si>
  <si>
    <t>NS 11 BOD</t>
  </si>
  <si>
    <t>5N 1W 09</t>
  </si>
  <si>
    <t>S5JL</t>
  </si>
  <si>
    <t>43 32 00</t>
  </si>
  <si>
    <t>116 04 52</t>
  </si>
  <si>
    <t>S5K2</t>
  </si>
  <si>
    <t>TINDALL</t>
  </si>
  <si>
    <t>5S 5E 19</t>
  </si>
  <si>
    <t>42 58 44</t>
  </si>
  <si>
    <t>115 53 43</t>
  </si>
  <si>
    <t>S5KP</t>
  </si>
  <si>
    <t>MEDBURY</t>
  </si>
  <si>
    <t>5S 8E 29</t>
  </si>
  <si>
    <t>42 57 24</t>
  </si>
  <si>
    <t>115 31 27</t>
  </si>
  <si>
    <t>MM9 HWY21</t>
  </si>
  <si>
    <t>PVR</t>
  </si>
  <si>
    <t>43 22 11</t>
  </si>
  <si>
    <t>116 15 30</t>
  </si>
  <si>
    <t>S5KT</t>
  </si>
  <si>
    <t>S5MP</t>
  </si>
  <si>
    <t>CHAULKY</t>
  </si>
  <si>
    <t>JOHNSON</t>
  </si>
  <si>
    <t>1S 3W 35</t>
  </si>
  <si>
    <t>43 17 50</t>
  </si>
  <si>
    <t>116 39 35</t>
  </si>
  <si>
    <t>HEM</t>
  </si>
  <si>
    <t>S5RQ</t>
  </si>
  <si>
    <t>1S 3W 25</t>
  </si>
  <si>
    <t>43 18 42</t>
  </si>
  <si>
    <t>116 38 45</t>
  </si>
  <si>
    <t>MM65 I84</t>
  </si>
  <si>
    <t>1N 3E 02</t>
  </si>
  <si>
    <t>S5TP</t>
  </si>
  <si>
    <t>S5TX</t>
  </si>
  <si>
    <t>MANSTAN</t>
  </si>
  <si>
    <t>43 26 45</t>
  </si>
  <si>
    <t>116 04 27</t>
  </si>
  <si>
    <t>43 20 47</t>
  </si>
  <si>
    <t>116 15 05</t>
  </si>
  <si>
    <t>S5UE</t>
  </si>
  <si>
    <t>RA 8 ADA CO</t>
  </si>
  <si>
    <t>KRFD</t>
  </si>
  <si>
    <t>1N 1E 09</t>
  </si>
  <si>
    <t>116 20 12</t>
  </si>
  <si>
    <t>PASIS</t>
  </si>
  <si>
    <t>S5W2</t>
  </si>
  <si>
    <t>43 49 44</t>
  </si>
  <si>
    <t>S601</t>
  </si>
  <si>
    <t>S603</t>
  </si>
  <si>
    <t>JUMP</t>
  </si>
  <si>
    <t>MURPHY</t>
  </si>
  <si>
    <t>McPHARLIN</t>
  </si>
  <si>
    <t>AGIDIUS</t>
  </si>
  <si>
    <t>2N 5W 27</t>
  </si>
  <si>
    <t>1N 1W 03</t>
  </si>
  <si>
    <t>43 29 04</t>
  </si>
  <si>
    <t>116 55 12</t>
  </si>
  <si>
    <t>43 27 07</t>
  </si>
  <si>
    <t>116 26 04</t>
  </si>
  <si>
    <t>S60W</t>
  </si>
  <si>
    <t>5S 9E 32</t>
  </si>
  <si>
    <t>42 56 45</t>
  </si>
  <si>
    <t>115 24 19</t>
  </si>
  <si>
    <t>RA 9 WASHINGTON CO CADA</t>
  </si>
  <si>
    <t>MDVL 911</t>
  </si>
  <si>
    <t>S61L</t>
  </si>
  <si>
    <t>11N 1W 18</t>
  </si>
  <si>
    <t>44 17 15</t>
  </si>
  <si>
    <t>116 30 04</t>
  </si>
  <si>
    <t>S65P</t>
  </si>
  <si>
    <t>LILHORSE</t>
  </si>
  <si>
    <t>RA 10 PAYETTE CO PEARL</t>
  </si>
  <si>
    <t>PARMA</t>
  </si>
  <si>
    <t>6N 5W 25</t>
  </si>
  <si>
    <t>BFO</t>
  </si>
  <si>
    <t>SUNSHINE</t>
  </si>
  <si>
    <t>10S 3W 13</t>
  </si>
  <si>
    <t>S68R</t>
  </si>
  <si>
    <t>43 49 55</t>
  </si>
  <si>
    <t>116 53 15</t>
  </si>
  <si>
    <t>S69C</t>
  </si>
  <si>
    <t>PLUMMER</t>
  </si>
  <si>
    <t>`42 32 56</t>
  </si>
  <si>
    <t>116 38 40</t>
  </si>
  <si>
    <t>DOUGH</t>
  </si>
  <si>
    <t>9S 6W 26</t>
  </si>
  <si>
    <t>9N 9E 09</t>
  </si>
  <si>
    <t>NINES</t>
  </si>
  <si>
    <t>GABLE</t>
  </si>
  <si>
    <t>DAVEY</t>
  </si>
  <si>
    <t>S6AG</t>
  </si>
  <si>
    <t xml:space="preserve">42 36 40 </t>
  </si>
  <si>
    <t>117 00 39</t>
  </si>
  <si>
    <t>WASHBURN</t>
  </si>
  <si>
    <t>44 07 49</t>
  </si>
  <si>
    <t>115 23 32</t>
  </si>
  <si>
    <t>12N 10E 30</t>
  </si>
  <si>
    <t xml:space="preserve">FIR </t>
  </si>
  <si>
    <t>44 20 38</t>
  </si>
  <si>
    <t>115 18 46</t>
  </si>
  <si>
    <t>12N 2E 17</t>
  </si>
  <si>
    <t>RADE</t>
  </si>
  <si>
    <t>SAENZ</t>
  </si>
  <si>
    <t>EAGLE</t>
  </si>
  <si>
    <t>44 22 51</t>
  </si>
  <si>
    <t>116 14 36</t>
  </si>
  <si>
    <t>SCHOOL</t>
  </si>
  <si>
    <t>6S 6W 13</t>
  </si>
  <si>
    <t>S6CN</t>
  </si>
  <si>
    <t>MONROE</t>
  </si>
  <si>
    <t>42 54 02</t>
  </si>
  <si>
    <t>116 59 53</t>
  </si>
  <si>
    <t>S6CV</t>
  </si>
  <si>
    <t>1S 4E 30</t>
  </si>
  <si>
    <t>43 18 33</t>
  </si>
  <si>
    <t>116 01 52</t>
  </si>
  <si>
    <t>S6D3</t>
  </si>
  <si>
    <t>SUCCOR</t>
  </si>
  <si>
    <t>2S 5W 33</t>
  </si>
  <si>
    <t>43 12 22</t>
  </si>
  <si>
    <t>8S 3W 12</t>
  </si>
  <si>
    <t>S6EE</t>
  </si>
  <si>
    <t>AQUISO</t>
  </si>
  <si>
    <t>42 44 44</t>
  </si>
  <si>
    <t>116 38 06</t>
  </si>
  <si>
    <t>LOUISA</t>
  </si>
  <si>
    <t>BATES</t>
  </si>
  <si>
    <t>S6FX</t>
  </si>
  <si>
    <t>4S 1W 21</t>
  </si>
  <si>
    <t>43 03 17</t>
  </si>
  <si>
    <t>116 27 54</t>
  </si>
  <si>
    <t>WAIDE</t>
  </si>
  <si>
    <t>CREEK</t>
  </si>
  <si>
    <t>SAGE</t>
  </si>
  <si>
    <t>12N 3E 20</t>
  </si>
  <si>
    <t>LONGPINE</t>
  </si>
  <si>
    <t>10N 2E 28</t>
  </si>
  <si>
    <t>44 10 04</t>
  </si>
  <si>
    <t xml:space="preserve">116 43 13 </t>
  </si>
  <si>
    <t>S6GA</t>
  </si>
  <si>
    <t>S6GB</t>
  </si>
  <si>
    <t>10N 2E 29</t>
  </si>
  <si>
    <t>44 09 58</t>
  </si>
  <si>
    <t>116 14 04</t>
  </si>
  <si>
    <t>STONE</t>
  </si>
  <si>
    <t>DELONG</t>
  </si>
  <si>
    <t>10N 10E 33</t>
  </si>
  <si>
    <t>WOLF</t>
  </si>
  <si>
    <t>15S 3W 24</t>
  </si>
  <si>
    <t>42 06 11</t>
  </si>
  <si>
    <t>44 21 29</t>
  </si>
  <si>
    <t>116 07 08</t>
  </si>
  <si>
    <t>44 44 01</t>
  </si>
  <si>
    <t>115 36 00</t>
  </si>
  <si>
    <t>16N 7E 10</t>
  </si>
  <si>
    <t>WAGNER</t>
  </si>
  <si>
    <t>WALTON</t>
  </si>
  <si>
    <t>44 09 21</t>
  </si>
  <si>
    <t>115 16 33</t>
  </si>
  <si>
    <t>SOUTHPOINT</t>
  </si>
  <si>
    <t>CAMP</t>
  </si>
  <si>
    <t>10N 6E 33</t>
  </si>
  <si>
    <t>1S 1E 06</t>
  </si>
  <si>
    <t>43 22 08</t>
  </si>
  <si>
    <t>116 23 35</t>
  </si>
  <si>
    <t>S6JD</t>
  </si>
  <si>
    <t>SHREEVE</t>
  </si>
  <si>
    <t>BLACKSTONE</t>
  </si>
  <si>
    <t>S6JM</t>
  </si>
  <si>
    <t>S6JU</t>
  </si>
  <si>
    <t>MM86 HWY51</t>
  </si>
  <si>
    <t>LEWIS</t>
  </si>
  <si>
    <t>EASTHORSE</t>
  </si>
  <si>
    <t>10S 6E 35</t>
  </si>
  <si>
    <t>4S 6E 22</t>
  </si>
  <si>
    <t>TRAIL</t>
  </si>
  <si>
    <t>16S 2W 25</t>
  </si>
  <si>
    <t>S6K9</t>
  </si>
  <si>
    <t>42 30 30</t>
  </si>
  <si>
    <t>115 43 16</t>
  </si>
  <si>
    <t>43 03 40</t>
  </si>
  <si>
    <t>115 43 44</t>
  </si>
  <si>
    <t>44 09 40</t>
  </si>
  <si>
    <t>115 44 36</t>
  </si>
  <si>
    <t>S6KN</t>
  </si>
  <si>
    <t>MM73 I84</t>
  </si>
  <si>
    <t>1S 4E 10</t>
  </si>
  <si>
    <t>43 21 26</t>
  </si>
  <si>
    <t>S6LB</t>
  </si>
  <si>
    <t>HOLLOW</t>
  </si>
  <si>
    <t>VELASCO</t>
  </si>
  <si>
    <t>5N 4W 05</t>
  </si>
  <si>
    <t>43 48 13</t>
  </si>
  <si>
    <t>116 50 13</t>
  </si>
  <si>
    <t>115 58 03</t>
  </si>
  <si>
    <t>ABNER</t>
  </si>
  <si>
    <t>VITTORIA</t>
  </si>
  <si>
    <t>ZICKEFOOSE</t>
  </si>
  <si>
    <t>1N 7E 05</t>
  </si>
  <si>
    <t>43 26 49</t>
  </si>
  <si>
    <t>115 39 25</t>
  </si>
  <si>
    <t>41 59 55</t>
  </si>
  <si>
    <t>116 31 24</t>
  </si>
  <si>
    <t>TWIN</t>
  </si>
  <si>
    <t>BEAVER</t>
  </si>
  <si>
    <t>S6N9</t>
  </si>
  <si>
    <t>SPENCER</t>
  </si>
  <si>
    <t>11S 5W 02</t>
  </si>
  <si>
    <t>42 30 02</t>
  </si>
  <si>
    <t>116 54 08</t>
  </si>
  <si>
    <t>KRENKA</t>
  </si>
  <si>
    <t>GOAT</t>
  </si>
  <si>
    <t>8N 7E 34</t>
  </si>
  <si>
    <t>43 58 51</t>
  </si>
  <si>
    <t>115 37 29</t>
  </si>
  <si>
    <t>12N 6E 12</t>
  </si>
  <si>
    <t>44 23 31</t>
  </si>
  <si>
    <t>115 41 16</t>
  </si>
  <si>
    <t>LITTLE</t>
  </si>
  <si>
    <t>ANDERSON</t>
  </si>
  <si>
    <t>STRIKER</t>
  </si>
  <si>
    <t>S6NM</t>
  </si>
  <si>
    <t>FA 11 BOF</t>
  </si>
  <si>
    <t>NS 12 BOD</t>
  </si>
  <si>
    <t>S6RW</t>
  </si>
  <si>
    <t>3S 3E 16</t>
  </si>
  <si>
    <t>S6RQ</t>
  </si>
  <si>
    <t>9N 5E 19</t>
  </si>
  <si>
    <t>WILLOW</t>
  </si>
  <si>
    <t>FARRELL</t>
  </si>
  <si>
    <t>SLACK</t>
  </si>
  <si>
    <t>FOOL</t>
  </si>
  <si>
    <t>S6RZ</t>
  </si>
  <si>
    <t>MACKENZIE</t>
  </si>
  <si>
    <t>TABOR</t>
  </si>
  <si>
    <t>GALLAAS</t>
  </si>
  <si>
    <t>NIELSON</t>
  </si>
  <si>
    <t>McCOLLOUGH</t>
  </si>
  <si>
    <t>S6T0</t>
  </si>
  <si>
    <t>SOUTHLOAF</t>
  </si>
  <si>
    <t>5N 3E 02</t>
  </si>
  <si>
    <t>43 48 24</t>
  </si>
  <si>
    <t>116 04 14</t>
  </si>
  <si>
    <t>S6T4</t>
  </si>
  <si>
    <t>44 06 11</t>
  </si>
  <si>
    <t>115 54 51</t>
  </si>
  <si>
    <t>9N 5E 20</t>
  </si>
  <si>
    <t>44 05 46</t>
  </si>
  <si>
    <t>115 53 24</t>
  </si>
  <si>
    <t>2S 1W 20</t>
  </si>
  <si>
    <t>43 14 06</t>
  </si>
  <si>
    <t>116 29 00</t>
  </si>
  <si>
    <t>7N 8E 20</t>
  </si>
  <si>
    <t>43 55 49</t>
  </si>
  <si>
    <t>115 32 47</t>
  </si>
  <si>
    <t>9N 7E 32</t>
  </si>
  <si>
    <t>6N 5E 28</t>
  </si>
  <si>
    <t>43 49 26</t>
  </si>
  <si>
    <t>115 51 47</t>
  </si>
  <si>
    <t>10S 3W 11</t>
  </si>
  <si>
    <t>42 34 02</t>
  </si>
  <si>
    <t>116 39 33</t>
  </si>
  <si>
    <t>13N 5E 25</t>
  </si>
  <si>
    <t>BADGER</t>
  </si>
  <si>
    <t>4N 6E 14</t>
  </si>
  <si>
    <t>11N 7E 26</t>
  </si>
  <si>
    <t>S6UL</t>
  </si>
  <si>
    <t>SLAUGHTERHOUSE</t>
  </si>
  <si>
    <t>RABBIT</t>
  </si>
  <si>
    <t>GRAYBACK</t>
  </si>
  <si>
    <t>IDA</t>
  </si>
  <si>
    <t>BADBEAR</t>
  </si>
  <si>
    <t>MEADOW</t>
  </si>
  <si>
    <t>CONNER</t>
  </si>
  <si>
    <t>BROWN</t>
  </si>
  <si>
    <t>6N 5E 22</t>
  </si>
  <si>
    <t>43 51 00</t>
  </si>
  <si>
    <t>115 50 44</t>
  </si>
  <si>
    <t>BROMLEY</t>
  </si>
  <si>
    <t>43 41 05</t>
  </si>
  <si>
    <t>115 42 46</t>
  </si>
  <si>
    <t>SCHMITZ</t>
  </si>
  <si>
    <t>BENTLEY</t>
  </si>
  <si>
    <t>McKEEHAN</t>
  </si>
  <si>
    <t>6N 7E 31</t>
  </si>
  <si>
    <t>43 48 59</t>
  </si>
  <si>
    <t>115 40 55</t>
  </si>
  <si>
    <t>S6W1</t>
  </si>
  <si>
    <t>PECORA</t>
  </si>
  <si>
    <t>5N 5E 03</t>
  </si>
  <si>
    <t>43 47 35</t>
  </si>
  <si>
    <t>115 50 31</t>
  </si>
  <si>
    <t>S6W0</t>
  </si>
  <si>
    <t>6N 5E 08</t>
  </si>
  <si>
    <t>43 52 08</t>
  </si>
  <si>
    <t>KELLY</t>
  </si>
  <si>
    <t>7N 6E 35</t>
  </si>
  <si>
    <t>43 54 00</t>
  </si>
  <si>
    <t>115 43 20</t>
  </si>
  <si>
    <t>S6W3</t>
  </si>
  <si>
    <t>HORSESHOE BEND FIRE</t>
  </si>
  <si>
    <t>6N 4E 02</t>
  </si>
  <si>
    <t>43 53 03</t>
  </si>
  <si>
    <t>115 56 27</t>
  </si>
  <si>
    <t>S6W2</t>
  </si>
  <si>
    <t>7N 3E 11</t>
  </si>
  <si>
    <t>43 57 45</t>
  </si>
  <si>
    <t>116 03 41</t>
  </si>
  <si>
    <t>S6S5</t>
  </si>
  <si>
    <t>FA 12 BOD</t>
  </si>
  <si>
    <t>2S 6W 01</t>
  </si>
  <si>
    <t>SUNSET</t>
  </si>
  <si>
    <t>7N 7E 29</t>
  </si>
  <si>
    <t>43 55 06</t>
  </si>
  <si>
    <t>115 39 28</t>
  </si>
  <si>
    <t>SHOEMAKER</t>
  </si>
  <si>
    <t>6N 3E 23</t>
  </si>
  <si>
    <t>43 50 29</t>
  </si>
  <si>
    <t>116 03 49</t>
  </si>
  <si>
    <t>S6XQ</t>
  </si>
  <si>
    <t>SPANISH</t>
  </si>
  <si>
    <t>VICTORY</t>
  </si>
  <si>
    <t>6N 5E 09</t>
  </si>
  <si>
    <t>S6Y3</t>
  </si>
  <si>
    <t>1S 1W 12</t>
  </si>
  <si>
    <t>S6Y8</t>
  </si>
  <si>
    <t>43 52 06</t>
  </si>
  <si>
    <t>115 51 55</t>
  </si>
  <si>
    <t>43 20 38</t>
  </si>
  <si>
    <t>116 24 06</t>
  </si>
  <si>
    <t>COFFEE</t>
  </si>
  <si>
    <t>SCHAEFFER</t>
  </si>
  <si>
    <t>44 46 20</t>
  </si>
  <si>
    <t>115 32 03</t>
  </si>
  <si>
    <t>LIGHTRIDGE</t>
  </si>
  <si>
    <t>10N 5E 29</t>
  </si>
  <si>
    <t>17N 8E 31</t>
  </si>
  <si>
    <t>44 10 19</t>
  </si>
  <si>
    <t>115 53 04</t>
  </si>
  <si>
    <t>BUCK</t>
  </si>
  <si>
    <t>GRUMBOIS</t>
  </si>
  <si>
    <t>PENDLETON</t>
  </si>
  <si>
    <t>5N 9E 04</t>
  </si>
  <si>
    <t>43 47 31</t>
  </si>
  <si>
    <t>115 23 51</t>
  </si>
  <si>
    <t>S715</t>
  </si>
  <si>
    <t>NS 13 BOD</t>
  </si>
  <si>
    <t>5N 2E 07</t>
  </si>
  <si>
    <t>HANK</t>
  </si>
  <si>
    <t>FREEZER</t>
  </si>
  <si>
    <t>WHITLOCK</t>
  </si>
  <si>
    <t>S72L</t>
  </si>
  <si>
    <t>VARNEY</t>
  </si>
  <si>
    <t>7N 5E 33</t>
  </si>
  <si>
    <t>43 54 28</t>
  </si>
  <si>
    <t>115 51 56</t>
  </si>
  <si>
    <t>S72S</t>
  </si>
  <si>
    <t>GEM CO. FD</t>
  </si>
  <si>
    <t>43 49 49</t>
  </si>
  <si>
    <t>116 37 06</t>
  </si>
  <si>
    <t>S73Y</t>
  </si>
  <si>
    <t>FA 13 SWS</t>
  </si>
  <si>
    <t>FA 14 BOF</t>
  </si>
  <si>
    <t>FA 15 BOF</t>
  </si>
  <si>
    <t>FA 16 BOF</t>
  </si>
  <si>
    <t>FA 17 BOF</t>
  </si>
  <si>
    <t>S6YF</t>
  </si>
  <si>
    <t>7N 5E 28</t>
  </si>
  <si>
    <t>4N 9E 16</t>
  </si>
  <si>
    <t>10N 10E 02</t>
  </si>
  <si>
    <t>WALLOW</t>
  </si>
  <si>
    <t>FRENCH</t>
  </si>
  <si>
    <t>WATKINS</t>
  </si>
  <si>
    <t>10N 2E 09</t>
  </si>
  <si>
    <t>44 12 50</t>
  </si>
  <si>
    <t>116 13 02</t>
  </si>
  <si>
    <t>11N 4E 28</t>
  </si>
  <si>
    <t>44 15 04</t>
  </si>
  <si>
    <t>115 59 15</t>
  </si>
  <si>
    <t>15N 4E 01</t>
  </si>
  <si>
    <t>44 40 09</t>
  </si>
  <si>
    <t>115 55 18</t>
  </si>
  <si>
    <t>S75H</t>
  </si>
  <si>
    <t>HIGH</t>
  </si>
  <si>
    <t>S768</t>
  </si>
  <si>
    <t>EASTSIDE</t>
  </si>
  <si>
    <t>THURMAN</t>
  </si>
  <si>
    <t>BRAGA</t>
  </si>
  <si>
    <t>HAMILTON</t>
  </si>
  <si>
    <t>10N 3E 05</t>
  </si>
  <si>
    <t>44 14 10</t>
  </si>
  <si>
    <t>116 07 32</t>
  </si>
  <si>
    <t>10N 2E 03</t>
  </si>
  <si>
    <t>44 13 44</t>
  </si>
  <si>
    <t>116 12 19</t>
  </si>
  <si>
    <t>FA 18 BOF</t>
  </si>
  <si>
    <t>15N 2E 25</t>
  </si>
  <si>
    <t>NS 14 SWS</t>
  </si>
  <si>
    <t>11N 3E 32</t>
  </si>
  <si>
    <t>S771</t>
  </si>
  <si>
    <t>ROGO</t>
  </si>
  <si>
    <t>MA: CHIEF 300</t>
  </si>
  <si>
    <t>9N 2W 32</t>
  </si>
  <si>
    <t>44 04 50</t>
  </si>
  <si>
    <t>116 36 08</t>
  </si>
  <si>
    <t>S779</t>
  </si>
  <si>
    <t>FROCAL</t>
  </si>
  <si>
    <t>43 50 23</t>
  </si>
  <si>
    <t>116 36 49</t>
  </si>
  <si>
    <t>HOWER</t>
  </si>
  <si>
    <t>LANDFILL</t>
  </si>
  <si>
    <t>WILSON</t>
  </si>
  <si>
    <t>NS 15 SWS</t>
  </si>
  <si>
    <t>S77R</t>
  </si>
  <si>
    <t>11N 7E 05</t>
  </si>
  <si>
    <t>44 19 10</t>
  </si>
  <si>
    <t>115 38 32</t>
  </si>
  <si>
    <t>S77P</t>
  </si>
  <si>
    <t>6N 5E 16</t>
  </si>
  <si>
    <t>FOOCKLE</t>
  </si>
  <si>
    <t>SHOOROCK</t>
  </si>
  <si>
    <t>S77T</t>
  </si>
  <si>
    <t>NS 16 BOD</t>
  </si>
  <si>
    <t>S798</t>
  </si>
  <si>
    <t>1N 3E 31</t>
  </si>
  <si>
    <t>6S 4E 05</t>
  </si>
  <si>
    <t>42 56 03</t>
  </si>
  <si>
    <t>116 00 30</t>
  </si>
  <si>
    <t>43 51 09</t>
  </si>
  <si>
    <t>115 52 24</t>
  </si>
  <si>
    <t>44 18 39</t>
  </si>
  <si>
    <t>115 38 42</t>
  </si>
  <si>
    <t>PENNY</t>
  </si>
  <si>
    <t>BLUEPOINT</t>
  </si>
  <si>
    <t>16N 6E 24</t>
  </si>
  <si>
    <t>44 42 36</t>
  </si>
  <si>
    <t>115 40 58</t>
  </si>
  <si>
    <t>14N 7E 10</t>
  </si>
  <si>
    <t>44 34 07</t>
  </si>
  <si>
    <t>115 35 59</t>
  </si>
  <si>
    <t>OSSOWSKI</t>
  </si>
  <si>
    <t>44 25 58</t>
  </si>
  <si>
    <t>115 48 02</t>
  </si>
  <si>
    <t>CHEATHAM</t>
  </si>
  <si>
    <t>WESTON</t>
  </si>
  <si>
    <t>CONTRACT CREW</t>
  </si>
  <si>
    <t>KAMPP</t>
  </si>
  <si>
    <t>19N 8E 34</t>
  </si>
  <si>
    <t>44 56 09</t>
  </si>
  <si>
    <t>115 27 54</t>
  </si>
  <si>
    <t>43.27147 </t>
  </si>
  <si>
    <t xml:space="preserve">4/the range fire </t>
  </si>
  <si>
    <t xml:space="preserve"> Schwartz fire</t>
  </si>
  <si>
    <t>S7EL</t>
  </si>
  <si>
    <t>MM80 I84</t>
  </si>
  <si>
    <t>2S 5E 05</t>
  </si>
  <si>
    <t>43 16 48</t>
  </si>
  <si>
    <t>RANGE</t>
  </si>
  <si>
    <t>ARROWROCK</t>
  </si>
  <si>
    <t>S7HN</t>
  </si>
  <si>
    <t>3N 5E 17</t>
  </si>
  <si>
    <t>43 36 12</t>
  </si>
  <si>
    <t>115 53 46</t>
  </si>
  <si>
    <t>S7KH</t>
  </si>
  <si>
    <t>KUMO</t>
  </si>
  <si>
    <t>116 09 29</t>
  </si>
  <si>
    <t>MM52 HWY51</t>
  </si>
  <si>
    <t>LENZ</t>
  </si>
  <si>
    <t>9S 5E 17</t>
  </si>
  <si>
    <t>S7NM</t>
  </si>
  <si>
    <t>42 39 00</t>
  </si>
  <si>
    <t>115 54 08</t>
  </si>
  <si>
    <t>S7NK</t>
  </si>
  <si>
    <t>ROBIE</t>
  </si>
  <si>
    <t>LAMB</t>
  </si>
  <si>
    <t>McCARTHY</t>
  </si>
  <si>
    <t>4N 4E 31</t>
  </si>
  <si>
    <t>43 38 27</t>
  </si>
  <si>
    <t>116 01 01</t>
  </si>
  <si>
    <t>ROCK</t>
  </si>
  <si>
    <t>KELLEY</t>
  </si>
  <si>
    <t>15N 2E 01</t>
  </si>
  <si>
    <t>SOLDIER</t>
  </si>
  <si>
    <t>DUCK</t>
  </si>
  <si>
    <t>JUNIPER</t>
  </si>
  <si>
    <t>BERRY</t>
  </si>
  <si>
    <t>BOX</t>
  </si>
  <si>
    <t>44 40 00</t>
  </si>
  <si>
    <t>116 09 28</t>
  </si>
  <si>
    <t>QUINTERO</t>
  </si>
  <si>
    <t>S7NY</t>
  </si>
  <si>
    <t>10S 6W 34</t>
  </si>
  <si>
    <t>42 30 26</t>
  </si>
  <si>
    <t>117 01 30</t>
  </si>
  <si>
    <t>15N 2E 13</t>
  </si>
  <si>
    <t>44 38 09</t>
  </si>
  <si>
    <t>116 09 38</t>
  </si>
  <si>
    <t>11S 6W 36</t>
  </si>
  <si>
    <t>10S 6W 25</t>
  </si>
  <si>
    <t>S7QW</t>
  </si>
  <si>
    <t>S7R1</t>
  </si>
  <si>
    <t>S7QZ</t>
  </si>
  <si>
    <t>CUSTER</t>
  </si>
  <si>
    <t>S7RV</t>
  </si>
  <si>
    <t>METSKER</t>
  </si>
  <si>
    <t>N/A</t>
  </si>
  <si>
    <t>6N 4W 29</t>
  </si>
  <si>
    <t>43 49 40</t>
  </si>
  <si>
    <t>116 50 21</t>
  </si>
  <si>
    <t>42 31 18</t>
  </si>
  <si>
    <t>116 59 23</t>
  </si>
  <si>
    <t>42 25 06</t>
  </si>
  <si>
    <t>117 00 43</t>
  </si>
  <si>
    <t>MASON-SIMONSON</t>
  </si>
  <si>
    <t>EARL</t>
  </si>
  <si>
    <t>GEM</t>
  </si>
  <si>
    <t>S7SF</t>
  </si>
  <si>
    <t>S7SG</t>
  </si>
  <si>
    <t>43 49 39</t>
  </si>
  <si>
    <t>116 47 42</t>
  </si>
  <si>
    <t>6N 4W 30</t>
  </si>
  <si>
    <t>43 49 53</t>
  </si>
  <si>
    <t>116 51 20</t>
  </si>
  <si>
    <t>PEAR</t>
  </si>
  <si>
    <t>EAR</t>
  </si>
  <si>
    <t>S7V2</t>
  </si>
  <si>
    <t>DARCY</t>
  </si>
  <si>
    <t>S7V4</t>
  </si>
  <si>
    <t>43 49 46</t>
  </si>
  <si>
    <t>116 47 56</t>
  </si>
  <si>
    <t>6N 4W 21</t>
  </si>
  <si>
    <t>43 50 15</t>
  </si>
  <si>
    <t>116 49 24</t>
  </si>
  <si>
    <t>RA 11 ADA CO</t>
  </si>
  <si>
    <t>BAT. CHIEF 3</t>
  </si>
  <si>
    <t>2N 3E 10</t>
  </si>
  <si>
    <t>43 31 16</t>
  </si>
  <si>
    <t>116 04 31</t>
  </si>
  <si>
    <t>S7XL</t>
  </si>
  <si>
    <t>FA 21 BOF</t>
  </si>
  <si>
    <t>14N 5E 15</t>
  </si>
  <si>
    <t>S7ZN</t>
  </si>
  <si>
    <t>FA 22 BOD</t>
  </si>
  <si>
    <t>14S 1W 25</t>
  </si>
  <si>
    <t>S7LS</t>
  </si>
  <si>
    <t>1N 2E 35</t>
  </si>
  <si>
    <t>RYE</t>
  </si>
  <si>
    <t>LOOP</t>
  </si>
  <si>
    <t>4S 1E 07</t>
  </si>
  <si>
    <t>116 23 39</t>
  </si>
  <si>
    <t>S7ZR</t>
  </si>
  <si>
    <t>S7ZS</t>
  </si>
  <si>
    <t>HULSE</t>
  </si>
  <si>
    <t>4S 1E 18</t>
  </si>
  <si>
    <t>43 04 23</t>
  </si>
  <si>
    <t>116 22 57</t>
  </si>
  <si>
    <t>42 29 54</t>
  </si>
  <si>
    <t>116 53 29</t>
  </si>
  <si>
    <t>S81B</t>
  </si>
  <si>
    <t>FA 23 BOD</t>
  </si>
  <si>
    <t>13N 1W 24</t>
  </si>
  <si>
    <t>FA 24 BOF</t>
  </si>
  <si>
    <t>13N 7E 04</t>
  </si>
  <si>
    <t>FA 19 BOF</t>
  </si>
  <si>
    <t>FA 20 BOD</t>
  </si>
  <si>
    <t>OR-VAD</t>
  </si>
  <si>
    <t>HOOKER CREEK</t>
  </si>
  <si>
    <t>S7Z1</t>
  </si>
  <si>
    <t>29S 47E 07</t>
  </si>
  <si>
    <t>43 02 54</t>
  </si>
  <si>
    <t>117 01 44</t>
  </si>
  <si>
    <t>RA 12 ADA CO</t>
  </si>
  <si>
    <t>S83W</t>
  </si>
  <si>
    <t>5N 1E 33</t>
  </si>
  <si>
    <t>43 44 03</t>
  </si>
  <si>
    <t>116 20 07</t>
  </si>
  <si>
    <t>SIXBIT</t>
  </si>
  <si>
    <t>MAYER</t>
  </si>
  <si>
    <t>16N 6E 19</t>
  </si>
  <si>
    <t>44 42 45</t>
  </si>
  <si>
    <t>115 47 01</t>
  </si>
  <si>
    <t>NEILL</t>
  </si>
  <si>
    <t>S8FT</t>
  </si>
  <si>
    <t>NS 17 SWS</t>
  </si>
  <si>
    <t>5N 3E 29</t>
  </si>
  <si>
    <t>S8JF</t>
  </si>
  <si>
    <t>NS 18 BOD</t>
  </si>
  <si>
    <t>3N 3W 19</t>
  </si>
  <si>
    <t>S8M0</t>
  </si>
  <si>
    <t>OASIS</t>
  </si>
  <si>
    <t>43 49 33</t>
  </si>
  <si>
    <t>116 47 52</t>
  </si>
  <si>
    <t>S8MD</t>
  </si>
  <si>
    <t>WENTWORTH</t>
  </si>
  <si>
    <t>KLETTE</t>
  </si>
  <si>
    <t>43 51 27</t>
  </si>
  <si>
    <t>115 51 48</t>
  </si>
  <si>
    <t>TIE</t>
  </si>
  <si>
    <t>MM69 HWY51</t>
  </si>
  <si>
    <t>S8PQ</t>
  </si>
  <si>
    <t>JULIAN</t>
  </si>
  <si>
    <t>10N 5E 07</t>
  </si>
  <si>
    <t>44 12 56</t>
  </si>
  <si>
    <t>115 55 03</t>
  </si>
  <si>
    <t>S8QE</t>
  </si>
  <si>
    <t>TIEDT</t>
  </si>
  <si>
    <t>6S 5E 27</t>
  </si>
  <si>
    <t>42 52 25</t>
  </si>
  <si>
    <t>115 50 41</t>
  </si>
  <si>
    <t>MORES</t>
  </si>
  <si>
    <t>PIERCE</t>
  </si>
  <si>
    <t>7N 7E 17</t>
  </si>
  <si>
    <t>43 56 11</t>
  </si>
  <si>
    <t>S8XL</t>
  </si>
  <si>
    <t>PEACHY</t>
  </si>
  <si>
    <t>ALESHIRE</t>
  </si>
  <si>
    <t>O'HARA</t>
  </si>
  <si>
    <t>11S 5W 07</t>
  </si>
  <si>
    <t>42 28 43</t>
  </si>
  <si>
    <t>116 57 52</t>
  </si>
  <si>
    <t>S924</t>
  </si>
  <si>
    <t>FA 25 BOD</t>
  </si>
  <si>
    <t>1S 3E 15</t>
  </si>
  <si>
    <t>MULEY</t>
  </si>
  <si>
    <t>2N 5W 08</t>
  </si>
  <si>
    <t>43 31 05</t>
  </si>
  <si>
    <t>116 57 28</t>
  </si>
  <si>
    <t>S94J</t>
  </si>
  <si>
    <t>RA 13 ADA CO</t>
  </si>
  <si>
    <t>NS 19 BOF</t>
  </si>
  <si>
    <t>1S 10E 10</t>
  </si>
  <si>
    <t>S967</t>
  </si>
  <si>
    <t>STAN</t>
  </si>
  <si>
    <t>1S 2E 07</t>
  </si>
  <si>
    <t>116 15 22</t>
  </si>
  <si>
    <t>MM79 I84</t>
  </si>
  <si>
    <t>S96T</t>
  </si>
  <si>
    <t>WEANT</t>
  </si>
  <si>
    <t>43 17 09</t>
  </si>
  <si>
    <t>115 53 25</t>
  </si>
  <si>
    <t>S972</t>
  </si>
  <si>
    <t>2N 2E 30</t>
  </si>
  <si>
    <t>116 16 09</t>
  </si>
  <si>
    <t>WARRIOR</t>
  </si>
  <si>
    <t>MELSON</t>
  </si>
  <si>
    <t>6N 10E 01</t>
  </si>
  <si>
    <t>43 52 59</t>
  </si>
  <si>
    <t>115 13 17</t>
  </si>
  <si>
    <t>RA 14 WASHINGTON CO</t>
  </si>
  <si>
    <t>MIDVALE 911</t>
  </si>
  <si>
    <t>13N 1E 19</t>
  </si>
  <si>
    <t>S9QZ</t>
  </si>
  <si>
    <t>44 26 21</t>
  </si>
  <si>
    <t>116 23 29</t>
  </si>
  <si>
    <t>16N 5E 20</t>
  </si>
  <si>
    <t>NEEDLE</t>
  </si>
  <si>
    <t>44 42 27</t>
  </si>
  <si>
    <t>115 52 37</t>
  </si>
  <si>
    <t>COW</t>
  </si>
  <si>
    <t>8N 10E 16</t>
  </si>
  <si>
    <t>LINDEGREN</t>
  </si>
  <si>
    <t>44 01 32</t>
  </si>
  <si>
    <t>115 17 00</t>
  </si>
  <si>
    <t>BRUMBAUH</t>
  </si>
  <si>
    <t>RA 15 ADA CO</t>
  </si>
  <si>
    <t>BAT 41 EFD</t>
  </si>
  <si>
    <t>S9ZN</t>
  </si>
  <si>
    <t>6N 2E 30</t>
  </si>
  <si>
    <t>43 49 23</t>
  </si>
  <si>
    <t>116 15 20</t>
  </si>
  <si>
    <t>BURR</t>
  </si>
  <si>
    <t>SAAM</t>
  </si>
  <si>
    <t>42 58 07</t>
  </si>
  <si>
    <t>115 31 44</t>
  </si>
  <si>
    <t>1N 1W 36</t>
  </si>
  <si>
    <t>SABA</t>
  </si>
  <si>
    <t>FA 27 SWS</t>
  </si>
  <si>
    <t>FA 26 BOF</t>
  </si>
  <si>
    <t>13N 3E 09</t>
  </si>
  <si>
    <t>SADP</t>
  </si>
  <si>
    <t>WASTE</t>
  </si>
  <si>
    <t>2S 4E 11</t>
  </si>
  <si>
    <t>OTR 146</t>
  </si>
  <si>
    <t>OTR 147</t>
  </si>
  <si>
    <t>OTR 148</t>
  </si>
  <si>
    <t>OTR 149</t>
  </si>
  <si>
    <t>OTR 150</t>
  </si>
  <si>
    <t>OTR 151</t>
  </si>
  <si>
    <t>OTR 152</t>
  </si>
  <si>
    <t>OTR 153</t>
  </si>
  <si>
    <t>OTR 154</t>
  </si>
  <si>
    <t>OTR 155</t>
  </si>
  <si>
    <t>OTR 156</t>
  </si>
  <si>
    <t>OTR 157</t>
  </si>
  <si>
    <t>S9AZ</t>
  </si>
  <si>
    <t>NS 20 BOD</t>
  </si>
  <si>
    <t>1N 1W 14</t>
  </si>
  <si>
    <t>NS 21 BOD</t>
  </si>
  <si>
    <t>2S 3E 12</t>
  </si>
  <si>
    <t>SAFS</t>
  </si>
  <si>
    <t>BLACKSAND</t>
  </si>
  <si>
    <t>6N 4W 02</t>
  </si>
  <si>
    <t>SAGQ</t>
  </si>
  <si>
    <t>43 53 14</t>
  </si>
  <si>
    <t>116 46 31</t>
  </si>
  <si>
    <t>PECORINO</t>
  </si>
  <si>
    <t>PARKS</t>
  </si>
  <si>
    <t>OTR 158</t>
  </si>
  <si>
    <t>OTR 159</t>
  </si>
  <si>
    <t>OTR 160</t>
  </si>
  <si>
    <t>OTR 161</t>
  </si>
  <si>
    <t>OTR 162</t>
  </si>
  <si>
    <t>OTR 163</t>
  </si>
  <si>
    <t>OTR 164</t>
  </si>
  <si>
    <t>OTR 165</t>
  </si>
  <si>
    <t>OTR 166</t>
  </si>
  <si>
    <t>OTR 167</t>
  </si>
  <si>
    <t>OTR 168</t>
  </si>
  <si>
    <t>OTR 169</t>
  </si>
  <si>
    <t>OTR 170</t>
  </si>
  <si>
    <t>OTR 171</t>
  </si>
  <si>
    <t>OTR 172</t>
  </si>
  <si>
    <t>OTR 173</t>
  </si>
  <si>
    <t>OTR 174</t>
  </si>
  <si>
    <t>OTR 175</t>
  </si>
  <si>
    <t>OTR 176</t>
  </si>
  <si>
    <t>OTR 177</t>
  </si>
  <si>
    <t>OTR 178</t>
  </si>
  <si>
    <t>OTR 179</t>
  </si>
  <si>
    <t>OTR 180</t>
  </si>
  <si>
    <t>OTR 181</t>
  </si>
  <si>
    <t>OTR 182</t>
  </si>
  <si>
    <t>OTR 183</t>
  </si>
  <si>
    <t>OTR 184</t>
  </si>
  <si>
    <t>OTR 185</t>
  </si>
  <si>
    <t>OTR 186</t>
  </si>
  <si>
    <t>OTR 187</t>
  </si>
  <si>
    <t>OTR 188</t>
  </si>
  <si>
    <t>OTR 189</t>
  </si>
  <si>
    <t>OTR 190</t>
  </si>
  <si>
    <t>OTR 191</t>
  </si>
  <si>
    <t>OTR 192</t>
  </si>
  <si>
    <t>OTR 193</t>
  </si>
  <si>
    <t>OTR 194</t>
  </si>
  <si>
    <t>OTR 195</t>
  </si>
  <si>
    <t>OTR 196</t>
  </si>
  <si>
    <t>OTR 197</t>
  </si>
  <si>
    <t>OTR 198</t>
  </si>
  <si>
    <t>OTR 199</t>
  </si>
  <si>
    <t>OTR 200</t>
  </si>
  <si>
    <t>OTR 201</t>
  </si>
  <si>
    <t>OTR 202</t>
  </si>
  <si>
    <t>OTR 203</t>
  </si>
  <si>
    <t>OTR 204</t>
  </si>
  <si>
    <t>OTR 205</t>
  </si>
  <si>
    <t>OTR 206</t>
  </si>
  <si>
    <t>OTR 207</t>
  </si>
  <si>
    <t>OTR 208</t>
  </si>
  <si>
    <t>OTR 209</t>
  </si>
  <si>
    <t>OTR 210</t>
  </si>
  <si>
    <t>OTR 211</t>
  </si>
  <si>
    <t>OTR 212</t>
  </si>
  <si>
    <t>OTR 213</t>
  </si>
  <si>
    <t>OTR 214</t>
  </si>
  <si>
    <t>OTR 215</t>
  </si>
  <si>
    <t>OTR 216</t>
  </si>
  <si>
    <t>OTR 217</t>
  </si>
  <si>
    <t>OTR 218</t>
  </si>
  <si>
    <t>OTR 219</t>
  </si>
  <si>
    <t>OTR 220</t>
  </si>
  <si>
    <t>OTR 221</t>
  </si>
  <si>
    <t>OTR 222</t>
  </si>
  <si>
    <t>OTR 223</t>
  </si>
  <si>
    <t>OTR 224</t>
  </si>
  <si>
    <t>OTR 225</t>
  </si>
  <si>
    <t>OTR 226</t>
  </si>
  <si>
    <t>OTR 227</t>
  </si>
  <si>
    <t>OTR 228</t>
  </si>
  <si>
    <t>OTR 229</t>
  </si>
  <si>
    <t>OTR 230</t>
  </si>
  <si>
    <t>OTR 231</t>
  </si>
  <si>
    <t>OTR 232</t>
  </si>
  <si>
    <t>OTR 233</t>
  </si>
  <si>
    <t>OTR 234</t>
  </si>
  <si>
    <t>OTR 235</t>
  </si>
  <si>
    <t>OTR 236</t>
  </si>
  <si>
    <t>OTR 237</t>
  </si>
  <si>
    <t>OTR 238</t>
  </si>
  <si>
    <t>OTR 239</t>
  </si>
  <si>
    <t>OTR 240</t>
  </si>
  <si>
    <t>OTR 241</t>
  </si>
  <si>
    <t>OTR 242</t>
  </si>
  <si>
    <t>OTR 243</t>
  </si>
  <si>
    <t>OTR 244</t>
  </si>
  <si>
    <t>OTR 245</t>
  </si>
  <si>
    <t>OTR 246</t>
  </si>
  <si>
    <t>OTR 247</t>
  </si>
  <si>
    <t>OTR 248</t>
  </si>
  <si>
    <t>OTR 249</t>
  </si>
  <si>
    <t>OTR 250</t>
  </si>
  <si>
    <t>OTR 251</t>
  </si>
  <si>
    <t>OTR 252</t>
  </si>
  <si>
    <t>OTR 253</t>
  </si>
  <si>
    <t>OTR 254</t>
  </si>
  <si>
    <t>OTR 255</t>
  </si>
  <si>
    <t>OTR 256</t>
  </si>
  <si>
    <t>OTR 257</t>
  </si>
  <si>
    <t>OTR 258</t>
  </si>
  <si>
    <t>OTR 259</t>
  </si>
  <si>
    <t>OTR 260</t>
  </si>
  <si>
    <t>OTR 261</t>
  </si>
  <si>
    <t>OTR 262</t>
  </si>
  <si>
    <t>OTR 263</t>
  </si>
  <si>
    <t>OTR 264</t>
  </si>
  <si>
    <t>OTR 265</t>
  </si>
  <si>
    <t>OTR 266</t>
  </si>
  <si>
    <t>OTR 267</t>
  </si>
  <si>
    <t>OTR 268</t>
  </si>
  <si>
    <t>OTR 269</t>
  </si>
  <si>
    <t>OTR 270</t>
  </si>
  <si>
    <t>OTR 271</t>
  </si>
  <si>
    <t>OTR 272</t>
  </si>
  <si>
    <t>OTR 273</t>
  </si>
  <si>
    <t>OTR 274</t>
  </si>
  <si>
    <t>OTR 275</t>
  </si>
  <si>
    <t>OTR 276</t>
  </si>
  <si>
    <t>OTR 277</t>
  </si>
  <si>
    <t>OTR 278</t>
  </si>
  <si>
    <t>OTR 279</t>
  </si>
  <si>
    <t>OTR 280</t>
  </si>
  <si>
    <t>OTR 281</t>
  </si>
  <si>
    <t>OTR 282</t>
  </si>
  <si>
    <t>OTR 283</t>
  </si>
  <si>
    <t>OTR 284</t>
  </si>
  <si>
    <t>OTR 285</t>
  </si>
  <si>
    <t>OTR 286</t>
  </si>
  <si>
    <t>OTR 287</t>
  </si>
  <si>
    <t>OTR 288</t>
  </si>
  <si>
    <t>OTR 289</t>
  </si>
  <si>
    <t>OTR 290</t>
  </si>
  <si>
    <t>OTR 291</t>
  </si>
  <si>
    <t>OTR 292</t>
  </si>
  <si>
    <t>OTR 293</t>
  </si>
  <si>
    <t>OTR 294</t>
  </si>
  <si>
    <t>OTR 295</t>
  </si>
  <si>
    <t>OTR 296</t>
  </si>
  <si>
    <t>OTR 297</t>
  </si>
  <si>
    <t>OTR 298</t>
  </si>
  <si>
    <t>OTR 299</t>
  </si>
  <si>
    <t>OTR 300</t>
  </si>
  <si>
    <t>OTR 301</t>
  </si>
  <si>
    <t>OTR 302</t>
  </si>
  <si>
    <t>OTR 303</t>
  </si>
  <si>
    <t>OTR 304</t>
  </si>
  <si>
    <t>9N 5E 24</t>
  </si>
  <si>
    <t>44 05 45</t>
  </si>
  <si>
    <t>115 48 01</t>
  </si>
  <si>
    <t>TWENTY</t>
  </si>
  <si>
    <t>GALLAGHER</t>
  </si>
  <si>
    <t>6S 2E 26</t>
  </si>
  <si>
    <t>116 10 54</t>
  </si>
  <si>
    <t>SANF</t>
  </si>
  <si>
    <t>SANL</t>
  </si>
  <si>
    <t>HARTLEY</t>
  </si>
  <si>
    <t>5N 1W 27</t>
  </si>
  <si>
    <t>CLEAR CREEK UNIT 9</t>
  </si>
  <si>
    <t>9N 7E 12</t>
  </si>
  <si>
    <t>R LAMB
H ROOPER (T)</t>
  </si>
  <si>
    <t>43 44 24</t>
  </si>
  <si>
    <t>116 26 07</t>
  </si>
  <si>
    <t>SAPG</t>
  </si>
  <si>
    <t>FA 28 BOD</t>
  </si>
  <si>
    <t>4S 4E 28</t>
  </si>
  <si>
    <t>SAQT</t>
  </si>
  <si>
    <t>LYDLE</t>
  </si>
  <si>
    <t>43 31 09</t>
  </si>
  <si>
    <t>116 03 27</t>
  </si>
  <si>
    <t>HUNT, CONGLETON</t>
  </si>
  <si>
    <t>UNIT 4</t>
  </si>
  <si>
    <t>HOT</t>
  </si>
  <si>
    <t>DEKRUYF</t>
  </si>
  <si>
    <t>3S 7E 21</t>
  </si>
  <si>
    <t>43 08 55</t>
  </si>
  <si>
    <t>115 37 40</t>
  </si>
  <si>
    <t>SAZJ</t>
  </si>
  <si>
    <t>LYDE</t>
  </si>
  <si>
    <t>2N 4E 30</t>
  </si>
  <si>
    <t>43 28 52</t>
  </si>
  <si>
    <t>116 01 34</t>
  </si>
  <si>
    <t>SBAQ</t>
  </si>
  <si>
    <t>HUMDRUM</t>
  </si>
  <si>
    <t>1S 2E 17</t>
  </si>
  <si>
    <t>SBBA</t>
  </si>
  <si>
    <t>43 20 10</t>
  </si>
  <si>
    <t>116 14 58</t>
  </si>
  <si>
    <t>NS 22 BOF</t>
  </si>
  <si>
    <t>SBBZ</t>
  </si>
  <si>
    <t>8N 5E 07</t>
  </si>
  <si>
    <t>HUNT
CONGLETON(T)</t>
  </si>
  <si>
    <t>SBHF</t>
  </si>
  <si>
    <t>MINNEHA</t>
  </si>
  <si>
    <t>4N 5E 17</t>
  </si>
  <si>
    <t>43 41 22</t>
  </si>
  <si>
    <t>115 53 05</t>
  </si>
  <si>
    <t>OTR 305</t>
  </si>
  <si>
    <t>OTR 306</t>
  </si>
  <si>
    <t>OTR 307</t>
  </si>
  <si>
    <t>OTR 308</t>
  </si>
  <si>
    <t>OTR 309</t>
  </si>
  <si>
    <t>OTR 310</t>
  </si>
  <si>
    <t>OTR 311</t>
  </si>
  <si>
    <t>OTR 312</t>
  </si>
  <si>
    <t>OTR 313</t>
  </si>
  <si>
    <t>OTR 314</t>
  </si>
  <si>
    <t>OTR 315</t>
  </si>
  <si>
    <t>OTR 316</t>
  </si>
  <si>
    <t>OTR 317</t>
  </si>
  <si>
    <t>OTR 318</t>
  </si>
  <si>
    <t>OTR 319</t>
  </si>
  <si>
    <t>OTR 320</t>
  </si>
  <si>
    <t>OTR 321</t>
  </si>
  <si>
    <t>OTR 322</t>
  </si>
  <si>
    <t>OTR 323</t>
  </si>
  <si>
    <t>OTR 324</t>
  </si>
  <si>
    <t>OTR 325</t>
  </si>
  <si>
    <t>OTR 326</t>
  </si>
  <si>
    <t>OTR 327</t>
  </si>
  <si>
    <t>OTR 328</t>
  </si>
  <si>
    <t>OTR 329</t>
  </si>
  <si>
    <t>OTR 330</t>
  </si>
  <si>
    <t>OTR 331</t>
  </si>
  <si>
    <t>OTR 332</t>
  </si>
  <si>
    <t>OTR 333</t>
  </si>
  <si>
    <t>OTR 334</t>
  </si>
  <si>
    <t>OTR 335</t>
  </si>
  <si>
    <t>OTR 336</t>
  </si>
  <si>
    <t>OTR 337</t>
  </si>
  <si>
    <t>OTR 338</t>
  </si>
  <si>
    <t>OTR 339</t>
  </si>
  <si>
    <t>OTR 340</t>
  </si>
  <si>
    <t>OTR 341</t>
  </si>
  <si>
    <t>OTR 342</t>
  </si>
  <si>
    <t>OTR 343</t>
  </si>
  <si>
    <t>OTR 344</t>
  </si>
  <si>
    <t>OTR 345</t>
  </si>
  <si>
    <t>OTR 346</t>
  </si>
  <si>
    <t>OTR 347</t>
  </si>
  <si>
    <t>OTR 348</t>
  </si>
  <si>
    <t>State
Acres</t>
  </si>
  <si>
    <t>SBSQ</t>
  </si>
  <si>
    <t>SALMON</t>
  </si>
  <si>
    <t>2S 3W 08</t>
  </si>
  <si>
    <t>SBZC</t>
  </si>
  <si>
    <t>FA 29 BOD</t>
  </si>
  <si>
    <t>3N 4E 20</t>
  </si>
  <si>
    <t>SCDV</t>
  </si>
  <si>
    <t>HOUSE</t>
  </si>
  <si>
    <t>DORMAN</t>
  </si>
  <si>
    <t>HAGEDORN</t>
  </si>
  <si>
    <t>1N 8E 02</t>
  </si>
  <si>
    <t>43 26 52</t>
  </si>
  <si>
    <t>115 28 06</t>
  </si>
  <si>
    <t>SCDW</t>
  </si>
  <si>
    <t>FA 30 BOD</t>
  </si>
  <si>
    <t>4N 3E 30</t>
  </si>
  <si>
    <t>RX D4 SLASH &amp; DEBRIS</t>
  </si>
  <si>
    <t>DULHANTY</t>
  </si>
  <si>
    <t>12N 4E 12</t>
  </si>
  <si>
    <t>SKUNK NCT</t>
  </si>
  <si>
    <t>KNIGHT</t>
  </si>
  <si>
    <t>ELK CRK &amp; RED MTN</t>
  </si>
  <si>
    <t>13N 9E 32
10N 8E 11</t>
  </si>
  <si>
    <t>RX LOWMAN PILES</t>
  </si>
  <si>
    <t>RX D3 PILE BURNS</t>
  </si>
  <si>
    <t>BUCKSKIN</t>
  </si>
  <si>
    <t>ADAMSON</t>
  </si>
  <si>
    <t>8N 5E 32</t>
  </si>
  <si>
    <t>MEADOW CREEK &amp; HELENDE</t>
  </si>
  <si>
    <t>9N 8E 26</t>
  </si>
  <si>
    <t>HAUPT</t>
  </si>
  <si>
    <t>WACHUTA</t>
  </si>
  <si>
    <t>NS 23 BOF</t>
  </si>
  <si>
    <t>12N 1E 12</t>
  </si>
  <si>
    <t>RX D6 DISTRICT WIDE PILES</t>
  </si>
  <si>
    <t>SHIRTS</t>
  </si>
  <si>
    <t>HIGHTOWER</t>
  </si>
  <si>
    <t>10N 2E 36</t>
  </si>
  <si>
    <t>RX HURRY UP CREEK</t>
  </si>
  <si>
    <t>9S 2W 08</t>
  </si>
  <si>
    <t>SANDERS</t>
  </si>
  <si>
    <t>HURD WYCK</t>
  </si>
  <si>
    <t>14N 2E 01</t>
  </si>
  <si>
    <t>SCUA</t>
  </si>
  <si>
    <t>POST</t>
  </si>
  <si>
    <t>1S 1E 20</t>
  </si>
  <si>
    <t>43 19 29</t>
  </si>
  <si>
    <t>116 22 20</t>
  </si>
  <si>
    <t>WACHUTA
O' BOURKE</t>
  </si>
  <si>
    <t>HAUPT
LUCARELLI</t>
  </si>
  <si>
    <t>12N 4E 14</t>
  </si>
  <si>
    <t>BANKS</t>
  </si>
  <si>
    <t>GULCH</t>
  </si>
  <si>
    <t>SCUF</t>
  </si>
  <si>
    <t>9N 3E 28</t>
  </si>
  <si>
    <t>SCVJ</t>
  </si>
  <si>
    <t>FABBI</t>
  </si>
  <si>
    <t>5N 4E 12</t>
  </si>
  <si>
    <t>43 46 49</t>
  </si>
  <si>
    <t>44 05 02</t>
  </si>
  <si>
    <t>116 06 39</t>
  </si>
  <si>
    <t>HAUPT
KAMPP</t>
  </si>
  <si>
    <t>OCTC OCT</t>
  </si>
  <si>
    <t>SDBL</t>
  </si>
  <si>
    <t>NS 24 BOD</t>
  </si>
  <si>
    <t>8S 3W 11</t>
  </si>
  <si>
    <t>FAWN-TUSSOCK NCT</t>
  </si>
  <si>
    <t>12N 3E 11</t>
  </si>
  <si>
    <t>SDEE</t>
  </si>
  <si>
    <t>NS 25 SWS</t>
  </si>
  <si>
    <t>6N 5E 33</t>
  </si>
  <si>
    <t>SDEF</t>
  </si>
  <si>
    <t>NS 26 BOD</t>
  </si>
  <si>
    <t>1S 1E 01</t>
  </si>
  <si>
    <t>HAZARD SALVAGE</t>
  </si>
  <si>
    <t>14N 3E 29</t>
  </si>
  <si>
    <t>SDJK</t>
  </si>
  <si>
    <t>NS 27 BOD</t>
  </si>
  <si>
    <t>SDKE</t>
  </si>
  <si>
    <t>MING</t>
  </si>
  <si>
    <t>1S 2W 32</t>
  </si>
  <si>
    <t>43 17 46</t>
  </si>
  <si>
    <t>116 36 34</t>
  </si>
  <si>
    <t>MOORE-MOTH NCT</t>
  </si>
  <si>
    <t>SDLH</t>
  </si>
  <si>
    <t>KARNEY</t>
  </si>
  <si>
    <t>REGNART</t>
  </si>
  <si>
    <t>4N 3E 10</t>
  </si>
  <si>
    <t>43 41 58</t>
  </si>
  <si>
    <t>116 05 16</t>
  </si>
  <si>
    <t>HAUPT
BEGGS</t>
  </si>
  <si>
    <t>43 15 47</t>
  </si>
  <si>
    <t>116 42 58</t>
  </si>
  <si>
    <t>ADAMSON
BAECHLE</t>
  </si>
  <si>
    <t>DRAKE
STONE</t>
  </si>
  <si>
    <t>MM115 I84</t>
  </si>
  <si>
    <t>RX DRY BUCK SUMMIT</t>
  </si>
  <si>
    <t>9N 2E 12</t>
  </si>
  <si>
    <t>FA 31 BOF</t>
  </si>
  <si>
    <t>5N 8E 18</t>
  </si>
  <si>
    <t>SDYZ</t>
  </si>
  <si>
    <t>FA 32 BOD</t>
  </si>
  <si>
    <t>LOST HORSE</t>
  </si>
  <si>
    <t>HAUPT
STONE</t>
  </si>
  <si>
    <t>14N 5E 25</t>
  </si>
  <si>
    <t>DOLLAR FIRE</t>
  </si>
  <si>
    <t>16N 5E 23</t>
  </si>
  <si>
    <t>43 16 21</t>
  </si>
  <si>
    <t>115 57 01</t>
  </si>
  <si>
    <t>42 52 19</t>
  </si>
  <si>
    <t>116 56 35</t>
  </si>
  <si>
    <t>RX BOSH PILES</t>
  </si>
  <si>
    <t>HORSHOE SALVAGE</t>
  </si>
  <si>
    <t>BOISE EXPERIMENTAL FOREST</t>
  </si>
  <si>
    <t>6N 5E 26</t>
  </si>
  <si>
    <t>YANKEY</t>
  </si>
  <si>
    <t>BECHARAS</t>
  </si>
  <si>
    <t>11N 2E 27</t>
  </si>
  <si>
    <t>BURKE   FOSTER(T)</t>
  </si>
  <si>
    <t>BACHMAN GRADE</t>
  </si>
  <si>
    <t>6S 2W 28</t>
  </si>
  <si>
    <t>OCTC NOV</t>
  </si>
  <si>
    <t>YELLOW PINE TRANSFER SITE</t>
  </si>
  <si>
    <t>18N 8E 4</t>
  </si>
  <si>
    <t>HUNT   BLODGETT (T)</t>
  </si>
  <si>
    <t>TOY PASS</t>
  </si>
  <si>
    <t>JIMENEZ</t>
  </si>
  <si>
    <t>WARM LAKE TRANSFER SITE</t>
  </si>
  <si>
    <t>15N 6E 2</t>
  </si>
  <si>
    <t>5N 4E 17</t>
  </si>
  <si>
    <t>LAMB   BLODGETT (T)</t>
  </si>
  <si>
    <t>SHEEP</t>
  </si>
  <si>
    <t>4N 4E 06</t>
  </si>
  <si>
    <t>COW CREEK</t>
  </si>
  <si>
    <t>BURKE       FOSTER (T)</t>
  </si>
  <si>
    <t>GRASSY FLATS</t>
  </si>
  <si>
    <t>HELENDE</t>
  </si>
  <si>
    <t>12N 3E 14</t>
  </si>
  <si>
    <t>CRAWFORD</t>
  </si>
  <si>
    <t>14N 4E 21</t>
  </si>
  <si>
    <t>S7RE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</si>
</sst>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;@"/>
    <numFmt numFmtId="165" formatCode="m/d/yy;@"/>
  </numFmts>
  <fonts count="44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7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8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8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rgb="FF222222"/>
      <name val="Arial"/>
      <family val="2"/>
    </font>
    <font>
      <i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4"/>
      <color theme="1"/>
      <name val="Courier New"/>
      <family val="3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3" tint="0.59999389629810485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b/>
      <sz val="11"/>
      <color theme="4" tint="0.39997558519241921"/>
      <name val="Calibri"/>
      <family val="2"/>
      <scheme val="minor"/>
    </font>
    <font>
      <b/>
      <sz val="11"/>
      <color theme="4" tint="0.59999389629810485"/>
      <name val="Calibri"/>
      <family val="2"/>
      <scheme val="minor"/>
    </font>
    <font>
      <sz val="8"/>
      <color rgb="FF000000"/>
      <name val="Arial"/>
      <family val="2"/>
    </font>
    <font>
      <b/>
      <sz val="11"/>
      <color theme="3" tint="0.39997558519241921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FDEB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FF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3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12" borderId="1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 wrapText="1"/>
    </xf>
    <xf numFmtId="0" fontId="2" fillId="12" borderId="4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12" borderId="4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164" fontId="2" fillId="11" borderId="1" xfId="0" applyNumberFormat="1" applyFont="1" applyFill="1" applyBorder="1" applyAlignment="1">
      <alignment horizontal="center" vertical="center"/>
    </xf>
    <xf numFmtId="1" fontId="2" fillId="11" borderId="1" xfId="0" applyNumberFormat="1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2" fillId="11" borderId="0" xfId="0" applyFont="1" applyFill="1" applyAlignment="1">
      <alignment horizontal="center" vertical="center"/>
    </xf>
    <xf numFmtId="1" fontId="2" fillId="11" borderId="0" xfId="0" applyNumberFormat="1" applyFont="1" applyFill="1" applyAlignment="1">
      <alignment horizontal="center" vertical="center"/>
    </xf>
    <xf numFmtId="0" fontId="2" fillId="11" borderId="5" xfId="0" applyFont="1" applyFill="1" applyBorder="1" applyAlignment="1">
      <alignment horizontal="center" vertical="center"/>
    </xf>
    <xf numFmtId="0" fontId="2" fillId="11" borderId="6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16" fillId="11" borderId="1" xfId="0" applyFont="1" applyFill="1" applyBorder="1" applyAlignment="1">
      <alignment horizontal="center" vertical="center"/>
    </xf>
    <xf numFmtId="164" fontId="2" fillId="11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164" fontId="2" fillId="11" borderId="5" xfId="0" applyNumberFormat="1" applyFont="1" applyFill="1" applyBorder="1" applyAlignment="1">
      <alignment horizontal="center" vertical="center"/>
    </xf>
    <xf numFmtId="1" fontId="2" fillId="11" borderId="5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0" fontId="2" fillId="14" borderId="5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14" fontId="2" fillId="11" borderId="1" xfId="0" applyNumberFormat="1" applyFont="1" applyFill="1" applyBorder="1" applyAlignment="1">
      <alignment horizontal="center" vertical="center"/>
    </xf>
    <xf numFmtId="165" fontId="2" fillId="11" borderId="6" xfId="0" applyNumberFormat="1" applyFont="1" applyFill="1" applyBorder="1" applyAlignment="1">
      <alignment horizontal="center" vertical="center" wrapText="1"/>
    </xf>
    <xf numFmtId="0" fontId="19" fillId="11" borderId="0" xfId="0" applyFont="1" applyFill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11" borderId="13" xfId="0" applyFont="1" applyFill="1" applyBorder="1" applyAlignment="1">
      <alignment horizontal="center" vertical="center"/>
    </xf>
    <xf numFmtId="0" fontId="1" fillId="11" borderId="13" xfId="0" applyFont="1" applyFill="1" applyBorder="1" applyAlignment="1">
      <alignment horizontal="left" vertical="center"/>
    </xf>
    <xf numFmtId="0" fontId="3" fillId="11" borderId="13" xfId="0" applyFont="1" applyFill="1" applyBorder="1" applyAlignment="1">
      <alignment horizontal="center" vertical="center"/>
    </xf>
    <xf numFmtId="0" fontId="3" fillId="11" borderId="13" xfId="0" applyFont="1" applyFill="1" applyBorder="1" applyAlignment="1">
      <alignment horizontal="center" vertical="center" wrapText="1"/>
    </xf>
    <xf numFmtId="0" fontId="7" fillId="11" borderId="13" xfId="0" applyFont="1" applyFill="1" applyBorder="1" applyAlignment="1">
      <alignment horizontal="center" vertical="center"/>
    </xf>
    <xf numFmtId="1" fontId="9" fillId="11" borderId="13" xfId="0" applyNumberFormat="1" applyFont="1" applyFill="1" applyBorder="1" applyAlignment="1">
      <alignment horizontal="center" vertical="center"/>
    </xf>
    <xf numFmtId="0" fontId="11" fillId="11" borderId="17" xfId="0" applyFont="1" applyFill="1" applyBorder="1" applyAlignment="1">
      <alignment vertical="center"/>
    </xf>
    <xf numFmtId="0" fontId="11" fillId="11" borderId="19" xfId="0" applyFont="1" applyFill="1" applyBorder="1" applyAlignment="1">
      <alignment vertical="center"/>
    </xf>
    <xf numFmtId="0" fontId="11" fillId="11" borderId="18" xfId="0" applyFont="1" applyFill="1" applyBorder="1" applyAlignment="1">
      <alignment vertical="center"/>
    </xf>
    <xf numFmtId="0" fontId="7" fillId="11" borderId="17" xfId="0" applyFont="1" applyFill="1" applyBorder="1" applyAlignment="1">
      <alignment vertical="center"/>
    </xf>
    <xf numFmtId="0" fontId="7" fillId="11" borderId="18" xfId="0" applyFont="1" applyFill="1" applyBorder="1" applyAlignment="1">
      <alignment vertical="center"/>
    </xf>
    <xf numFmtId="0" fontId="2" fillId="12" borderId="5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 wrapText="1"/>
    </xf>
    <xf numFmtId="0" fontId="2" fillId="13" borderId="5" xfId="0" applyFont="1" applyFill="1" applyBorder="1" applyAlignment="1">
      <alignment horizontal="center" vertical="center"/>
    </xf>
    <xf numFmtId="0" fontId="2" fillId="10" borderId="5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17" fillId="0" borderId="25" xfId="0" applyFont="1" applyBorder="1" applyAlignment="1">
      <alignment horizontal="center"/>
    </xf>
    <xf numFmtId="0" fontId="0" fillId="11" borderId="25" xfId="0" applyFill="1" applyBorder="1" applyAlignment="1">
      <alignment horizontal="center"/>
    </xf>
    <xf numFmtId="0" fontId="0" fillId="11" borderId="25" xfId="0" quotePrefix="1" applyFill="1" applyBorder="1" applyAlignment="1">
      <alignment horizontal="center"/>
    </xf>
    <xf numFmtId="0" fontId="0" fillId="7" borderId="28" xfId="0" quotePrefix="1" applyFill="1" applyBorder="1" applyAlignment="1">
      <alignment horizontal="center"/>
    </xf>
    <xf numFmtId="0" fontId="0" fillId="11" borderId="31" xfId="0" quotePrefix="1" applyFill="1" applyBorder="1" applyAlignment="1">
      <alignment horizontal="center" wrapText="1"/>
    </xf>
    <xf numFmtId="0" fontId="0" fillId="7" borderId="28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2" fillId="12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12" borderId="1" xfId="0" applyFill="1" applyBorder="1" applyAlignment="1">
      <alignment horizontal="center"/>
    </xf>
    <xf numFmtId="0" fontId="0" fillId="11" borderId="12" xfId="0" applyFill="1" applyBorder="1"/>
    <xf numFmtId="0" fontId="0" fillId="0" borderId="12" xfId="0" applyBorder="1"/>
    <xf numFmtId="0" fontId="0" fillId="11" borderId="33" xfId="0" applyFill="1" applyBorder="1"/>
    <xf numFmtId="16" fontId="2" fillId="0" borderId="0" xfId="0" applyNumberFormat="1" applyFont="1" applyAlignment="1">
      <alignment horizontal="center" vertical="center" wrapText="1"/>
    </xf>
    <xf numFmtId="16" fontId="2" fillId="0" borderId="0" xfId="0" applyNumberFormat="1" applyFont="1" applyAlignment="1">
      <alignment horizontal="center" vertical="center"/>
    </xf>
    <xf numFmtId="0" fontId="5" fillId="11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/>
    </xf>
    <xf numFmtId="0" fontId="0" fillId="7" borderId="25" xfId="0" applyFill="1" applyBorder="1" applyAlignment="1">
      <alignment horizontal="center"/>
    </xf>
    <xf numFmtId="0" fontId="0" fillId="7" borderId="5" xfId="0" applyFill="1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0" fontId="2" fillId="4" borderId="24" xfId="0" applyFont="1" applyFill="1" applyBorder="1" applyAlignment="1">
      <alignment horizontal="center" vertical="center" wrapText="1"/>
    </xf>
    <xf numFmtId="0" fontId="2" fillId="12" borderId="23" xfId="0" applyFont="1" applyFill="1" applyBorder="1" applyAlignment="1">
      <alignment horizontal="left" vertical="center" wrapText="1"/>
    </xf>
    <xf numFmtId="0" fontId="2" fillId="11" borderId="20" xfId="0" applyFont="1" applyFill="1" applyBorder="1" applyAlignment="1">
      <alignment horizontal="center" vertical="center" wrapText="1"/>
    </xf>
    <xf numFmtId="0" fontId="2" fillId="6" borderId="20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12" borderId="25" xfId="0" applyFont="1" applyFill="1" applyBorder="1" applyAlignment="1">
      <alignment horizontal="left" vertical="center" wrapText="1"/>
    </xf>
    <xf numFmtId="0" fontId="2" fillId="4" borderId="26" xfId="0" applyFont="1" applyFill="1" applyBorder="1" applyAlignment="1">
      <alignment horizontal="center" vertical="center" wrapText="1"/>
    </xf>
    <xf numFmtId="0" fontId="2" fillId="12" borderId="25" xfId="0" applyFont="1" applyFill="1" applyBorder="1" applyAlignment="1">
      <alignment horizontal="left" vertical="center"/>
    </xf>
    <xf numFmtId="0" fontId="2" fillId="12" borderId="34" xfId="0" applyFont="1" applyFill="1" applyBorder="1" applyAlignment="1">
      <alignment horizontal="left" vertical="center"/>
    </xf>
    <xf numFmtId="0" fontId="2" fillId="11" borderId="21" xfId="0" applyFont="1" applyFill="1" applyBorder="1" applyAlignment="1">
      <alignment horizontal="center" vertical="center" wrapText="1"/>
    </xf>
    <xf numFmtId="0" fontId="2" fillId="6" borderId="21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4" borderId="35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165" fontId="8" fillId="11" borderId="6" xfId="0" applyNumberFormat="1" applyFont="1" applyFill="1" applyBorder="1" applyAlignment="1">
      <alignment horizontal="center" vertical="center" wrapText="1"/>
    </xf>
    <xf numFmtId="0" fontId="0" fillId="0" borderId="37" xfId="0" applyBorder="1"/>
    <xf numFmtId="0" fontId="0" fillId="15" borderId="1" xfId="0" applyFill="1" applyBorder="1" applyAlignment="1">
      <alignment horizontal="center"/>
    </xf>
    <xf numFmtId="0" fontId="0" fillId="16" borderId="1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15" borderId="1" xfId="0" applyFill="1" applyBorder="1" applyAlignment="1">
      <alignment horizontal="center" wrapText="1"/>
    </xf>
    <xf numFmtId="0" fontId="0" fillId="16" borderId="1" xfId="0" applyFill="1" applyBorder="1" applyAlignment="1">
      <alignment horizontal="center" wrapText="1"/>
    </xf>
    <xf numFmtId="0" fontId="0" fillId="9" borderId="1" xfId="0" applyFill="1" applyBorder="1" applyAlignment="1">
      <alignment horizontal="center" wrapText="1"/>
    </xf>
    <xf numFmtId="0" fontId="24" fillId="15" borderId="1" xfId="0" applyFont="1" applyFill="1" applyBorder="1" applyAlignment="1">
      <alignment horizontal="center"/>
    </xf>
    <xf numFmtId="0" fontId="24" fillId="16" borderId="1" xfId="0" applyFont="1" applyFill="1" applyBorder="1" applyAlignment="1">
      <alignment horizontal="center"/>
    </xf>
    <xf numFmtId="0" fontId="23" fillId="9" borderId="1" xfId="0" applyFont="1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38" xfId="0" applyBorder="1" applyAlignment="1">
      <alignment horizontal="center"/>
    </xf>
    <xf numFmtId="0" fontId="23" fillId="0" borderId="36" xfId="0" applyFont="1" applyBorder="1" applyAlignment="1">
      <alignment horizontal="left"/>
    </xf>
    <xf numFmtId="0" fontId="0" fillId="0" borderId="37" xfId="0" applyBorder="1" applyAlignment="1">
      <alignment horizontal="center"/>
    </xf>
    <xf numFmtId="0" fontId="2" fillId="16" borderId="1" xfId="0" applyFont="1" applyFill="1" applyBorder="1" applyAlignment="1">
      <alignment horizontal="center" vertical="center"/>
    </xf>
    <xf numFmtId="0" fontId="2" fillId="17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wrapText="1"/>
    </xf>
    <xf numFmtId="0" fontId="25" fillId="4" borderId="1" xfId="0" applyFont="1" applyFill="1" applyBorder="1" applyAlignment="1">
      <alignment horizontal="center"/>
    </xf>
    <xf numFmtId="0" fontId="25" fillId="2" borderId="1" xfId="0" applyFont="1" applyFill="1" applyBorder="1" applyAlignment="1">
      <alignment horizontal="center"/>
    </xf>
    <xf numFmtId="0" fontId="25" fillId="3" borderId="1" xfId="0" applyFont="1" applyFill="1" applyBorder="1" applyAlignment="1">
      <alignment horizontal="center"/>
    </xf>
    <xf numFmtId="0" fontId="25" fillId="0" borderId="1" xfId="0" applyFont="1" applyBorder="1"/>
    <xf numFmtId="0" fontId="25" fillId="0" borderId="0" xfId="0" applyFont="1"/>
    <xf numFmtId="165" fontId="25" fillId="0" borderId="1" xfId="0" applyNumberFormat="1" applyFont="1" applyBorder="1" applyAlignment="1">
      <alignment horizontal="center"/>
    </xf>
    <xf numFmtId="0" fontId="25" fillId="11" borderId="6" xfId="0" applyFont="1" applyFill="1" applyBorder="1" applyAlignment="1">
      <alignment horizontal="center" wrapText="1"/>
    </xf>
    <xf numFmtId="0" fontId="25" fillId="0" borderId="1" xfId="0" applyFont="1" applyBorder="1" applyAlignment="1">
      <alignment horizontal="center" wrapText="1"/>
    </xf>
    <xf numFmtId="0" fontId="25" fillId="0" borderId="1" xfId="0" applyFont="1" applyBorder="1" applyAlignment="1">
      <alignment horizontal="center"/>
    </xf>
    <xf numFmtId="0" fontId="25" fillId="11" borderId="1" xfId="0" applyFont="1" applyFill="1" applyBorder="1" applyAlignment="1">
      <alignment horizontal="center" wrapText="1"/>
    </xf>
    <xf numFmtId="165" fontId="25" fillId="0" borderId="0" xfId="0" applyNumberFormat="1" applyFont="1" applyAlignment="1">
      <alignment horizontal="center"/>
    </xf>
    <xf numFmtId="0" fontId="25" fillId="0" borderId="0" xfId="0" applyFont="1" applyAlignment="1">
      <alignment horizontal="center" wrapText="1"/>
    </xf>
    <xf numFmtId="0" fontId="25" fillId="0" borderId="0" xfId="0" applyFont="1" applyAlignment="1">
      <alignment horizontal="center"/>
    </xf>
    <xf numFmtId="0" fontId="25" fillId="4" borderId="0" xfId="0" applyFont="1" applyFill="1" applyAlignment="1">
      <alignment horizontal="center"/>
    </xf>
    <xf numFmtId="0" fontId="25" fillId="2" borderId="0" xfId="0" applyFont="1" applyFill="1" applyAlignment="1">
      <alignment horizontal="center"/>
    </xf>
    <xf numFmtId="0" fontId="25" fillId="3" borderId="0" xfId="0" applyFont="1" applyFill="1" applyAlignment="1">
      <alignment horizontal="center"/>
    </xf>
    <xf numFmtId="0" fontId="25" fillId="4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/>
    </xf>
    <xf numFmtId="165" fontId="2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3" fillId="0" borderId="0" xfId="0" applyFont="1"/>
    <xf numFmtId="0" fontId="30" fillId="0" borderId="1" xfId="0" applyFont="1" applyBorder="1" applyAlignment="1">
      <alignment horizontal="center"/>
    </xf>
    <xf numFmtId="0" fontId="17" fillId="0" borderId="0" xfId="0" applyFont="1"/>
    <xf numFmtId="0" fontId="29" fillId="0" borderId="0" xfId="0" applyFont="1" applyAlignment="1">
      <alignment horizontal="center"/>
    </xf>
    <xf numFmtId="0" fontId="17" fillId="0" borderId="1" xfId="0" applyFont="1" applyBorder="1" applyAlignment="1">
      <alignment wrapText="1"/>
    </xf>
    <xf numFmtId="0" fontId="1" fillId="0" borderId="2" xfId="0" applyFont="1" applyBorder="1" applyAlignment="1">
      <alignment horizontal="left" vertical="center"/>
    </xf>
    <xf numFmtId="0" fontId="16" fillId="0" borderId="0" xfId="0" applyFont="1" applyAlignment="1">
      <alignment vertical="center"/>
    </xf>
    <xf numFmtId="0" fontId="32" fillId="0" borderId="1" xfId="0" applyFont="1" applyBorder="1" applyAlignment="1">
      <alignment horizontal="center"/>
    </xf>
    <xf numFmtId="0" fontId="32" fillId="0" borderId="1" xfId="0" applyFont="1" applyBorder="1" applyAlignment="1">
      <alignment horizontal="center" vertical="center"/>
    </xf>
    <xf numFmtId="16" fontId="2" fillId="0" borderId="1" xfId="0" applyNumberFormat="1" applyFont="1" applyBorder="1" applyAlignment="1">
      <alignment horizontal="center" vertical="center"/>
    </xf>
    <xf numFmtId="165" fontId="25" fillId="0" borderId="1" xfId="0" applyNumberFormat="1" applyFont="1" applyBorder="1" applyAlignment="1">
      <alignment horizontal="center" wrapText="1"/>
    </xf>
    <xf numFmtId="0" fontId="25" fillId="4" borderId="1" xfId="0" applyFont="1" applyFill="1" applyBorder="1" applyAlignment="1">
      <alignment horizontal="center" wrapText="1"/>
    </xf>
    <xf numFmtId="0" fontId="25" fillId="2" borderId="1" xfId="0" applyFont="1" applyFill="1" applyBorder="1" applyAlignment="1">
      <alignment horizontal="center" wrapText="1"/>
    </xf>
    <xf numFmtId="0" fontId="25" fillId="3" borderId="1" xfId="0" applyFont="1" applyFill="1" applyBorder="1" applyAlignment="1">
      <alignment horizontal="center" wrapText="1"/>
    </xf>
    <xf numFmtId="0" fontId="25" fillId="0" borderId="0" xfId="0" applyFont="1" applyAlignment="1">
      <alignment wrapText="1"/>
    </xf>
    <xf numFmtId="0" fontId="27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2" fillId="0" borderId="21" xfId="0" applyFont="1" applyBorder="1" applyAlignment="1">
      <alignment horizontal="center" vertical="center" wrapText="1"/>
    </xf>
    <xf numFmtId="16" fontId="2" fillId="12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4" fillId="7" borderId="7" xfId="0" applyFont="1" applyFill="1" applyBorder="1" applyAlignment="1">
      <alignment horizontal="right" vertical="center"/>
    </xf>
    <xf numFmtId="0" fontId="2" fillId="7" borderId="3" xfId="0" applyFont="1" applyFill="1" applyBorder="1" applyAlignment="1">
      <alignment horizontal="right" vertical="center"/>
    </xf>
    <xf numFmtId="0" fontId="31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7" fillId="0" borderId="1" xfId="0" applyFont="1" applyBorder="1"/>
    <xf numFmtId="0" fontId="17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" fillId="11" borderId="1" xfId="0" applyFont="1" applyFill="1" applyBorder="1" applyAlignment="1" applyProtection="1">
      <alignment horizontal="center" vertical="center"/>
      <protection locked="0"/>
    </xf>
    <xf numFmtId="0" fontId="2" fillId="11" borderId="1" xfId="0" quotePrefix="1" applyFont="1" applyFill="1" applyBorder="1" applyAlignment="1">
      <alignment horizontal="center" vertical="center"/>
    </xf>
    <xf numFmtId="0" fontId="25" fillId="18" borderId="1" xfId="0" applyFont="1" applyFill="1" applyBorder="1" applyAlignment="1">
      <alignment horizontal="center"/>
    </xf>
    <xf numFmtId="0" fontId="25" fillId="18" borderId="1" xfId="0" applyFont="1" applyFill="1" applyBorder="1" applyAlignment="1">
      <alignment horizontal="center" vertical="center"/>
    </xf>
    <xf numFmtId="0" fontId="25" fillId="18" borderId="1" xfId="0" applyFont="1" applyFill="1" applyBorder="1" applyAlignment="1">
      <alignment horizontal="center" wrapText="1"/>
    </xf>
    <xf numFmtId="0" fontId="0" fillId="18" borderId="1" xfId="0" applyFill="1" applyBorder="1" applyAlignment="1">
      <alignment horizontal="center"/>
    </xf>
    <xf numFmtId="0" fontId="33" fillId="0" borderId="25" xfId="0" applyFont="1" applyBorder="1" applyAlignment="1">
      <alignment horizontal="center"/>
    </xf>
    <xf numFmtId="14" fontId="33" fillId="0" borderId="1" xfId="0" applyNumberFormat="1" applyFont="1" applyBorder="1" applyAlignment="1">
      <alignment horizontal="center"/>
    </xf>
    <xf numFmtId="20" fontId="33" fillId="0" borderId="1" xfId="0" applyNumberFormat="1" applyFont="1" applyBorder="1" applyAlignment="1">
      <alignment horizontal="center"/>
    </xf>
    <xf numFmtId="0" fontId="33" fillId="0" borderId="1" xfId="0" applyFont="1" applyBorder="1" applyAlignment="1">
      <alignment horizontal="center"/>
    </xf>
    <xf numFmtId="0" fontId="33" fillId="0" borderId="26" xfId="0" applyFont="1" applyBorder="1" applyAlignment="1">
      <alignment horizontal="center"/>
    </xf>
    <xf numFmtId="0" fontId="0" fillId="19" borderId="1" xfId="0" applyFill="1" applyBorder="1"/>
    <xf numFmtId="0" fontId="1" fillId="0" borderId="0" xfId="0" applyFont="1" applyAlignment="1">
      <alignment horizontal="left" vertical="center"/>
    </xf>
    <xf numFmtId="0" fontId="1" fillId="11" borderId="0" xfId="0" applyFont="1" applyFill="1" applyAlignment="1">
      <alignment horizontal="left" vertical="center"/>
    </xf>
    <xf numFmtId="16" fontId="2" fillId="11" borderId="1" xfId="0" applyNumberFormat="1" applyFont="1" applyFill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3" fontId="9" fillId="9" borderId="1" xfId="0" applyNumberFormat="1" applyFont="1" applyFill="1" applyBorder="1" applyAlignment="1">
      <alignment horizontal="center" vertical="center"/>
    </xf>
    <xf numFmtId="3" fontId="9" fillId="4" borderId="1" xfId="0" applyNumberFormat="1" applyFont="1" applyFill="1" applyBorder="1" applyAlignment="1">
      <alignment horizontal="center" vertical="center"/>
    </xf>
    <xf numFmtId="3" fontId="9" fillId="8" borderId="1" xfId="0" applyNumberFormat="1" applyFont="1" applyFill="1" applyBorder="1" applyAlignment="1">
      <alignment horizontal="center" vertical="center"/>
    </xf>
    <xf numFmtId="14" fontId="17" fillId="0" borderId="1" xfId="0" applyNumberFormat="1" applyFont="1" applyBorder="1" applyAlignment="1">
      <alignment horizontal="center"/>
    </xf>
    <xf numFmtId="20" fontId="17" fillId="0" borderId="1" xfId="0" applyNumberFormat="1" applyFont="1" applyBorder="1" applyAlignment="1">
      <alignment horizontal="center"/>
    </xf>
    <xf numFmtId="0" fontId="17" fillId="0" borderId="26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31" xfId="0" applyFont="1" applyBorder="1" applyAlignment="1">
      <alignment horizontal="center"/>
    </xf>
    <xf numFmtId="14" fontId="17" fillId="0" borderId="5" xfId="0" applyNumberFormat="1" applyFont="1" applyBorder="1" applyAlignment="1">
      <alignment horizontal="center"/>
    </xf>
    <xf numFmtId="20" fontId="17" fillId="0" borderId="5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 vertical="center" wrapText="1"/>
    </xf>
    <xf numFmtId="0" fontId="25" fillId="11" borderId="6" xfId="0" applyFont="1" applyFill="1" applyBorder="1" applyAlignment="1">
      <alignment horizontal="center" vertical="center" wrapText="1"/>
    </xf>
    <xf numFmtId="0" fontId="25" fillId="11" borderId="1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4" fillId="0" borderId="1" xfId="0" applyFont="1" applyBorder="1" applyAlignment="1">
      <alignment horizontal="center"/>
    </xf>
    <xf numFmtId="0" fontId="34" fillId="0" borderId="31" xfId="0" applyFont="1" applyBorder="1" applyAlignment="1">
      <alignment horizontal="center"/>
    </xf>
    <xf numFmtId="14" fontId="34" fillId="0" borderId="5" xfId="0" applyNumberFormat="1" applyFont="1" applyBorder="1" applyAlignment="1">
      <alignment horizontal="center"/>
    </xf>
    <xf numFmtId="20" fontId="34" fillId="0" borderId="5" xfId="0" applyNumberFormat="1" applyFont="1" applyBorder="1" applyAlignment="1">
      <alignment horizontal="center"/>
    </xf>
    <xf numFmtId="0" fontId="34" fillId="0" borderId="5" xfId="0" applyFont="1" applyBorder="1" applyAlignment="1">
      <alignment horizontal="center"/>
    </xf>
    <xf numFmtId="0" fontId="34" fillId="0" borderId="26" xfId="0" applyFont="1" applyBorder="1" applyAlignment="1">
      <alignment horizontal="center"/>
    </xf>
    <xf numFmtId="0" fontId="34" fillId="0" borderId="0" xfId="0" applyFont="1"/>
    <xf numFmtId="0" fontId="34" fillId="0" borderId="1" xfId="0" applyFont="1" applyBorder="1"/>
    <xf numFmtId="0" fontId="34" fillId="0" borderId="1" xfId="0" applyFont="1" applyBorder="1" applyAlignment="1">
      <alignment horizontal="center" vertical="center"/>
    </xf>
    <xf numFmtId="0" fontId="36" fillId="0" borderId="25" xfId="0" applyFont="1" applyBorder="1" applyAlignment="1">
      <alignment horizontal="center"/>
    </xf>
    <xf numFmtId="14" fontId="36" fillId="0" borderId="1" xfId="0" applyNumberFormat="1" applyFont="1" applyBorder="1" applyAlignment="1">
      <alignment horizontal="center"/>
    </xf>
    <xf numFmtId="20" fontId="36" fillId="0" borderId="1" xfId="0" applyNumberFormat="1" applyFont="1" applyBorder="1" applyAlignment="1">
      <alignment horizontal="center"/>
    </xf>
    <xf numFmtId="0" fontId="36" fillId="0" borderId="1" xfId="0" applyFont="1" applyBorder="1" applyAlignment="1">
      <alignment horizontal="center"/>
    </xf>
    <xf numFmtId="0" fontId="36" fillId="0" borderId="5" xfId="0" applyFont="1" applyBorder="1" applyAlignment="1">
      <alignment horizontal="center"/>
    </xf>
    <xf numFmtId="0" fontId="36" fillId="0" borderId="26" xfId="0" applyFont="1" applyBorder="1" applyAlignment="1">
      <alignment horizontal="center"/>
    </xf>
    <xf numFmtId="0" fontId="35" fillId="0" borderId="0" xfId="0" applyFont="1"/>
    <xf numFmtId="0" fontId="35" fillId="0" borderId="1" xfId="0" applyFont="1" applyBorder="1"/>
    <xf numFmtId="0" fontId="35" fillId="0" borderId="1" xfId="0" applyFont="1" applyBorder="1" applyAlignment="1">
      <alignment horizontal="center"/>
    </xf>
    <xf numFmtId="0" fontId="35" fillId="0" borderId="1" xfId="0" applyFont="1" applyBorder="1" applyAlignment="1">
      <alignment horizontal="center" vertical="center"/>
    </xf>
    <xf numFmtId="0" fontId="34" fillId="0" borderId="25" xfId="0" applyFont="1" applyBorder="1" applyAlignment="1">
      <alignment horizontal="center"/>
    </xf>
    <xf numFmtId="14" fontId="34" fillId="0" borderId="1" xfId="0" applyNumberFormat="1" applyFont="1" applyBorder="1" applyAlignment="1">
      <alignment horizontal="center"/>
    </xf>
    <xf numFmtId="20" fontId="34" fillId="0" borderId="1" xfId="0" applyNumberFormat="1" applyFont="1" applyBorder="1" applyAlignment="1">
      <alignment horizontal="center"/>
    </xf>
    <xf numFmtId="0" fontId="37" fillId="0" borderId="0" xfId="0" applyFont="1" applyAlignment="1">
      <alignment wrapText="1"/>
    </xf>
    <xf numFmtId="0" fontId="38" fillId="0" borderId="25" xfId="0" applyFont="1" applyBorder="1" applyAlignment="1">
      <alignment horizontal="center"/>
    </xf>
    <xf numFmtId="14" fontId="38" fillId="0" borderId="1" xfId="0" applyNumberFormat="1" applyFont="1" applyBorder="1" applyAlignment="1">
      <alignment horizontal="center"/>
    </xf>
    <xf numFmtId="20" fontId="38" fillId="0" borderId="1" xfId="0" applyNumberFormat="1" applyFont="1" applyBorder="1" applyAlignment="1">
      <alignment horizontal="center"/>
    </xf>
    <xf numFmtId="0" fontId="38" fillId="0" borderId="1" xfId="0" applyFont="1" applyBorder="1" applyAlignment="1">
      <alignment horizontal="center"/>
    </xf>
    <xf numFmtId="0" fontId="38" fillId="0" borderId="26" xfId="0" applyFont="1" applyBorder="1" applyAlignment="1">
      <alignment horizontal="center"/>
    </xf>
    <xf numFmtId="0" fontId="39" fillId="0" borderId="0" xfId="0" applyFont="1"/>
    <xf numFmtId="0" fontId="39" fillId="0" borderId="1" xfId="0" applyFont="1" applyBorder="1"/>
    <xf numFmtId="0" fontId="39" fillId="0" borderId="1" xfId="0" applyFont="1" applyBorder="1" applyAlignment="1">
      <alignment horizontal="center"/>
    </xf>
    <xf numFmtId="0" fontId="39" fillId="0" borderId="1" xfId="0" applyFont="1" applyBorder="1" applyAlignment="1">
      <alignment horizontal="center" vertical="center"/>
    </xf>
    <xf numFmtId="0" fontId="33" fillId="0" borderId="31" xfId="0" applyFont="1" applyBorder="1" applyAlignment="1">
      <alignment horizontal="center"/>
    </xf>
    <xf numFmtId="14" fontId="33" fillId="0" borderId="5" xfId="0" applyNumberFormat="1" applyFont="1" applyBorder="1" applyAlignment="1">
      <alignment horizontal="center"/>
    </xf>
    <xf numFmtId="20" fontId="33" fillId="0" borderId="5" xfId="0" applyNumberFormat="1" applyFont="1" applyBorder="1" applyAlignment="1">
      <alignment horizontal="center"/>
    </xf>
    <xf numFmtId="0" fontId="33" fillId="0" borderId="5" xfId="0" applyFont="1" applyBorder="1" applyAlignment="1">
      <alignment horizontal="center"/>
    </xf>
    <xf numFmtId="0" fontId="40" fillId="0" borderId="31" xfId="0" applyFont="1" applyBorder="1" applyAlignment="1">
      <alignment horizontal="center"/>
    </xf>
    <xf numFmtId="14" fontId="40" fillId="0" borderId="5" xfId="0" applyNumberFormat="1" applyFont="1" applyBorder="1" applyAlignment="1">
      <alignment horizontal="center"/>
    </xf>
    <xf numFmtId="20" fontId="40" fillId="0" borderId="5" xfId="0" applyNumberFormat="1" applyFont="1" applyBorder="1" applyAlignment="1">
      <alignment horizontal="center"/>
    </xf>
    <xf numFmtId="0" fontId="40" fillId="0" borderId="5" xfId="0" applyFont="1" applyBorder="1" applyAlignment="1">
      <alignment horizontal="center"/>
    </xf>
    <xf numFmtId="0" fontId="40" fillId="0" borderId="26" xfId="0" applyFont="1" applyBorder="1" applyAlignment="1">
      <alignment horizontal="center"/>
    </xf>
    <xf numFmtId="0" fontId="40" fillId="0" borderId="0" xfId="0" applyFont="1"/>
    <xf numFmtId="0" fontId="40" fillId="0" borderId="1" xfId="0" applyFont="1" applyBorder="1"/>
    <xf numFmtId="0" fontId="40" fillId="11" borderId="1" xfId="0" applyFont="1" applyFill="1" applyBorder="1" applyAlignment="1">
      <alignment horizontal="center"/>
    </xf>
    <xf numFmtId="0" fontId="40" fillId="0" borderId="1" xfId="0" applyFont="1" applyBorder="1" applyAlignment="1">
      <alignment horizontal="center"/>
    </xf>
    <xf numFmtId="0" fontId="40" fillId="0" borderId="1" xfId="0" applyFont="1" applyBorder="1" applyAlignment="1">
      <alignment horizontal="center" vertical="center"/>
    </xf>
    <xf numFmtId="0" fontId="33" fillId="0" borderId="39" xfId="0" applyFont="1" applyBorder="1" applyAlignment="1">
      <alignment horizontal="center"/>
    </xf>
    <xf numFmtId="14" fontId="33" fillId="0" borderId="40" xfId="0" applyNumberFormat="1" applyFont="1" applyBorder="1" applyAlignment="1">
      <alignment horizontal="center"/>
    </xf>
    <xf numFmtId="20" fontId="33" fillId="0" borderId="40" xfId="0" applyNumberFormat="1" applyFont="1" applyBorder="1" applyAlignment="1">
      <alignment horizontal="center"/>
    </xf>
    <xf numFmtId="0" fontId="33" fillId="0" borderId="40" xfId="0" applyFont="1" applyBorder="1" applyAlignment="1">
      <alignment horizontal="center"/>
    </xf>
    <xf numFmtId="0" fontId="33" fillId="0" borderId="41" xfId="0" applyFont="1" applyBorder="1" applyAlignment="1">
      <alignment horizontal="center"/>
    </xf>
    <xf numFmtId="0" fontId="33" fillId="0" borderId="39" xfId="0" applyFont="1" applyBorder="1" applyAlignment="1">
      <alignment horizontal="center" vertical="top" wrapText="1"/>
    </xf>
    <xf numFmtId="14" fontId="33" fillId="0" borderId="40" xfId="0" applyNumberFormat="1" applyFont="1" applyBorder="1" applyAlignment="1">
      <alignment horizontal="center" vertical="top" wrapText="1"/>
    </xf>
    <xf numFmtId="20" fontId="33" fillId="0" borderId="40" xfId="0" applyNumberFormat="1" applyFont="1" applyBorder="1" applyAlignment="1">
      <alignment horizontal="center" vertical="top" wrapText="1"/>
    </xf>
    <xf numFmtId="0" fontId="33" fillId="0" borderId="40" xfId="0" applyFont="1" applyBorder="1" applyAlignment="1">
      <alignment horizontal="center" vertical="center" wrapText="1"/>
    </xf>
    <xf numFmtId="0" fontId="33" fillId="0" borderId="40" xfId="0" applyFont="1" applyBorder="1" applyAlignment="1">
      <alignment horizontal="center" vertical="top" wrapText="1"/>
    </xf>
    <xf numFmtId="0" fontId="41" fillId="0" borderId="0" xfId="0" applyFont="1" applyAlignment="1">
      <alignment horizontal="center" vertical="center"/>
    </xf>
    <xf numFmtId="0" fontId="0" fillId="0" borderId="25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0" fontId="0" fillId="0" borderId="26" xfId="0" applyBorder="1" applyAlignment="1">
      <alignment horizontal="center"/>
    </xf>
    <xf numFmtId="0" fontId="4" fillId="7" borderId="4" xfId="0" applyFont="1" applyFill="1" applyBorder="1" applyAlignment="1">
      <alignment horizontal="right" vertical="center"/>
    </xf>
    <xf numFmtId="4" fontId="17" fillId="0" borderId="1" xfId="0" applyNumberFormat="1" applyFont="1" applyBorder="1" applyAlignment="1">
      <alignment horizontal="center"/>
    </xf>
    <xf numFmtId="0" fontId="35" fillId="0" borderId="25" xfId="0" applyFont="1" applyBorder="1" applyAlignment="1">
      <alignment horizontal="center"/>
    </xf>
    <xf numFmtId="14" fontId="35" fillId="0" borderId="1" xfId="0" applyNumberFormat="1" applyFont="1" applyBorder="1" applyAlignment="1">
      <alignment horizontal="center"/>
    </xf>
    <xf numFmtId="20" fontId="35" fillId="0" borderId="1" xfId="0" applyNumberFormat="1" applyFont="1" applyBorder="1" applyAlignment="1">
      <alignment horizontal="center"/>
    </xf>
    <xf numFmtId="4" fontId="35" fillId="0" borderId="1" xfId="0" applyNumberFormat="1" applyFont="1" applyBorder="1" applyAlignment="1">
      <alignment horizontal="center"/>
    </xf>
    <xf numFmtId="0" fontId="35" fillId="0" borderId="26" xfId="0" applyFont="1" applyBorder="1" applyAlignment="1">
      <alignment horizontal="center"/>
    </xf>
    <xf numFmtId="0" fontId="17" fillId="11" borderId="31" xfId="0" applyFont="1" applyFill="1" applyBorder="1" applyAlignment="1">
      <alignment horizontal="center"/>
    </xf>
    <xf numFmtId="0" fontId="42" fillId="0" borderId="31" xfId="0" applyFont="1" applyBorder="1" applyAlignment="1">
      <alignment horizontal="center"/>
    </xf>
    <xf numFmtId="14" fontId="42" fillId="0" borderId="5" xfId="0" applyNumberFormat="1" applyFont="1" applyBorder="1" applyAlignment="1">
      <alignment horizontal="center"/>
    </xf>
    <xf numFmtId="20" fontId="42" fillId="0" borderId="5" xfId="0" applyNumberFormat="1" applyFont="1" applyBorder="1" applyAlignment="1">
      <alignment horizontal="center"/>
    </xf>
    <xf numFmtId="0" fontId="42" fillId="0" borderId="5" xfId="0" applyFont="1" applyBorder="1" applyAlignment="1">
      <alignment horizontal="center"/>
    </xf>
    <xf numFmtId="4" fontId="42" fillId="0" borderId="1" xfId="0" applyNumberFormat="1" applyFont="1" applyBorder="1" applyAlignment="1">
      <alignment horizontal="center"/>
    </xf>
    <xf numFmtId="0" fontId="42" fillId="0" borderId="26" xfId="0" applyFont="1" applyBorder="1" applyAlignment="1">
      <alignment horizontal="center"/>
    </xf>
    <xf numFmtId="0" fontId="42" fillId="0" borderId="0" xfId="0" applyFont="1"/>
    <xf numFmtId="0" fontId="42" fillId="0" borderId="1" xfId="0" applyFont="1" applyBorder="1"/>
    <xf numFmtId="0" fontId="42" fillId="0" borderId="1" xfId="0" applyFont="1" applyBorder="1" applyAlignment="1">
      <alignment horizontal="center"/>
    </xf>
    <xf numFmtId="0" fontId="42" fillId="0" borderId="1" xfId="0" applyFont="1" applyBorder="1" applyAlignment="1">
      <alignment horizontal="center" vertical="center"/>
    </xf>
    <xf numFmtId="0" fontId="23" fillId="0" borderId="0" xfId="0" applyFont="1"/>
    <xf numFmtId="0" fontId="23" fillId="0" borderId="0" xfId="0" applyFont="1" applyAlignment="1">
      <alignment wrapText="1"/>
    </xf>
    <xf numFmtId="0" fontId="17" fillId="11" borderId="1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30" fillId="0" borderId="1" xfId="0" applyFont="1" applyBorder="1"/>
    <xf numFmtId="0" fontId="29" fillId="0" borderId="0" xfId="0" applyFont="1"/>
    <xf numFmtId="0" fontId="43" fillId="0" borderId="1" xfId="0" applyFont="1" applyBorder="1" applyAlignment="1">
      <alignment horizontal="center" vertical="center"/>
    </xf>
    <xf numFmtId="14" fontId="17" fillId="11" borderId="5" xfId="0" applyNumberFormat="1" applyFont="1" applyFill="1" applyBorder="1" applyAlignment="1">
      <alignment horizontal="center"/>
    </xf>
    <xf numFmtId="20" fontId="17" fillId="11" borderId="5" xfId="0" applyNumberFormat="1" applyFont="1" applyFill="1" applyBorder="1" applyAlignment="1">
      <alignment horizontal="center"/>
    </xf>
    <xf numFmtId="0" fontId="17" fillId="11" borderId="5" xfId="0" applyFont="1" applyFill="1" applyBorder="1" applyAlignment="1">
      <alignment horizontal="center"/>
    </xf>
    <xf numFmtId="0" fontId="17" fillId="11" borderId="25" xfId="0" applyFont="1" applyFill="1" applyBorder="1" applyAlignment="1">
      <alignment horizontal="center"/>
    </xf>
    <xf numFmtId="14" fontId="17" fillId="11" borderId="1" xfId="0" applyNumberFormat="1" applyFont="1" applyFill="1" applyBorder="1" applyAlignment="1">
      <alignment horizontal="center"/>
    </xf>
    <xf numFmtId="20" fontId="17" fillId="11" borderId="1" xfId="0" applyNumberFormat="1" applyFont="1" applyFill="1" applyBorder="1" applyAlignment="1">
      <alignment horizontal="center"/>
    </xf>
    <xf numFmtId="16" fontId="25" fillId="0" borderId="1" xfId="0" applyNumberFormat="1" applyFont="1" applyBorder="1" applyAlignment="1">
      <alignment horizontal="center" wrapText="1"/>
    </xf>
    <xf numFmtId="0" fontId="17" fillId="11" borderId="26" xfId="0" applyFont="1" applyFill="1" applyBorder="1" applyAlignment="1">
      <alignment horizontal="center"/>
    </xf>
    <xf numFmtId="0" fontId="7" fillId="11" borderId="13" xfId="0" applyFont="1" applyFill="1" applyBorder="1" applyAlignment="1">
      <alignment horizontal="center" vertical="center" textRotation="90"/>
    </xf>
    <xf numFmtId="0" fontId="0" fillId="11" borderId="13" xfId="0" applyFill="1" applyBorder="1" applyAlignment="1">
      <alignment horizontal="center" vertical="center" textRotation="90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5" fillId="11" borderId="5" xfId="0" applyFont="1" applyFill="1" applyBorder="1" applyAlignment="1">
      <alignment horizontal="center" vertical="center" wrapText="1"/>
    </xf>
    <xf numFmtId="0" fontId="5" fillId="11" borderId="6" xfId="0" applyFont="1" applyFill="1" applyBorder="1" applyAlignment="1">
      <alignment horizontal="center" vertical="center" wrapText="1"/>
    </xf>
    <xf numFmtId="0" fontId="2" fillId="11" borderId="5" xfId="0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 wrapText="1"/>
    </xf>
    <xf numFmtId="49" fontId="5" fillId="11" borderId="5" xfId="0" applyNumberFormat="1" applyFont="1" applyFill="1" applyBorder="1" applyAlignment="1">
      <alignment horizontal="center" vertical="center" textRotation="45" wrapText="1"/>
    </xf>
    <xf numFmtId="49" fontId="5" fillId="11" borderId="6" xfId="0" applyNumberFormat="1" applyFont="1" applyFill="1" applyBorder="1" applyAlignment="1">
      <alignment horizontal="center" vertical="center" textRotation="45" wrapText="1"/>
    </xf>
    <xf numFmtId="0" fontId="5" fillId="11" borderId="1" xfId="0" applyFont="1" applyFill="1" applyBorder="1" applyAlignment="1">
      <alignment horizontal="center" vertical="center" wrapText="1"/>
    </xf>
    <xf numFmtId="0" fontId="18" fillId="11" borderId="1" xfId="0" applyFont="1" applyFill="1" applyBorder="1" applyAlignment="1">
      <alignment horizontal="center" vertical="center"/>
    </xf>
    <xf numFmtId="0" fontId="18" fillId="11" borderId="6" xfId="0" applyFont="1" applyFill="1" applyBorder="1" applyAlignment="1">
      <alignment horizontal="center" vertical="center"/>
    </xf>
    <xf numFmtId="0" fontId="0" fillId="11" borderId="6" xfId="0" applyFill="1" applyBorder="1" applyAlignment="1">
      <alignment horizontal="center" vertical="center"/>
    </xf>
    <xf numFmtId="0" fontId="18" fillId="11" borderId="6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/>
    </xf>
    <xf numFmtId="0" fontId="2" fillId="7" borderId="7" xfId="0" applyFont="1" applyFill="1" applyBorder="1" applyAlignment="1">
      <alignment horizontal="right" vertical="center"/>
    </xf>
    <xf numFmtId="0" fontId="4" fillId="7" borderId="7" xfId="0" applyFont="1" applyFill="1" applyBorder="1" applyAlignment="1">
      <alignment horizontal="right" vertical="center"/>
    </xf>
    <xf numFmtId="0" fontId="4" fillId="7" borderId="4" xfId="0" applyFont="1" applyFill="1" applyBorder="1" applyAlignment="1">
      <alignment horizontal="right" vertical="center"/>
    </xf>
    <xf numFmtId="0" fontId="2" fillId="11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" fontId="2" fillId="11" borderId="1" xfId="0" applyNumberFormat="1" applyFont="1" applyFill="1" applyBorder="1" applyAlignment="1">
      <alignment horizontal="center" vertical="center" wrapText="1"/>
    </xf>
    <xf numFmtId="1" fontId="0" fillId="11" borderId="1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0" fontId="0" fillId="7" borderId="1" xfId="0" quotePrefix="1" applyFill="1" applyBorder="1" applyAlignment="1">
      <alignment horizontal="center"/>
    </xf>
    <xf numFmtId="0" fontId="0" fillId="11" borderId="26" xfId="0" applyFill="1" applyBorder="1" applyAlignment="1">
      <alignment horizontal="center"/>
    </xf>
    <xf numFmtId="0" fontId="0" fillId="11" borderId="32" xfId="0" applyFill="1" applyBorder="1" applyAlignment="1">
      <alignment horizontal="center"/>
    </xf>
    <xf numFmtId="0" fontId="0" fillId="11" borderId="25" xfId="0" applyFill="1" applyBorder="1" applyAlignment="1">
      <alignment horizontal="center"/>
    </xf>
    <xf numFmtId="0" fontId="0" fillId="11" borderId="26" xfId="0" quotePrefix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7" fillId="7" borderId="8" xfId="0" applyFont="1" applyFill="1" applyBorder="1" applyAlignment="1">
      <alignment horizontal="center"/>
    </xf>
    <xf numFmtId="0" fontId="17" fillId="7" borderId="12" xfId="0" applyFont="1" applyFill="1" applyBorder="1" applyAlignment="1">
      <alignment horizontal="center"/>
    </xf>
    <xf numFmtId="0" fontId="17" fillId="7" borderId="9" xfId="0" applyFont="1" applyFill="1" applyBorder="1" applyAlignment="1">
      <alignment horizontal="center"/>
    </xf>
    <xf numFmtId="0" fontId="17" fillId="7" borderId="10" xfId="0" applyFont="1" applyFill="1" applyBorder="1" applyAlignment="1">
      <alignment horizontal="center"/>
    </xf>
    <xf numFmtId="0" fontId="17" fillId="7" borderId="2" xfId="0" applyFont="1" applyFill="1" applyBorder="1" applyAlignment="1">
      <alignment horizontal="center"/>
    </xf>
    <xf numFmtId="0" fontId="17" fillId="7" borderId="11" xfId="0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7" borderId="27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17" fillId="7" borderId="1" xfId="0" applyFont="1" applyFill="1" applyBorder="1" applyAlignment="1">
      <alignment horizontal="center"/>
    </xf>
    <xf numFmtId="0" fontId="17" fillId="0" borderId="1" xfId="0" applyFont="1" applyBorder="1" applyAlignment="1">
      <alignment horizontal="center" wrapText="1"/>
    </xf>
    <xf numFmtId="0" fontId="0" fillId="7" borderId="4" xfId="0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10" fontId="0" fillId="7" borderId="1" xfId="0" applyNumberFormat="1" applyFill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17" fillId="0" borderId="8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0" fillId="7" borderId="5" xfId="0" applyFill="1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3" fillId="7" borderId="1" xfId="0" applyFont="1" applyFill="1" applyBorder="1" applyAlignment="1">
      <alignment horizontal="center"/>
    </xf>
    <xf numFmtId="0" fontId="0" fillId="7" borderId="29" xfId="0" applyFill="1" applyBorder="1" applyAlignment="1">
      <alignment horizontal="center"/>
    </xf>
    <xf numFmtId="0" fontId="0" fillId="7" borderId="30" xfId="0" applyFill="1" applyBorder="1" applyAlignment="1">
      <alignment horizontal="center"/>
    </xf>
    <xf numFmtId="0" fontId="0" fillId="11" borderId="3" xfId="0" applyFill="1" applyBorder="1" applyAlignment="1">
      <alignment horizontal="center"/>
    </xf>
    <xf numFmtId="0" fontId="0" fillId="11" borderId="27" xfId="0" applyFill="1" applyBorder="1" applyAlignment="1">
      <alignment horizontal="center"/>
    </xf>
    <xf numFmtId="0" fontId="17" fillId="11" borderId="1" xfId="0" applyFont="1" applyFill="1" applyBorder="1" applyAlignment="1">
      <alignment horizontal="center"/>
    </xf>
    <xf numFmtId="0" fontId="17" fillId="11" borderId="3" xfId="0" applyFont="1" applyFill="1" applyBorder="1" applyAlignment="1">
      <alignment horizontal="center"/>
    </xf>
    <xf numFmtId="0" fontId="17" fillId="7" borderId="3" xfId="0" applyFont="1" applyFill="1" applyBorder="1" applyAlignment="1">
      <alignment horizontal="center"/>
    </xf>
    <xf numFmtId="0" fontId="17" fillId="7" borderId="7" xfId="0" applyFont="1" applyFill="1" applyBorder="1" applyAlignment="1">
      <alignment horizontal="center"/>
    </xf>
    <xf numFmtId="0" fontId="17" fillId="7" borderId="27" xfId="0" applyFont="1" applyFill="1" applyBorder="1" applyAlignment="1">
      <alignment horizontal="center"/>
    </xf>
    <xf numFmtId="0" fontId="17" fillId="7" borderId="20" xfId="0" applyFont="1" applyFill="1" applyBorder="1" applyAlignment="1">
      <alignment horizontal="center"/>
    </xf>
    <xf numFmtId="0" fontId="17" fillId="7" borderId="22" xfId="0" applyFont="1" applyFill="1" applyBorder="1" applyAlignment="1">
      <alignment horizontal="center"/>
    </xf>
    <xf numFmtId="0" fontId="17" fillId="11" borderId="8" xfId="0" applyFont="1" applyFill="1" applyBorder="1" applyAlignment="1">
      <alignment horizontal="center" wrapText="1"/>
    </xf>
    <xf numFmtId="0" fontId="17" fillId="11" borderId="12" xfId="0" applyFont="1" applyFill="1" applyBorder="1" applyAlignment="1">
      <alignment horizontal="center" wrapText="1"/>
    </xf>
    <xf numFmtId="0" fontId="17" fillId="0" borderId="3" xfId="0" applyFont="1" applyBorder="1" applyAlignment="1">
      <alignment horizontal="center"/>
    </xf>
    <xf numFmtId="0" fontId="17" fillId="7" borderId="23" xfId="0" applyFont="1" applyFill="1" applyBorder="1" applyAlignment="1">
      <alignment horizontal="center"/>
    </xf>
    <xf numFmtId="0" fontId="17" fillId="7" borderId="24" xfId="0" applyFont="1" applyFill="1" applyBorder="1" applyAlignment="1">
      <alignment horizontal="center"/>
    </xf>
    <xf numFmtId="0" fontId="17" fillId="7" borderId="6" xfId="0" applyFont="1" applyFill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0" borderId="5" xfId="0" applyFont="1" applyBorder="1" applyAlignment="1">
      <alignment horizontal="center"/>
    </xf>
    <xf numFmtId="0" fontId="17" fillId="0" borderId="26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4" borderId="0" xfId="0" applyFill="1" applyAlignment="1">
      <alignment horizontal="left"/>
    </xf>
    <xf numFmtId="0" fontId="0" fillId="11" borderId="1" xfId="0" quotePrefix="1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0" fillId="7" borderId="26" xfId="0" applyFill="1" applyBorder="1" applyAlignment="1">
      <alignment horizontal="center"/>
    </xf>
    <xf numFmtId="0" fontId="0" fillId="9" borderId="0" xfId="0" applyFill="1" applyAlignment="1">
      <alignment horizontal="left"/>
    </xf>
    <xf numFmtId="10" fontId="0" fillId="12" borderId="1" xfId="0" applyNumberFormat="1" applyFill="1" applyBorder="1" applyAlignment="1">
      <alignment horizontal="center"/>
    </xf>
    <xf numFmtId="0" fontId="0" fillId="8" borderId="0" xfId="0" applyFill="1" applyAlignment="1">
      <alignment horizontal="left"/>
    </xf>
    <xf numFmtId="0" fontId="17" fillId="12" borderId="6" xfId="0" applyFont="1" applyFill="1" applyBorder="1" applyAlignment="1">
      <alignment horizontal="center"/>
    </xf>
    <xf numFmtId="0" fontId="17" fillId="12" borderId="20" xfId="0" applyFont="1" applyFill="1" applyBorder="1" applyAlignment="1">
      <alignment horizontal="center"/>
    </xf>
    <xf numFmtId="0" fontId="0" fillId="11" borderId="5" xfId="0" applyFill="1" applyBorder="1" applyAlignment="1">
      <alignment horizontal="center"/>
    </xf>
    <xf numFmtId="0" fontId="2" fillId="7" borderId="3" xfId="0" applyFont="1" applyFill="1" applyBorder="1" applyAlignment="1">
      <alignment horizontal="right" vertical="center"/>
    </xf>
    <xf numFmtId="0" fontId="1" fillId="0" borderId="2" xfId="0" applyFont="1" applyBorder="1" applyAlignment="1">
      <alignment horizontal="left" vertical="center"/>
    </xf>
    <xf numFmtId="0" fontId="25" fillId="0" borderId="1" xfId="0" applyFont="1" applyBorder="1" applyAlignment="1">
      <alignment horizontal="center" textRotation="75" wrapText="1"/>
    </xf>
    <xf numFmtId="165" fontId="25" fillId="0" borderId="1" xfId="0" applyNumberFormat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5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/>
    </xf>
    <xf numFmtId="0" fontId="24" fillId="0" borderId="37" xfId="0" applyFont="1" applyBorder="1" applyAlignment="1">
      <alignment horizontal="center" vertical="center"/>
    </xf>
    <xf numFmtId="0" fontId="24" fillId="0" borderId="38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wrapText="1"/>
    </xf>
    <xf numFmtId="0" fontId="35" fillId="11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16">
    <dxf>
      <fill>
        <patternFill>
          <bgColor rgb="FFFFFFCC"/>
        </patternFill>
      </fill>
    </dxf>
    <dxf>
      <fill>
        <patternFill>
          <bgColor rgb="FFEBF6F9"/>
        </patternFill>
      </fill>
    </dxf>
    <dxf>
      <fill>
        <patternFill patternType="solid">
          <bgColor rgb="FFCFDEB0"/>
        </patternFill>
      </fill>
    </dxf>
    <dxf>
      <fill>
        <patternFill>
          <bgColor theme="9" tint="0.39994506668294322"/>
        </patternFill>
      </fill>
    </dxf>
    <dxf>
      <fill>
        <patternFill>
          <bgColor rgb="FFFFFFCC"/>
        </patternFill>
      </fill>
    </dxf>
    <dxf>
      <fill>
        <patternFill>
          <bgColor rgb="FFEBF6F9"/>
        </patternFill>
      </fill>
    </dxf>
    <dxf>
      <fill>
        <patternFill patternType="solid">
          <bgColor rgb="FFCFDEB0"/>
        </patternFill>
      </fill>
    </dxf>
    <dxf>
      <fill>
        <patternFill>
          <bgColor theme="9" tint="0.39994506668294322"/>
        </patternFill>
      </fill>
    </dxf>
    <dxf>
      <fill>
        <patternFill>
          <bgColor rgb="FFFFFFCC"/>
        </patternFill>
      </fill>
    </dxf>
    <dxf>
      <fill>
        <patternFill>
          <bgColor rgb="FFEBF6F9"/>
        </patternFill>
      </fill>
    </dxf>
    <dxf>
      <fill>
        <patternFill patternType="solid">
          <bgColor rgb="FFCFDEB0"/>
        </patternFill>
      </fill>
    </dxf>
    <dxf>
      <fill>
        <patternFill>
          <bgColor theme="9" tint="0.39994506668294322"/>
        </patternFill>
      </fill>
    </dxf>
    <dxf>
      <fill>
        <patternFill>
          <bgColor rgb="FFFFFFCC"/>
        </patternFill>
      </fill>
    </dxf>
    <dxf>
      <fill>
        <patternFill>
          <bgColor rgb="FFEBF6F9"/>
        </patternFill>
      </fill>
    </dxf>
    <dxf>
      <fill>
        <patternFill patternType="solid">
          <bgColor rgb="FFCFDEB0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FFCCFF"/>
      <color rgb="FFFFFFCC"/>
      <color rgb="FFFFFF99"/>
      <color rgb="FFCFDEB0"/>
      <color rgb="FFEBF6F9"/>
      <color rgb="FFB7CBE3"/>
      <color rgb="FFDBE5F1"/>
      <color rgb="FFD9E5BD"/>
      <color rgb="FFFFFF66"/>
      <color rgb="FF33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 OF ACTIVITY</a:t>
            </a:r>
          </a:p>
        </c:rich>
      </c:tx>
      <c:layout>
        <c:manualLayout>
          <c:xMode val="edge"/>
          <c:yMode val="edge"/>
          <c:x val="0.35743419492122935"/>
          <c:y val="1.48679163744092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1"/>
          <c:order val="1"/>
          <c:tx>
            <c:strRef>
              <c:f>DISPATCH!$B$7</c:f>
              <c:strCache>
                <c:ptCount val="1"/>
                <c:pt idx="0">
                  <c:v>BOF</c:v>
                </c:pt>
              </c:strCache>
            </c:strRef>
          </c:tx>
          <c:spPr>
            <a:solidFill>
              <a:srgbClr val="CFDEB0"/>
            </a:solidFill>
            <a:ln>
              <a:noFill/>
            </a:ln>
            <a:effectLst/>
          </c:spPr>
          <c:invertIfNegative val="0"/>
          <c:cat>
            <c:strRef>
              <c:f>DISPATCH!$C$5:$F$5</c:f>
              <c:strCache>
                <c:ptCount val="4"/>
                <c:pt idx="0">
                  <c:v>TOTAL FIRES</c:v>
                </c:pt>
                <c:pt idx="1">
                  <c:v>TOTAL ACRES</c:v>
                </c:pt>
                <c:pt idx="2">
                  <c:v>RFD ASSISTS</c:v>
                </c:pt>
                <c:pt idx="3">
                  <c:v>FED/STATE ASSISTS</c:v>
                </c:pt>
              </c:strCache>
            </c:strRef>
          </c:cat>
          <c:val>
            <c:numRef>
              <c:f>DISPATCH!$C$7:$F$7</c:f>
              <c:numCache>
                <c:formatCode>#,##0</c:formatCode>
                <c:ptCount val="4"/>
                <c:pt idx="0" formatCode="General">
                  <c:v>53</c:v>
                </c:pt>
                <c:pt idx="1">
                  <c:v>2924.8499999999995</c:v>
                </c:pt>
                <c:pt idx="2" formatCode="General">
                  <c:v>4</c:v>
                </c:pt>
                <c:pt idx="3" formatCode="General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3E-402E-BF1B-14FA436D16C1}"/>
            </c:ext>
          </c:extLst>
        </c:ser>
        <c:ser>
          <c:idx val="2"/>
          <c:order val="2"/>
          <c:tx>
            <c:strRef>
              <c:f>DISPATCH!$B$8</c:f>
              <c:strCache>
                <c:ptCount val="1"/>
                <c:pt idx="0">
                  <c:v>BOD</c:v>
                </c:pt>
              </c:strCache>
            </c:strRef>
          </c:tx>
          <c:spPr>
            <a:solidFill>
              <a:srgbClr val="FFFF99"/>
            </a:solidFill>
            <a:ln>
              <a:noFill/>
            </a:ln>
            <a:effectLst/>
          </c:spPr>
          <c:invertIfNegative val="0"/>
          <c:cat>
            <c:strRef>
              <c:f>DISPATCH!$C$5:$F$5</c:f>
              <c:strCache>
                <c:ptCount val="4"/>
                <c:pt idx="0">
                  <c:v>TOTAL FIRES</c:v>
                </c:pt>
                <c:pt idx="1">
                  <c:v>TOTAL ACRES</c:v>
                </c:pt>
                <c:pt idx="2">
                  <c:v>RFD ASSISTS</c:v>
                </c:pt>
                <c:pt idx="3">
                  <c:v>FED/STATE ASSISTS</c:v>
                </c:pt>
              </c:strCache>
            </c:strRef>
          </c:cat>
          <c:val>
            <c:numRef>
              <c:f>DISPATCH!$C$8:$F$8</c:f>
              <c:numCache>
                <c:formatCode>#,##0</c:formatCode>
                <c:ptCount val="4"/>
                <c:pt idx="0" formatCode="General">
                  <c:v>117</c:v>
                </c:pt>
                <c:pt idx="1">
                  <c:v>49793.599999999977</c:v>
                </c:pt>
                <c:pt idx="2" formatCode="General">
                  <c:v>15</c:v>
                </c:pt>
                <c:pt idx="3" formatCode="General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3E-402E-BF1B-14FA436D16C1}"/>
            </c:ext>
          </c:extLst>
        </c:ser>
        <c:ser>
          <c:idx val="3"/>
          <c:order val="3"/>
          <c:tx>
            <c:strRef>
              <c:f>DISPATCH!$B$9</c:f>
              <c:strCache>
                <c:ptCount val="1"/>
                <c:pt idx="0">
                  <c:v>SWS</c:v>
                </c:pt>
              </c:strCache>
            </c:strRef>
          </c:tx>
          <c:spPr>
            <a:solidFill>
              <a:srgbClr val="EBF6F9"/>
            </a:solidFill>
            <a:ln>
              <a:noFill/>
            </a:ln>
            <a:effectLst/>
          </c:spPr>
          <c:invertIfNegative val="0"/>
          <c:cat>
            <c:strRef>
              <c:f>DISPATCH!$C$5:$F$5</c:f>
              <c:strCache>
                <c:ptCount val="4"/>
                <c:pt idx="0">
                  <c:v>TOTAL FIRES</c:v>
                </c:pt>
                <c:pt idx="1">
                  <c:v>TOTAL ACRES</c:v>
                </c:pt>
                <c:pt idx="2">
                  <c:v>RFD ASSISTS</c:v>
                </c:pt>
                <c:pt idx="3">
                  <c:v>FED/STATE ASSISTS</c:v>
                </c:pt>
              </c:strCache>
            </c:strRef>
          </c:cat>
          <c:val>
            <c:numRef>
              <c:f>DISPATCH!$C$9:$F$9</c:f>
              <c:numCache>
                <c:formatCode>#,##0</c:formatCode>
                <c:ptCount val="4"/>
                <c:pt idx="0" formatCode="General">
                  <c:v>41</c:v>
                </c:pt>
                <c:pt idx="1">
                  <c:v>379.45000000000016</c:v>
                </c:pt>
                <c:pt idx="2" formatCode="General">
                  <c:v>4</c:v>
                </c:pt>
                <c:pt idx="3" formatCode="General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3E-402E-BF1B-14FA436D16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11083200"/>
        <c:axId val="51108844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DISPATCH!$B$6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rgbClr val="C00000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DISPATCH!$C$5:$F$5</c15:sqref>
                        </c15:formulaRef>
                      </c:ext>
                    </c:extLst>
                    <c:strCache>
                      <c:ptCount val="4"/>
                      <c:pt idx="0">
                        <c:v>TOTAL FIRES</c:v>
                      </c:pt>
                      <c:pt idx="1">
                        <c:v>TOTAL ACRES</c:v>
                      </c:pt>
                      <c:pt idx="2">
                        <c:v>RFD ASSISTS</c:v>
                      </c:pt>
                      <c:pt idx="3">
                        <c:v>FED/STATE ASSISTS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DISPATCH!$C$6:$F$6</c15:sqref>
                        </c15:formulaRef>
                      </c:ext>
                    </c:extLst>
                    <c:numCache>
                      <c:formatCode>#,##0</c:formatCode>
                      <c:ptCount val="4"/>
                      <c:pt idx="0" formatCode="General">
                        <c:v>211</c:v>
                      </c:pt>
                      <c:pt idx="1">
                        <c:v>53097.899999999972</c:v>
                      </c:pt>
                      <c:pt idx="2" formatCode="General">
                        <c:v>23</c:v>
                      </c:pt>
                      <c:pt idx="3" formatCode="General">
                        <c:v>49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073E-402E-BF1B-14FA436D16C1}"/>
                  </c:ext>
                </c:extLst>
              </c15:ser>
            </c15:filteredBarSeries>
          </c:ext>
        </c:extLst>
      </c:barChart>
      <c:catAx>
        <c:axId val="51108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1088448"/>
        <c:crosses val="autoZero"/>
        <c:auto val="1"/>
        <c:lblAlgn val="ctr"/>
        <c:lblOffset val="100"/>
        <c:noMultiLvlLbl val="0"/>
      </c:catAx>
      <c:valAx>
        <c:axId val="511088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1083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FIRES BY MONTH</a:t>
            </a:r>
          </a:p>
        </c:rich>
      </c:tx>
      <c:layout>
        <c:manualLayout>
          <c:xMode val="edge"/>
          <c:yMode val="edge"/>
          <c:x val="0.35667857709586165"/>
          <c:y val="1.04679805053839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6245370370370371"/>
          <c:w val="0.89655796150481193"/>
          <c:h val="0.486395450568678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STATS!$AZ$3</c:f>
              <c:strCache>
                <c:ptCount val="1"/>
                <c:pt idx="0">
                  <c:v>TOTAL # FIRES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STATS!$AY$4:$AY$15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 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STATS!$AZ$4:$AZ$15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4</c:v>
                </c:pt>
                <c:pt idx="3">
                  <c:v>5</c:v>
                </c:pt>
                <c:pt idx="4">
                  <c:v>11</c:v>
                </c:pt>
                <c:pt idx="5">
                  <c:v>39</c:v>
                </c:pt>
                <c:pt idx="6">
                  <c:v>72</c:v>
                </c:pt>
                <c:pt idx="7">
                  <c:v>58</c:v>
                </c:pt>
                <c:pt idx="8">
                  <c:v>16</c:v>
                </c:pt>
                <c:pt idx="9">
                  <c:v>5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30-4225-BD34-C69935EA391E}"/>
            </c:ext>
          </c:extLst>
        </c:ser>
        <c:ser>
          <c:idx val="1"/>
          <c:order val="1"/>
          <c:tx>
            <c:strRef>
              <c:f>STATS!$BA$3</c:f>
              <c:strCache>
                <c:ptCount val="1"/>
                <c:pt idx="0">
                  <c:v>HUMAN FIRES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STATS!$AY$4:$AY$15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 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STATS!$BA$4:$BA$15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4</c:v>
                </c:pt>
                <c:pt idx="3">
                  <c:v>5</c:v>
                </c:pt>
                <c:pt idx="4">
                  <c:v>11</c:v>
                </c:pt>
                <c:pt idx="5">
                  <c:v>32</c:v>
                </c:pt>
                <c:pt idx="6">
                  <c:v>27</c:v>
                </c:pt>
                <c:pt idx="7">
                  <c:v>19</c:v>
                </c:pt>
                <c:pt idx="8">
                  <c:v>10</c:v>
                </c:pt>
                <c:pt idx="9">
                  <c:v>4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30-4225-BD34-C69935EA391E}"/>
            </c:ext>
          </c:extLst>
        </c:ser>
        <c:ser>
          <c:idx val="2"/>
          <c:order val="2"/>
          <c:tx>
            <c:strRef>
              <c:f>STATS!$BB$3</c:f>
              <c:strCache>
                <c:ptCount val="1"/>
                <c:pt idx="0">
                  <c:v>LIGHTNING FIRES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STATS!$AY$4:$AY$15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 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STATS!$BB$4:$BB$15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</c:v>
                </c:pt>
                <c:pt idx="6">
                  <c:v>44</c:v>
                </c:pt>
                <c:pt idx="7">
                  <c:v>39</c:v>
                </c:pt>
                <c:pt idx="8">
                  <c:v>6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30-4225-BD34-C69935EA39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9799048"/>
        <c:axId val="539796096"/>
      </c:barChart>
      <c:catAx>
        <c:axId val="539799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796096"/>
        <c:crosses val="autoZero"/>
        <c:auto val="1"/>
        <c:lblAlgn val="ctr"/>
        <c:lblOffset val="100"/>
        <c:noMultiLvlLbl val="0"/>
      </c:catAx>
      <c:valAx>
        <c:axId val="539796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799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607217</xdr:colOff>
      <xdr:row>3</xdr:row>
      <xdr:rowOff>21431</xdr:rowOff>
    </xdr:from>
    <xdr:to>
      <xdr:col>14</xdr:col>
      <xdr:colOff>619124</xdr:colOff>
      <xdr:row>27</xdr:row>
      <xdr:rowOff>83343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55</xdr:col>
      <xdr:colOff>383115</xdr:colOff>
      <xdr:row>1</xdr:row>
      <xdr:rowOff>192622</xdr:rowOff>
    </xdr:from>
    <xdr:to>
      <xdr:col>63</xdr:col>
      <xdr:colOff>256115</xdr:colOff>
      <xdr:row>16</xdr:row>
      <xdr:rowOff>69856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39997558519241921"/>
  </sheetPr>
  <dimension ref="A1:M24"/>
  <sheetViews>
    <sheetView zoomScale="80" zoomScaleNormal="80" workbookViewId="0">
      <selection activeCell="D14" sqref="D14"/>
    </sheetView>
  </sheetViews>
  <sheetFormatPr defaultColWidth="15.7109375" defaultRowHeight="18" customHeight="1" x14ac:dyDescent="0.25"/>
  <cols>
    <col min="1" max="1" width="3.42578125" style="24" customWidth="1"/>
    <col min="2" max="2" width="13.140625" style="1" customWidth="1"/>
    <col min="3" max="3" width="10.140625" style="24" customWidth="1"/>
    <col min="4" max="4" width="11.28515625" style="24" customWidth="1"/>
    <col min="5" max="5" width="10.5703125" style="24" customWidth="1"/>
    <col min="6" max="6" width="12.7109375" style="24" customWidth="1"/>
    <col min="7" max="7" width="9.140625" style="24" customWidth="1"/>
    <col min="8" max="8" width="10.85546875" style="24" customWidth="1"/>
    <col min="9" max="9" width="12.28515625" style="24" customWidth="1"/>
    <col min="10" max="10" width="11" style="24" customWidth="1"/>
    <col min="11" max="11" width="9.7109375" style="24" customWidth="1"/>
    <col min="12" max="12" width="9.42578125" style="24" customWidth="1"/>
    <col min="13" max="13" width="9" style="24" customWidth="1"/>
    <col min="14" max="16384" width="15.7109375" style="24"/>
  </cols>
  <sheetData>
    <row r="1" spans="1:13" ht="18" customHeight="1" x14ac:dyDescent="0.25">
      <c r="B1" s="329" t="s">
        <v>45</v>
      </c>
      <c r="C1" s="330"/>
      <c r="D1" s="330"/>
      <c r="E1" s="330"/>
    </row>
    <row r="2" spans="1:13" ht="18" customHeight="1" x14ac:dyDescent="0.25">
      <c r="B2" s="329" t="s">
        <v>214</v>
      </c>
      <c r="C2" s="330"/>
      <c r="D2" s="330"/>
      <c r="E2" s="330"/>
    </row>
    <row r="3" spans="1:13" ht="3.75" customHeight="1" x14ac:dyDescent="0.25">
      <c r="C3" s="25"/>
    </row>
    <row r="4" spans="1:13" s="26" customFormat="1" ht="18" customHeight="1" x14ac:dyDescent="0.25">
      <c r="B4" s="331" t="s">
        <v>48</v>
      </c>
      <c r="C4" s="332"/>
      <c r="D4" s="332"/>
      <c r="E4" s="332"/>
      <c r="F4" s="332"/>
    </row>
    <row r="5" spans="1:13" s="34" customFormat="1" ht="31.5" customHeight="1" x14ac:dyDescent="0.25">
      <c r="B5" s="33" t="s">
        <v>27</v>
      </c>
      <c r="C5" s="33" t="s">
        <v>46</v>
      </c>
      <c r="D5" s="33" t="s">
        <v>3</v>
      </c>
      <c r="E5" s="33" t="s">
        <v>47</v>
      </c>
      <c r="F5" s="33" t="s">
        <v>49</v>
      </c>
    </row>
    <row r="6" spans="1:13" s="26" customFormat="1" ht="18" customHeight="1" x14ac:dyDescent="0.25">
      <c r="B6" s="27" t="s">
        <v>4</v>
      </c>
      <c r="C6" s="32">
        <f>SUM(C7:C9)</f>
        <v>211</v>
      </c>
      <c r="D6" s="217">
        <f>SUM(D7:D9)</f>
        <v>53097.899999999972</v>
      </c>
      <c r="E6" s="32">
        <f>SUM(E7:E9)</f>
        <v>23</v>
      </c>
      <c r="F6" s="32">
        <f>SUM(F7:F9)</f>
        <v>49</v>
      </c>
    </row>
    <row r="7" spans="1:13" ht="18" customHeight="1" x14ac:dyDescent="0.25">
      <c r="B7" s="28" t="s">
        <v>26</v>
      </c>
      <c r="C7" s="29">
        <f>COUNTIFS(STATS!C:C,"BOF")</f>
        <v>53</v>
      </c>
      <c r="D7" s="218">
        <f>SUMIFS(STATS!R:R,STATS!C:C,"BOF")</f>
        <v>2924.8499999999995</v>
      </c>
      <c r="E7" s="29">
        <f>'SUM- USFS '!J34</f>
        <v>4</v>
      </c>
      <c r="F7" s="29">
        <f>'SUM- USFS '!J33</f>
        <v>34</v>
      </c>
    </row>
    <row r="8" spans="1:13" ht="18" customHeight="1" x14ac:dyDescent="0.25">
      <c r="B8" s="40" t="s">
        <v>25</v>
      </c>
      <c r="C8" s="41">
        <f>COUNTIFS(STATS!C:C,"BOD")</f>
        <v>117</v>
      </c>
      <c r="D8" s="219">
        <f>SUMIFS(STATS!R:R,STATS!C:C,"BOD")</f>
        <v>49793.599999999977</v>
      </c>
      <c r="E8" s="41">
        <f>'SUM- BLM'!J34</f>
        <v>15</v>
      </c>
      <c r="F8" s="41">
        <f>'SUM- BLM'!J33</f>
        <v>6</v>
      </c>
    </row>
    <row r="9" spans="1:13" ht="18" customHeight="1" x14ac:dyDescent="0.25">
      <c r="B9" s="30" t="s">
        <v>28</v>
      </c>
      <c r="C9" s="31">
        <f>COUNTIFS(STATS!C:C,"SWS")</f>
        <v>41</v>
      </c>
      <c r="D9" s="220">
        <f>SUMIFS(STATS!R:R,STATS!C:C,"SWS")</f>
        <v>379.45000000000016</v>
      </c>
      <c r="E9" s="31">
        <f>'SUM- IDL'!J34</f>
        <v>4</v>
      </c>
      <c r="F9" s="31">
        <f>'SUM- IDL'!J33</f>
        <v>9</v>
      </c>
    </row>
    <row r="10" spans="1:13" ht="18" customHeight="1" x14ac:dyDescent="0.25">
      <c r="B10" s="26"/>
    </row>
    <row r="11" spans="1:13" ht="18" customHeight="1" x14ac:dyDescent="0.25">
      <c r="A11" s="75"/>
      <c r="B11" s="76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</row>
    <row r="12" spans="1:13" ht="18" customHeight="1" x14ac:dyDescent="0.25">
      <c r="A12" s="81"/>
      <c r="B12" s="82"/>
      <c r="C12" s="82"/>
      <c r="D12" s="82"/>
      <c r="E12" s="82"/>
      <c r="F12" s="82"/>
      <c r="G12" s="82"/>
      <c r="H12" s="82"/>
      <c r="I12" s="82"/>
      <c r="J12" s="82"/>
      <c r="K12" s="82"/>
      <c r="L12" s="82"/>
      <c r="M12" s="83"/>
    </row>
    <row r="13" spans="1:13" s="26" customFormat="1" ht="30" customHeight="1" x14ac:dyDescent="0.25">
      <c r="A13" s="84"/>
      <c r="B13" s="85"/>
      <c r="C13" s="77"/>
      <c r="D13" s="77"/>
      <c r="E13" s="77"/>
      <c r="F13" s="77"/>
      <c r="G13" s="77"/>
      <c r="H13" s="77"/>
      <c r="I13" s="77"/>
      <c r="J13" s="77"/>
      <c r="K13" s="77"/>
      <c r="L13" s="78"/>
      <c r="M13" s="77"/>
    </row>
    <row r="14" spans="1:13" s="26" customFormat="1" ht="30" customHeight="1" x14ac:dyDescent="0.25">
      <c r="A14" s="79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</row>
    <row r="15" spans="1:13" ht="18" customHeight="1" x14ac:dyDescent="0.25">
      <c r="A15" s="327"/>
      <c r="B15" s="79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</row>
    <row r="16" spans="1:13" ht="18" customHeight="1" x14ac:dyDescent="0.25">
      <c r="A16" s="327"/>
      <c r="B16" s="79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</row>
    <row r="17" spans="1:13" ht="18" customHeight="1" x14ac:dyDescent="0.25">
      <c r="A17" s="327"/>
      <c r="B17" s="79"/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</row>
    <row r="18" spans="1:13" ht="18" customHeight="1" x14ac:dyDescent="0.25">
      <c r="A18" s="327"/>
      <c r="B18" s="79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</row>
    <row r="19" spans="1:13" ht="18" customHeight="1" x14ac:dyDescent="0.25">
      <c r="A19" s="327"/>
      <c r="B19" s="79"/>
      <c r="C19" s="80"/>
      <c r="D19" s="75"/>
      <c r="E19" s="75"/>
      <c r="F19" s="75"/>
      <c r="G19" s="75"/>
      <c r="H19" s="75"/>
      <c r="I19" s="75"/>
      <c r="J19" s="75"/>
      <c r="K19" s="75"/>
      <c r="L19" s="75"/>
      <c r="M19" s="75"/>
    </row>
    <row r="20" spans="1:13" ht="18" customHeight="1" x14ac:dyDescent="0.25">
      <c r="A20" s="327"/>
      <c r="B20" s="79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</row>
    <row r="21" spans="1:13" ht="18" customHeight="1" x14ac:dyDescent="0.25">
      <c r="A21" s="327"/>
      <c r="B21" s="79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</row>
    <row r="22" spans="1:13" ht="18" customHeight="1" x14ac:dyDescent="0.25">
      <c r="A22" s="327"/>
      <c r="B22" s="79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</row>
    <row r="23" spans="1:13" ht="18" customHeight="1" x14ac:dyDescent="0.25">
      <c r="A23" s="328"/>
      <c r="B23" s="79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</row>
    <row r="24" spans="1:13" ht="18" customHeight="1" x14ac:dyDescent="0.25">
      <c r="A24" s="71"/>
      <c r="B24" s="72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4"/>
    </row>
  </sheetData>
  <mergeCells count="5">
    <mergeCell ref="A19:A23"/>
    <mergeCell ref="B1:E1"/>
    <mergeCell ref="B2:E2"/>
    <mergeCell ref="A15:A18"/>
    <mergeCell ref="B4:F4"/>
  </mergeCells>
  <pageMargins left="0.25" right="0.25" top="0.75" bottom="0.75" header="0.3" footer="0.3"/>
  <pageSetup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266"/>
  <sheetViews>
    <sheetView zoomScale="80" zoomScaleNormal="80" workbookViewId="0">
      <pane ySplit="7" topLeftCell="A8" activePane="bottomLeft" state="frozen"/>
      <selection pane="bottomLeft" activeCell="O25" sqref="O25"/>
    </sheetView>
  </sheetViews>
  <sheetFormatPr defaultRowHeight="15" x14ac:dyDescent="0.25"/>
  <cols>
    <col min="1" max="1" width="10.42578125" style="57" customWidth="1"/>
    <col min="2" max="2" width="16.42578125" style="57" customWidth="1"/>
    <col min="3" max="3" width="9.140625" style="57"/>
    <col min="4" max="4" width="10.42578125" style="57" customWidth="1"/>
    <col min="5" max="5" width="9.140625" style="57"/>
    <col min="6" max="6" width="10.42578125" style="57" customWidth="1"/>
    <col min="7" max="7" width="4.140625" customWidth="1"/>
    <col min="8" max="8" width="11" style="57" customWidth="1"/>
    <col min="9" max="9" width="11.85546875" style="57" customWidth="1"/>
    <col min="10" max="10" width="7.28515625" customWidth="1"/>
    <col min="11" max="11" width="12.28515625" style="57" customWidth="1"/>
    <col min="12" max="12" width="11.85546875" style="57" customWidth="1"/>
    <col min="13" max="13" width="53.140625" customWidth="1"/>
  </cols>
  <sheetData>
    <row r="1" spans="1:13" ht="15.75" thickBot="1" x14ac:dyDescent="0.3"/>
    <row r="2" spans="1:13" ht="30.75" customHeight="1" thickBot="1" x14ac:dyDescent="0.4">
      <c r="F2" s="148" t="s">
        <v>175</v>
      </c>
      <c r="G2" s="135"/>
      <c r="H2" s="149"/>
      <c r="I2" s="149"/>
      <c r="J2" s="135"/>
      <c r="K2" s="147"/>
    </row>
    <row r="3" spans="1:13" ht="15.75" thickBot="1" x14ac:dyDescent="0.3"/>
    <row r="4" spans="1:13" ht="30.75" customHeight="1" thickBot="1" x14ac:dyDescent="0.3">
      <c r="C4" s="431" t="s">
        <v>201</v>
      </c>
      <c r="D4" s="432"/>
      <c r="E4" s="433"/>
      <c r="H4" s="431" t="s">
        <v>202</v>
      </c>
      <c r="I4" s="433"/>
      <c r="K4" s="431" t="s">
        <v>203</v>
      </c>
      <c r="L4" s="433"/>
      <c r="M4" s="201" t="s">
        <v>197</v>
      </c>
    </row>
    <row r="5" spans="1:13" ht="14.25" customHeight="1" x14ac:dyDescent="0.25"/>
    <row r="6" spans="1:13" ht="17.25" customHeight="1" x14ac:dyDescent="0.25"/>
    <row r="7" spans="1:13" ht="46.5" customHeight="1" x14ac:dyDescent="0.35">
      <c r="A7" s="146" t="s">
        <v>176</v>
      </c>
      <c r="B7" s="98" t="s">
        <v>173</v>
      </c>
      <c r="C7" s="143" t="s">
        <v>25</v>
      </c>
      <c r="D7" s="140" t="s">
        <v>174</v>
      </c>
      <c r="E7" s="143" t="s">
        <v>26</v>
      </c>
      <c r="F7" s="140" t="s">
        <v>174</v>
      </c>
      <c r="G7" s="57"/>
      <c r="H7" s="144" t="s">
        <v>172</v>
      </c>
      <c r="I7" s="141" t="s">
        <v>174</v>
      </c>
      <c r="J7" s="57"/>
      <c r="K7" s="145" t="s">
        <v>172</v>
      </c>
      <c r="L7" s="142" t="s">
        <v>174</v>
      </c>
    </row>
    <row r="9" spans="1:13" x14ac:dyDescent="0.25">
      <c r="A9" s="139">
        <f>STATS!E5</f>
        <v>43</v>
      </c>
      <c r="B9" s="139" t="str">
        <f>STATS!G5</f>
        <v>BLACKS</v>
      </c>
      <c r="C9" s="136" t="str">
        <f>IF(AND(STATS!C5="SWS",STATS!S5&gt;0),"YES","")</f>
        <v/>
      </c>
      <c r="D9" s="136"/>
      <c r="E9" s="136" t="str">
        <f>IF(AND(STATS!C5="SWS",STATS!T5&gt;0),"YES","")</f>
        <v/>
      </c>
      <c r="F9" s="19"/>
      <c r="H9" s="137" t="str">
        <f>IF(AND(STATS!C5="BOD",STATS!U5&gt;0),"YES","")</f>
        <v/>
      </c>
      <c r="I9" s="150"/>
      <c r="K9" s="138" t="str">
        <f>IF(AND(STATS!C5="BOF",STATS!U5&gt;0),"YES","")</f>
        <v/>
      </c>
      <c r="L9" s="151"/>
      <c r="M9" s="194"/>
    </row>
    <row r="10" spans="1:13" x14ac:dyDescent="0.25">
      <c r="A10" s="139">
        <f>STATS!E6</f>
        <v>79</v>
      </c>
      <c r="B10" s="139" t="str">
        <f>STATS!G6</f>
        <v>HILL</v>
      </c>
      <c r="C10" s="136" t="str">
        <f>IF(AND(STATS!C6="SWS",STATS!S6&gt;0),"YES","")</f>
        <v/>
      </c>
      <c r="D10" s="136"/>
      <c r="E10" s="136" t="str">
        <f>IF(AND(STATS!C6="SWS",STATS!T6&gt;0),"YES","")</f>
        <v/>
      </c>
      <c r="F10" s="19"/>
      <c r="H10" s="137" t="str">
        <f>IF(AND(STATS!C6="BOD",STATS!U6&gt;0),"YES","")</f>
        <v/>
      </c>
      <c r="I10" s="150"/>
      <c r="K10" s="138" t="str">
        <f>IF(AND(STATS!C6="BOF",STATS!U6&gt;0),"YES","")</f>
        <v/>
      </c>
      <c r="L10" s="151"/>
      <c r="M10" s="194"/>
    </row>
    <row r="11" spans="1:13" x14ac:dyDescent="0.25">
      <c r="A11" s="139">
        <f>STATS!E7</f>
        <v>82</v>
      </c>
      <c r="B11" s="139" t="str">
        <f>STATS!G7</f>
        <v>FEDERAL</v>
      </c>
      <c r="C11" s="136" t="str">
        <f>IF(AND(STATS!C7="SWS",STATS!S7&gt;0),"YES","")</f>
        <v/>
      </c>
      <c r="D11" s="136"/>
      <c r="E11" s="136" t="str">
        <f>IF(AND(STATS!C7="SWS",STATS!T7&gt;0),"YES","")</f>
        <v/>
      </c>
      <c r="F11" s="19"/>
      <c r="H11" s="137" t="str">
        <f>IF(AND(STATS!C7="BOD",STATS!U7&gt;0),"YES","")</f>
        <v/>
      </c>
      <c r="I11" s="150"/>
      <c r="K11" s="138" t="str">
        <f>IF(AND(STATS!C7="BOF",STATS!U7&gt;0),"YES","")</f>
        <v/>
      </c>
      <c r="L11" s="151"/>
      <c r="M11" s="194"/>
    </row>
    <row r="12" spans="1:13" x14ac:dyDescent="0.25">
      <c r="A12" s="139">
        <f>STATS!E8</f>
        <v>86</v>
      </c>
      <c r="B12" s="139" t="str">
        <f>STATS!G8</f>
        <v>COOK</v>
      </c>
      <c r="C12" s="136" t="str">
        <f>IF(AND(STATS!C8="SWS",STATS!S8&gt;0),"YES","")</f>
        <v/>
      </c>
      <c r="D12" s="136"/>
      <c r="E12" s="136" t="str">
        <f>IF(AND(STATS!C8="SWS",STATS!T8&gt;0),"YES","")</f>
        <v/>
      </c>
      <c r="F12" s="19"/>
      <c r="H12" s="137" t="str">
        <f>IF(AND(STATS!C8="BOD",STATS!U8&gt;0),"YES","")</f>
        <v/>
      </c>
      <c r="I12" s="150"/>
      <c r="K12" s="138" t="str">
        <f>IF(AND(STATS!C8="BOF",STATS!U8&gt;0),"YES","")</f>
        <v/>
      </c>
      <c r="L12" s="151"/>
      <c r="M12" s="194"/>
    </row>
    <row r="13" spans="1:13" x14ac:dyDescent="0.25">
      <c r="A13" s="139">
        <f>STATS!E9</f>
        <v>123</v>
      </c>
      <c r="B13" s="139" t="str">
        <f>STATS!G9</f>
        <v>CONSHEA</v>
      </c>
      <c r="C13" s="136" t="str">
        <f>IF(AND(STATS!C9="SWS",STATS!S9&gt;0),"YES","")</f>
        <v/>
      </c>
      <c r="D13" s="136"/>
      <c r="E13" s="136" t="str">
        <f>IF(AND(STATS!C9="SWS",STATS!T9&gt;0),"YES","")</f>
        <v/>
      </c>
      <c r="F13" s="19"/>
      <c r="H13" s="137" t="str">
        <f>IF(AND(STATS!C9="BOD",STATS!U9&gt;0),"YES","")</f>
        <v/>
      </c>
      <c r="I13" s="150"/>
      <c r="K13" s="138" t="str">
        <f>IF(AND(STATS!C9="BOF",STATS!U9&gt;0),"YES","")</f>
        <v/>
      </c>
      <c r="L13" s="151"/>
      <c r="M13" s="194"/>
    </row>
    <row r="14" spans="1:13" x14ac:dyDescent="0.25">
      <c r="A14" s="139">
        <f>STATS!E10</f>
        <v>147</v>
      </c>
      <c r="B14" s="139" t="str">
        <f>STATS!G10</f>
        <v>FAIRMEADOW</v>
      </c>
      <c r="C14" s="136" t="str">
        <f>IF(AND(STATS!C10="SWS",STATS!S10&gt;0),"YES","")</f>
        <v/>
      </c>
      <c r="D14" s="136"/>
      <c r="E14" s="136" t="str">
        <f>IF(AND(STATS!C10="SWS",STATS!T10&gt;0),"YES","")</f>
        <v/>
      </c>
      <c r="F14" s="19"/>
      <c r="H14" s="137" t="str">
        <f>IF(AND(STATS!C10="BOD",STATS!U10&gt;0),"YES","")</f>
        <v/>
      </c>
      <c r="I14" s="150"/>
      <c r="K14" s="138" t="str">
        <f>IF(AND(STATS!C10="BOF",STATS!U10&gt;0),"YES","")</f>
        <v/>
      </c>
      <c r="L14" s="151"/>
      <c r="M14" s="194"/>
    </row>
    <row r="15" spans="1:13" x14ac:dyDescent="0.25">
      <c r="A15" s="139">
        <f>STATS!E11</f>
        <v>199</v>
      </c>
      <c r="B15" s="139" t="str">
        <f>STATS!G11</f>
        <v>RRMP 416</v>
      </c>
      <c r="C15" s="136" t="str">
        <f>IF(AND(STATS!C11="SWS",STATS!S11&gt;0),"YES","")</f>
        <v/>
      </c>
      <c r="D15" s="136"/>
      <c r="E15" s="136" t="str">
        <f>IF(AND(STATS!C11="SWS",STATS!T11&gt;0),"YES","")</f>
        <v/>
      </c>
      <c r="F15" s="19"/>
      <c r="H15" s="137" t="str">
        <f>IF(AND(STATS!C11="BOD",STATS!U11&gt;0),"YES","")</f>
        <v/>
      </c>
      <c r="I15" s="150"/>
      <c r="K15" s="138" t="str">
        <f>IF(AND(STATS!C11="BOF",STATS!U11&gt;0),"YES","")</f>
        <v/>
      </c>
      <c r="L15" s="151"/>
      <c r="M15" s="194"/>
    </row>
    <row r="16" spans="1:13" x14ac:dyDescent="0.25">
      <c r="A16" s="139">
        <f>STATS!E12</f>
        <v>203</v>
      </c>
      <c r="B16" s="139" t="str">
        <f>STATS!G12</f>
        <v>SANDY</v>
      </c>
      <c r="C16" s="136" t="str">
        <f>IF(AND(STATS!C12="SWS",STATS!S12&gt;0),"YES","")</f>
        <v/>
      </c>
      <c r="D16" s="136"/>
      <c r="E16" s="136" t="str">
        <f>IF(AND(STATS!C12="SWS",STATS!T12&gt;0),"YES","")</f>
        <v/>
      </c>
      <c r="F16" s="19"/>
      <c r="H16" s="137" t="str">
        <f>IF(AND(STATS!C12="BOD",STATS!U12&gt;0),"YES","")</f>
        <v/>
      </c>
      <c r="I16" s="150"/>
      <c r="K16" s="138" t="str">
        <f>IF(AND(STATS!C12="BOF",STATS!U12&gt;0),"YES","")</f>
        <v/>
      </c>
      <c r="L16" s="151"/>
      <c r="M16" s="194"/>
    </row>
    <row r="17" spans="1:13" x14ac:dyDescent="0.25">
      <c r="A17" s="139">
        <f>STATS!E13</f>
        <v>223</v>
      </c>
      <c r="B17" s="139" t="str">
        <f>STATS!G13</f>
        <v>COULTER</v>
      </c>
      <c r="C17" s="136" t="str">
        <f>IF(AND(STATS!C13="SWS",STATS!S13&gt;0),"YES","")</f>
        <v/>
      </c>
      <c r="D17" s="136"/>
      <c r="E17" s="136" t="str">
        <f>IF(AND(STATS!C13="SWS",STATS!T13&gt;0),"YES","")</f>
        <v/>
      </c>
      <c r="F17" s="19"/>
      <c r="H17" s="137" t="str">
        <f>IF(AND(STATS!C13="BOD",STATS!U13&gt;0),"YES","")</f>
        <v/>
      </c>
      <c r="I17" s="150"/>
      <c r="K17" s="138" t="str">
        <f>IF(AND(STATS!C13="BOF",STATS!U13&gt;0),"YES","")</f>
        <v/>
      </c>
      <c r="L17" s="151"/>
      <c r="M17" s="194"/>
    </row>
    <row r="18" spans="1:13" x14ac:dyDescent="0.25">
      <c r="A18" s="139">
        <f>STATS!E14</f>
        <v>228</v>
      </c>
      <c r="B18" s="139" t="str">
        <f>STATS!G14</f>
        <v>PEARL</v>
      </c>
      <c r="C18" s="136" t="str">
        <f>IF(AND(STATS!C14="SWS",STATS!S14&gt;0),"YES","")</f>
        <v/>
      </c>
      <c r="D18" s="136"/>
      <c r="E18" s="136" t="str">
        <f>IF(AND(STATS!C14="SWS",STATS!T14&gt;0),"YES","")</f>
        <v/>
      </c>
      <c r="F18" s="19"/>
      <c r="H18" s="137" t="str">
        <f>IF(AND(STATS!C14="BOD",STATS!U14&gt;0),"YES","")</f>
        <v/>
      </c>
      <c r="I18" s="150"/>
      <c r="K18" s="138" t="str">
        <f>IF(AND(STATS!C14="BOF",STATS!U14&gt;0),"YES","")</f>
        <v/>
      </c>
      <c r="L18" s="151"/>
      <c r="M18" s="194"/>
    </row>
    <row r="19" spans="1:13" x14ac:dyDescent="0.25">
      <c r="A19" s="139">
        <f>STATS!E15</f>
        <v>265</v>
      </c>
      <c r="B19" s="139" t="str">
        <f>STATS!G15</f>
        <v>WILDGOAT</v>
      </c>
      <c r="C19" s="136" t="str">
        <f>IF(AND(STATS!C15="SWS",STATS!S15&gt;0),"YES","")</f>
        <v/>
      </c>
      <c r="D19" s="136"/>
      <c r="E19" s="136" t="str">
        <f>IF(AND(STATS!C15="SWS",STATS!T15&gt;0),"YES","")</f>
        <v/>
      </c>
      <c r="F19" s="19"/>
      <c r="H19" s="137" t="str">
        <f>IF(AND(STATS!C15="BOD",STATS!U15&gt;0),"YES","")</f>
        <v/>
      </c>
      <c r="I19" s="150"/>
      <c r="K19" s="138" t="str">
        <f>IF(AND(STATS!C15="BOF",STATS!U15&gt;0),"YES","")</f>
        <v/>
      </c>
      <c r="L19" s="151"/>
      <c r="M19" s="194"/>
    </row>
    <row r="20" spans="1:13" x14ac:dyDescent="0.25">
      <c r="A20" s="139">
        <f>STATS!E16</f>
        <v>277</v>
      </c>
      <c r="B20" s="139" t="str">
        <f>STATS!G16</f>
        <v>BANMAN</v>
      </c>
      <c r="C20" s="136" t="str">
        <f>IF(AND(STATS!C16="SWS",STATS!S16&gt;0),"YES","")</f>
        <v/>
      </c>
      <c r="D20" s="136"/>
      <c r="E20" s="136" t="str">
        <f>IF(AND(STATS!C16="SWS",STATS!T16&gt;0),"YES","")</f>
        <v/>
      </c>
      <c r="F20" s="19"/>
      <c r="H20" s="137" t="str">
        <f>IF(AND(STATS!C16="BOD",STATS!U16&gt;0),"YES","")</f>
        <v/>
      </c>
      <c r="I20" s="150"/>
      <c r="K20" s="138" t="str">
        <f>IF(AND(STATS!C16="BOF",STATS!U16&gt;0),"YES","")</f>
        <v/>
      </c>
      <c r="L20" s="151"/>
      <c r="M20" s="194"/>
    </row>
    <row r="21" spans="1:13" x14ac:dyDescent="0.25">
      <c r="A21" s="139">
        <f>STATS!E17</f>
        <v>278</v>
      </c>
      <c r="B21" s="139" t="str">
        <f>STATS!G17</f>
        <v>EASTYOUNG</v>
      </c>
      <c r="C21" s="136" t="str">
        <f>IF(AND(STATS!C17="SWS",STATS!S17&gt;0),"YES","")</f>
        <v/>
      </c>
      <c r="D21" s="136"/>
      <c r="E21" s="136" t="str">
        <f>IF(AND(STATS!C17="SWS",STATS!T17&gt;0),"YES","")</f>
        <v/>
      </c>
      <c r="F21" s="19"/>
      <c r="H21" s="137" t="str">
        <f>IF(AND(STATS!C17="BOD",STATS!U17&gt;0),"YES","")</f>
        <v/>
      </c>
      <c r="I21" s="150"/>
      <c r="K21" s="138" t="str">
        <f>IF(AND(STATS!C17="BOF",STATS!U17&gt;0),"YES","")</f>
        <v/>
      </c>
      <c r="L21" s="151"/>
      <c r="M21" s="194"/>
    </row>
    <row r="22" spans="1:13" x14ac:dyDescent="0.25">
      <c r="A22" s="139">
        <f>STATS!E18</f>
        <v>292</v>
      </c>
      <c r="B22" s="139" t="str">
        <f>STATS!G18</f>
        <v>CLARKY</v>
      </c>
      <c r="C22" s="136" t="str">
        <f>IF(AND(STATS!C18="SWS",STATS!S18&gt;0),"YES","")</f>
        <v/>
      </c>
      <c r="D22" s="136"/>
      <c r="E22" s="136" t="str">
        <f>IF(AND(STATS!C18="SWS",STATS!T18&gt;0),"YES","")</f>
        <v/>
      </c>
      <c r="F22" s="19"/>
      <c r="H22" s="137" t="str">
        <f>IF(AND(STATS!C18="BOD",STATS!U18&gt;0),"YES","")</f>
        <v/>
      </c>
      <c r="I22" s="150"/>
      <c r="K22" s="138" t="str">
        <f>IF(AND(STATS!C18="BOF",STATS!U18&gt;0),"YES","")</f>
        <v/>
      </c>
      <c r="L22" s="151"/>
      <c r="M22" s="194"/>
    </row>
    <row r="23" spans="1:13" x14ac:dyDescent="0.25">
      <c r="A23" s="139">
        <f>STATS!E19</f>
        <v>332</v>
      </c>
      <c r="B23" s="139" t="str">
        <f>STATS!G19</f>
        <v>REYNOLDS</v>
      </c>
      <c r="C23" s="136" t="str">
        <f>IF(AND(STATS!C19="SWS",STATS!S19&gt;0),"YES","")</f>
        <v/>
      </c>
      <c r="D23" s="136"/>
      <c r="E23" s="136" t="str">
        <f>IF(AND(STATS!C19="SWS",STATS!T19&gt;0),"YES","")</f>
        <v/>
      </c>
      <c r="F23" s="19"/>
      <c r="H23" s="137" t="str">
        <f>IF(AND(STATS!C19="BOD",STATS!U19&gt;0),"YES","")</f>
        <v/>
      </c>
      <c r="I23" s="150"/>
      <c r="K23" s="138" t="str">
        <f>IF(AND(STATS!C19="BOF",STATS!U19&gt;0),"YES","")</f>
        <v/>
      </c>
      <c r="L23" s="151"/>
      <c r="M23" s="194"/>
    </row>
    <row r="24" spans="1:13" x14ac:dyDescent="0.25">
      <c r="A24" s="139">
        <f>STATS!E20</f>
        <v>335</v>
      </c>
      <c r="B24" s="139" t="str">
        <f>STATS!G20</f>
        <v>GUL</v>
      </c>
      <c r="C24" s="136" t="str">
        <f>IF(AND(STATS!C20="SWS",STATS!S20&gt;0),"YES","")</f>
        <v/>
      </c>
      <c r="D24" s="136"/>
      <c r="E24" s="136" t="str">
        <f>IF(AND(STATS!C20="SWS",STATS!T20&gt;0),"YES","")</f>
        <v/>
      </c>
      <c r="F24" s="19"/>
      <c r="H24" s="137" t="str">
        <f>IF(AND(STATS!C20="BOD",STATS!U20&gt;0),"YES","")</f>
        <v/>
      </c>
      <c r="I24" s="150"/>
      <c r="K24" s="138" t="str">
        <f>IF(AND(STATS!C20="BOF",STATS!U20&gt;0),"YES","")</f>
        <v/>
      </c>
      <c r="L24" s="151"/>
      <c r="M24" s="194"/>
    </row>
    <row r="25" spans="1:13" x14ac:dyDescent="0.25">
      <c r="A25" s="139">
        <f>STATS!E21</f>
        <v>338</v>
      </c>
      <c r="B25" s="139" t="str">
        <f>STATS!G21</f>
        <v>PLEASANT</v>
      </c>
      <c r="C25" s="136" t="str">
        <f>IF(AND(STATS!C21="SWS",STATS!S21&gt;0),"YES","")</f>
        <v/>
      </c>
      <c r="D25" s="136"/>
      <c r="E25" s="136" t="str">
        <f>IF(AND(STATS!C21="SWS",STATS!T21&gt;0),"YES","")</f>
        <v/>
      </c>
      <c r="F25" s="19"/>
      <c r="H25" s="137" t="str">
        <f>IF(AND(STATS!C21="BOD",STATS!U21&gt;0),"YES","")</f>
        <v/>
      </c>
      <c r="I25" s="150"/>
      <c r="K25" s="138" t="str">
        <f>IF(AND(STATS!C21="BOF",STATS!U21&gt;0),"YES","")</f>
        <v/>
      </c>
      <c r="L25" s="151"/>
      <c r="M25" s="194"/>
    </row>
    <row r="26" spans="1:13" x14ac:dyDescent="0.25">
      <c r="A26" s="139">
        <f>STATS!E22</f>
        <v>343</v>
      </c>
      <c r="B26" s="139" t="str">
        <f>STATS!G22</f>
        <v>LILFREEZE</v>
      </c>
      <c r="C26" s="136" t="str">
        <f>IF(AND(STATS!C22="SWS",STATS!S22&gt;0),"YES","")</f>
        <v/>
      </c>
      <c r="D26" s="136"/>
      <c r="E26" s="136" t="str">
        <f>IF(AND(STATS!C22="SWS",STATS!T22&gt;0),"YES","")</f>
        <v/>
      </c>
      <c r="F26" s="19"/>
      <c r="H26" s="137" t="str">
        <f>IF(AND(STATS!C22="BOD",STATS!U22&gt;0),"YES","")</f>
        <v/>
      </c>
      <c r="I26" s="150"/>
      <c r="K26" s="138" t="str">
        <f>IF(AND(STATS!C22="BOF",STATS!U22&gt;0),"YES","")</f>
        <v/>
      </c>
      <c r="L26" s="151"/>
      <c r="M26" s="194"/>
    </row>
    <row r="27" spans="1:13" x14ac:dyDescent="0.25">
      <c r="A27" s="139">
        <f>STATS!E23</f>
        <v>359</v>
      </c>
      <c r="B27" s="139" t="str">
        <f>STATS!G23</f>
        <v>MM73 HWY51</v>
      </c>
      <c r="C27" s="136" t="str">
        <f>IF(AND(STATS!C23="SWS",STATS!S23&gt;0),"YES","")</f>
        <v/>
      </c>
      <c r="D27" s="136"/>
      <c r="E27" s="136" t="str">
        <f>IF(AND(STATS!C23="SWS",STATS!T23&gt;0),"YES","")</f>
        <v/>
      </c>
      <c r="F27" s="19"/>
      <c r="H27" s="137" t="str">
        <f>IF(AND(STATS!C23="BOD",STATS!U23&gt;0),"YES","")</f>
        <v/>
      </c>
      <c r="I27" s="150"/>
      <c r="K27" s="138" t="str">
        <f>IF(AND(STATS!C23="BOF",STATS!U23&gt;0),"YES","")</f>
        <v/>
      </c>
      <c r="L27" s="151"/>
      <c r="M27" s="194"/>
    </row>
    <row r="28" spans="1:13" x14ac:dyDescent="0.25">
      <c r="A28" s="139">
        <f>STATS!E24</f>
        <v>368</v>
      </c>
      <c r="B28" s="139" t="str">
        <f>STATS!G24</f>
        <v>SMORE</v>
      </c>
      <c r="C28" s="136" t="str">
        <f>IF(AND(STATS!C24="SWS",STATS!S24&gt;0),"YES","")</f>
        <v/>
      </c>
      <c r="D28" s="136"/>
      <c r="E28" s="136" t="str">
        <f>IF(AND(STATS!C24="SWS",STATS!T24&gt;0),"YES","")</f>
        <v/>
      </c>
      <c r="F28" s="19"/>
      <c r="H28" s="137" t="str">
        <f>IF(AND(STATS!C24="BOD",STATS!U24&gt;0),"YES","")</f>
        <v>YES</v>
      </c>
      <c r="I28" s="150" t="s">
        <v>231</v>
      </c>
      <c r="K28" s="138" t="str">
        <f>IF(AND(STATS!C24="BOF",STATS!U24&gt;0),"YES","")</f>
        <v/>
      </c>
      <c r="L28" s="151"/>
      <c r="M28" s="194"/>
    </row>
    <row r="29" spans="1:13" x14ac:dyDescent="0.25">
      <c r="A29" s="139">
        <f>STATS!E25</f>
        <v>370</v>
      </c>
      <c r="B29" s="139" t="str">
        <f>STATS!G25</f>
        <v xml:space="preserve">LILFREE </v>
      </c>
      <c r="C29" s="136" t="str">
        <f>IF(AND(STATS!C25="SWS",STATS!S25&gt;0),"YES","")</f>
        <v/>
      </c>
      <c r="D29" s="136"/>
      <c r="E29" s="136" t="str">
        <f>IF(AND(STATS!C25="SWS",STATS!T25&gt;0),"YES","")</f>
        <v/>
      </c>
      <c r="F29" s="19"/>
      <c r="H29" s="137" t="str">
        <f>IF(AND(STATS!C25="BOD",STATS!U25&gt;0),"YES","")</f>
        <v/>
      </c>
      <c r="I29" s="150"/>
      <c r="K29" s="138" t="str">
        <f>IF(AND(STATS!C25="BOF",STATS!U25&gt;0),"YES","")</f>
        <v/>
      </c>
      <c r="L29" s="151"/>
      <c r="M29" s="194"/>
    </row>
    <row r="30" spans="1:13" x14ac:dyDescent="0.25">
      <c r="A30" s="139">
        <f>STATS!E26</f>
        <v>373</v>
      </c>
      <c r="B30" s="139" t="str">
        <f>STATS!G26</f>
        <v>CASNER</v>
      </c>
      <c r="C30" s="136" t="str">
        <f>IF(AND(STATS!C26="SWS",STATS!S26&gt;0),"YES","")</f>
        <v/>
      </c>
      <c r="D30" s="136"/>
      <c r="E30" s="136" t="str">
        <f>IF(AND(STATS!C26="SWS",STATS!T26&gt;0),"YES","")</f>
        <v/>
      </c>
      <c r="F30" s="19"/>
      <c r="H30" s="137" t="str">
        <f>IF(AND(STATS!C26="BOD",STATS!U26&gt;0),"YES","")</f>
        <v/>
      </c>
      <c r="I30" s="150"/>
      <c r="K30" s="138" t="str">
        <f>IF(AND(STATS!C26="BOF",STATS!U26&gt;0),"YES","")</f>
        <v/>
      </c>
      <c r="L30" s="151"/>
      <c r="M30" s="194"/>
    </row>
    <row r="31" spans="1:13" x14ac:dyDescent="0.25">
      <c r="A31" s="139">
        <f>STATS!E27</f>
        <v>377</v>
      </c>
      <c r="B31" s="139" t="str">
        <f>STATS!G27</f>
        <v>PLEZ</v>
      </c>
      <c r="C31" s="136" t="str">
        <f>IF(AND(STATS!C27="SWS",STATS!S27&gt;0),"YES","")</f>
        <v/>
      </c>
      <c r="D31" s="136"/>
      <c r="E31" s="136" t="str">
        <f>IF(AND(STATS!C27="SWS",STATS!T27&gt;0),"YES","")</f>
        <v/>
      </c>
      <c r="F31" s="19"/>
      <c r="H31" s="137" t="str">
        <f>IF(AND(STATS!C27="BOD",STATS!U27&gt;0),"YES","")</f>
        <v/>
      </c>
      <c r="I31" s="150"/>
      <c r="K31" s="138" t="str">
        <f>IF(AND(STATS!C27="BOF",STATS!U27&gt;0),"YES","")</f>
        <v/>
      </c>
      <c r="L31" s="151"/>
      <c r="M31" s="194"/>
    </row>
    <row r="32" spans="1:13" x14ac:dyDescent="0.25">
      <c r="A32" s="139">
        <f>STATS!E28</f>
        <v>395</v>
      </c>
      <c r="B32" s="139" t="str">
        <f>STATS!G28</f>
        <v>WARM</v>
      </c>
      <c r="C32" s="136" t="str">
        <f>IF(AND(STATS!C28="SWS",STATS!S28&gt;0),"YES","")</f>
        <v/>
      </c>
      <c r="D32" s="136"/>
      <c r="E32" s="136" t="str">
        <f>IF(AND(STATS!C28="SWS",STATS!T28&gt;0),"YES","")</f>
        <v/>
      </c>
      <c r="F32" s="19"/>
      <c r="H32" s="137" t="str">
        <f>IF(AND(STATS!C28="BOD",STATS!U28&gt;0),"YES","")</f>
        <v/>
      </c>
      <c r="I32" s="150"/>
      <c r="K32" s="138" t="str">
        <f>IF(AND(STATS!C28="BOF",STATS!U28&gt;0),"YES","")</f>
        <v/>
      </c>
      <c r="L32" s="151"/>
      <c r="M32" s="194"/>
    </row>
    <row r="33" spans="1:13" x14ac:dyDescent="0.25">
      <c r="A33" s="139">
        <f>STATS!E29</f>
        <v>396</v>
      </c>
      <c r="B33" s="139" t="str">
        <f>STATS!G29</f>
        <v>MM83 I84</v>
      </c>
      <c r="C33" s="136" t="str">
        <f>IF(AND(STATS!C29="SWS",STATS!S29&gt;0),"YES","")</f>
        <v/>
      </c>
      <c r="D33" s="136"/>
      <c r="E33" s="136" t="str">
        <f>IF(AND(STATS!C29="SWS",STATS!T29&gt;0),"YES","")</f>
        <v/>
      </c>
      <c r="F33" s="19"/>
      <c r="H33" s="137" t="str">
        <f>IF(AND(STATS!C29="BOD",STATS!U29&gt;0),"YES","")</f>
        <v/>
      </c>
      <c r="I33" s="150"/>
      <c r="K33" s="138" t="str">
        <f>IF(AND(STATS!C29="BOF",STATS!U29&gt;0),"YES","")</f>
        <v/>
      </c>
      <c r="L33" s="151"/>
      <c r="M33" s="194"/>
    </row>
    <row r="34" spans="1:13" x14ac:dyDescent="0.25">
      <c r="A34" s="139">
        <f>STATS!E30</f>
        <v>412</v>
      </c>
      <c r="B34" s="139" t="str">
        <f>STATS!G30</f>
        <v>CINDER</v>
      </c>
      <c r="C34" s="136" t="str">
        <f>IF(AND(STATS!C30="SWS",STATS!S30&gt;0),"YES","")</f>
        <v/>
      </c>
      <c r="D34" s="136"/>
      <c r="E34" s="136" t="str">
        <f>IF(AND(STATS!C30="SWS",STATS!T30&gt;0),"YES","")</f>
        <v/>
      </c>
      <c r="F34" s="19"/>
      <c r="H34" s="137" t="str">
        <f>IF(AND(STATS!C30="BOD",STATS!U30&gt;0),"YES","")</f>
        <v/>
      </c>
      <c r="I34" s="150"/>
      <c r="K34" s="138" t="str">
        <f>IF(AND(STATS!C30="BOF",STATS!U30&gt;0),"YES","")</f>
        <v/>
      </c>
      <c r="L34" s="151"/>
      <c r="M34" s="194"/>
    </row>
    <row r="35" spans="1:13" x14ac:dyDescent="0.25">
      <c r="A35" s="139">
        <f>STATS!E31</f>
        <v>418</v>
      </c>
      <c r="B35" s="139" t="str">
        <f>STATS!G31</f>
        <v>SHAW</v>
      </c>
      <c r="C35" s="136" t="str">
        <f>IF(AND(STATS!C31="SWS",STATS!S31&gt;0),"YES","")</f>
        <v/>
      </c>
      <c r="D35" s="136"/>
      <c r="E35" s="136" t="str">
        <f>IF(AND(STATS!C31="SWS",STATS!T31&gt;0),"YES","")</f>
        <v/>
      </c>
      <c r="F35" s="19"/>
      <c r="H35" s="137" t="str">
        <f>IF(AND(STATS!C31="BOD",STATS!U31&gt;0),"YES","")</f>
        <v/>
      </c>
      <c r="I35" s="150"/>
      <c r="K35" s="138" t="str">
        <f>IF(AND(STATS!C31="BOF",STATS!U31&gt;0),"YES","")</f>
        <v/>
      </c>
      <c r="L35" s="151"/>
      <c r="M35" s="194"/>
    </row>
    <row r="36" spans="1:13" x14ac:dyDescent="0.25">
      <c r="A36" s="139">
        <f>STATS!E32</f>
        <v>427</v>
      </c>
      <c r="B36" s="139" t="str">
        <f>STATS!G32</f>
        <v>NELSON</v>
      </c>
      <c r="C36" s="136" t="str">
        <f>IF(AND(STATS!C32="SWS",STATS!S32&gt;0),"YES","")</f>
        <v/>
      </c>
      <c r="D36" s="136"/>
      <c r="E36" s="136" t="str">
        <f>IF(AND(STATS!C32="SWS",STATS!T32&gt;0),"YES","")</f>
        <v/>
      </c>
      <c r="F36" s="19"/>
      <c r="H36" s="137" t="str">
        <f>IF(AND(STATS!C32="BOD",STATS!U32&gt;0),"YES","")</f>
        <v/>
      </c>
      <c r="I36" s="150"/>
      <c r="K36" s="138" t="str">
        <f>IF(AND(STATS!C32="BOF",STATS!U32&gt;0),"YES","")</f>
        <v/>
      </c>
      <c r="L36" s="151"/>
      <c r="M36" s="194"/>
    </row>
    <row r="37" spans="1:13" x14ac:dyDescent="0.25">
      <c r="A37" s="139">
        <f>STATS!E33</f>
        <v>432</v>
      </c>
      <c r="B37" s="139" t="str">
        <f>STATS!G33</f>
        <v>WOLFIE</v>
      </c>
      <c r="C37" s="136" t="str">
        <f>IF(AND(STATS!C33="SWS",STATS!S33&gt;0),"YES","")</f>
        <v/>
      </c>
      <c r="D37" s="136"/>
      <c r="E37" s="136" t="str">
        <f>IF(AND(STATS!C33="SWS",STATS!T33&gt;0),"YES","")</f>
        <v/>
      </c>
      <c r="F37" s="19"/>
      <c r="H37" s="137" t="str">
        <f>IF(AND(STATS!C33="BOD",STATS!U33&gt;0),"YES","")</f>
        <v/>
      </c>
      <c r="I37" s="150"/>
      <c r="K37" s="138" t="str">
        <f>IF(AND(STATS!C33="BOF",STATS!U33&gt;0),"YES","")</f>
        <v/>
      </c>
      <c r="L37" s="151"/>
      <c r="M37" s="194"/>
    </row>
    <row r="38" spans="1:13" x14ac:dyDescent="0.25">
      <c r="A38" s="139">
        <f>STATS!E34</f>
        <v>434</v>
      </c>
      <c r="B38" s="139" t="str">
        <f>STATS!G34</f>
        <v>SUMMIT</v>
      </c>
      <c r="C38" s="136" t="str">
        <f>IF(AND(STATS!C34="SWS",STATS!S34&gt;0),"YES","")</f>
        <v/>
      </c>
      <c r="D38" s="136"/>
      <c r="E38" s="136" t="str">
        <f>IF(AND(STATS!C34="SWS",STATS!T34&gt;0),"YES","")</f>
        <v/>
      </c>
      <c r="F38" s="19"/>
      <c r="H38" s="137" t="str">
        <f>IF(AND(STATS!C34="BOD",STATS!U34&gt;0),"YES","")</f>
        <v/>
      </c>
      <c r="I38" s="150"/>
      <c r="K38" s="138" t="str">
        <f>IF(AND(STATS!C34="BOF",STATS!U34&gt;0),"YES","")</f>
        <v/>
      </c>
      <c r="L38" s="151"/>
      <c r="M38" s="194"/>
    </row>
    <row r="39" spans="1:13" x14ac:dyDescent="0.25">
      <c r="A39" s="139">
        <f>STATS!E35</f>
        <v>436</v>
      </c>
      <c r="B39" s="139" t="str">
        <f>STATS!G35</f>
        <v>GATES</v>
      </c>
      <c r="C39" s="136" t="str">
        <f>IF(AND(STATS!C35="SWS",STATS!S35&gt;0),"YES","")</f>
        <v/>
      </c>
      <c r="D39" s="136"/>
      <c r="E39" s="136" t="str">
        <f>IF(AND(STATS!C35="SWS",STATS!T35&gt;0),"YES","")</f>
        <v/>
      </c>
      <c r="F39" s="19"/>
      <c r="H39" s="137" t="str">
        <f>IF(AND(STATS!C35="BOD",STATS!U35&gt;0),"YES","")</f>
        <v/>
      </c>
      <c r="I39" s="150"/>
      <c r="K39" s="138" t="str">
        <f>IF(AND(STATS!C35="BOF",STATS!U35&gt;0),"YES","")</f>
        <v/>
      </c>
      <c r="L39" s="151"/>
      <c r="M39" s="194"/>
    </row>
    <row r="40" spans="1:13" x14ac:dyDescent="0.25">
      <c r="A40" s="139">
        <f>STATS!E36</f>
        <v>437</v>
      </c>
      <c r="B40" s="139" t="str">
        <f>STATS!G36</f>
        <v>WASH</v>
      </c>
      <c r="C40" s="136" t="str">
        <f>IF(AND(STATS!C36="SWS",STATS!S36&gt;0),"YES","")</f>
        <v/>
      </c>
      <c r="D40" s="136"/>
      <c r="E40" s="136" t="str">
        <f>IF(AND(STATS!C36="SWS",STATS!T36&gt;0),"YES","")</f>
        <v/>
      </c>
      <c r="F40" s="19"/>
      <c r="H40" s="137" t="str">
        <f>IF(AND(STATS!C36="BOD",STATS!U36&gt;0),"YES","")</f>
        <v/>
      </c>
      <c r="I40" s="150"/>
      <c r="K40" s="138" t="str">
        <f>IF(AND(STATS!C36="BOF",STATS!U36&gt;0),"YES","")</f>
        <v/>
      </c>
      <c r="L40" s="151"/>
      <c r="M40" s="194"/>
    </row>
    <row r="41" spans="1:13" x14ac:dyDescent="0.25">
      <c r="A41" s="139">
        <f>STATS!E37</f>
        <v>438</v>
      </c>
      <c r="B41" s="139" t="str">
        <f>STATS!G37</f>
        <v>BEAR</v>
      </c>
      <c r="C41" s="136" t="str">
        <f>IF(AND(STATS!C37="SWS",STATS!S37&gt;0),"YES","")</f>
        <v/>
      </c>
      <c r="D41" s="136"/>
      <c r="E41" s="136" t="str">
        <f>IF(AND(STATS!C37="SWS",STATS!T37&gt;0),"YES","")</f>
        <v/>
      </c>
      <c r="F41" s="19"/>
      <c r="H41" s="137" t="str">
        <f>IF(AND(STATS!C37="BOD",STATS!U37&gt;0),"YES","")</f>
        <v/>
      </c>
      <c r="I41" s="150"/>
      <c r="K41" s="138" t="str">
        <f>IF(AND(STATS!C37="BOF",STATS!U37&gt;0),"YES","")</f>
        <v/>
      </c>
      <c r="L41" s="151"/>
      <c r="M41" s="194"/>
    </row>
    <row r="42" spans="1:13" x14ac:dyDescent="0.25">
      <c r="A42" s="139">
        <f>STATS!E38</f>
        <v>439</v>
      </c>
      <c r="B42" s="139" t="str">
        <f>STATS!G38</f>
        <v>BACK</v>
      </c>
      <c r="C42" s="136" t="str">
        <f>IF(AND(STATS!C38="SWS",STATS!S38&gt;0),"YES","")</f>
        <v/>
      </c>
      <c r="D42" s="136"/>
      <c r="E42" s="136" t="str">
        <f>IF(AND(STATS!C38="SWS",STATS!T38&gt;0),"YES","")</f>
        <v/>
      </c>
      <c r="F42" s="19"/>
      <c r="H42" s="137" t="str">
        <f>IF(AND(STATS!C38="BOD",STATS!U38&gt;0),"YES","")</f>
        <v/>
      </c>
      <c r="I42" s="150"/>
      <c r="K42" s="138" t="str">
        <f>IF(AND(STATS!C38="BOF",STATS!U38&gt;0),"YES","")</f>
        <v/>
      </c>
      <c r="L42" s="151"/>
      <c r="M42" s="194"/>
    </row>
    <row r="43" spans="1:13" x14ac:dyDescent="0.25">
      <c r="A43" s="139">
        <f>STATS!E39</f>
        <v>447</v>
      </c>
      <c r="B43" s="139" t="str">
        <f>STATS!G39</f>
        <v>GOOSE</v>
      </c>
      <c r="C43" s="136" t="str">
        <f>IF(AND(STATS!C39="SWS",STATS!S39&gt;0),"YES","")</f>
        <v>YES</v>
      </c>
      <c r="D43" s="136" t="s">
        <v>231</v>
      </c>
      <c r="E43" s="136" t="str">
        <f>IF(AND(STATS!C39="SWS",STATS!T39&gt;0),"YES","")</f>
        <v/>
      </c>
      <c r="F43" s="19"/>
      <c r="H43" s="137" t="str">
        <f>IF(AND(STATS!C39="BOD",STATS!U39&gt;0),"YES","")</f>
        <v/>
      </c>
      <c r="I43" s="150"/>
      <c r="K43" s="138" t="str">
        <f>IF(AND(STATS!C39="BOF",STATS!U39&gt;0),"YES","")</f>
        <v/>
      </c>
      <c r="L43" s="151"/>
      <c r="M43" s="194"/>
    </row>
    <row r="44" spans="1:13" x14ac:dyDescent="0.25">
      <c r="A44" s="139">
        <f>STATS!E40</f>
        <v>451</v>
      </c>
      <c r="B44" s="139" t="str">
        <f>STATS!G40</f>
        <v>ION</v>
      </c>
      <c r="C44" s="136" t="str">
        <f>IF(AND(STATS!C40="SWS",STATS!S40&gt;0),"YES","")</f>
        <v/>
      </c>
      <c r="D44" s="136"/>
      <c r="E44" s="136" t="str">
        <f>IF(AND(STATS!C40="SWS",STATS!T40&gt;0),"YES","")</f>
        <v/>
      </c>
      <c r="F44" s="19"/>
      <c r="H44" s="137" t="str">
        <f>IF(AND(STATS!C40="BOD",STATS!U40&gt;0),"YES","")</f>
        <v/>
      </c>
      <c r="I44" s="150"/>
      <c r="K44" s="138" t="str">
        <f>IF(AND(STATS!C40="BOF",STATS!U40&gt;0),"YES","")</f>
        <v/>
      </c>
      <c r="L44" s="151"/>
      <c r="M44" s="194"/>
    </row>
    <row r="45" spans="1:13" x14ac:dyDescent="0.25">
      <c r="A45" s="139">
        <f>STATS!E41</f>
        <v>460</v>
      </c>
      <c r="B45" s="139" t="str">
        <f>STATS!G41</f>
        <v>FLINT</v>
      </c>
      <c r="C45" s="136" t="str">
        <f>IF(AND(STATS!C41="SWS",STATS!S41&gt;0),"YES","")</f>
        <v/>
      </c>
      <c r="D45" s="136"/>
      <c r="E45" s="136" t="str">
        <f>IF(AND(STATS!C41="SWS",STATS!T41&gt;0),"YES","")</f>
        <v/>
      </c>
      <c r="F45" s="19"/>
      <c r="H45" s="137" t="str">
        <f>IF(AND(STATS!C41="BOD",STATS!U41&gt;0),"YES","")</f>
        <v>YES</v>
      </c>
      <c r="I45" s="150" t="s">
        <v>231</v>
      </c>
      <c r="K45" s="138" t="str">
        <f>IF(AND(STATS!C41="BOF",STATS!U41&gt;0),"YES","")</f>
        <v/>
      </c>
      <c r="L45" s="151"/>
      <c r="M45" s="194"/>
    </row>
    <row r="46" spans="1:13" x14ac:dyDescent="0.25">
      <c r="A46" s="139">
        <f>STATS!E42</f>
        <v>461</v>
      </c>
      <c r="B46" s="139" t="str">
        <f>STATS!G42</f>
        <v>REGG</v>
      </c>
      <c r="C46" s="136" t="str">
        <f>IF(AND(STATS!C42="SWS",STATS!S42&gt;0),"YES","")</f>
        <v/>
      </c>
      <c r="D46" s="136"/>
      <c r="E46" s="136" t="str">
        <f>IF(AND(STATS!C42="SWS",STATS!T42&gt;0),"YES","")</f>
        <v/>
      </c>
      <c r="F46" s="19"/>
      <c r="H46" s="137" t="str">
        <f>IF(AND(STATS!C42="BOD",STATS!U42&gt;0),"YES","")</f>
        <v/>
      </c>
      <c r="I46" s="150"/>
      <c r="K46" s="138" t="str">
        <f>IF(AND(STATS!C42="BOF",STATS!U42&gt;0),"YES","")</f>
        <v/>
      </c>
      <c r="L46" s="151"/>
      <c r="M46" s="194"/>
    </row>
    <row r="47" spans="1:13" x14ac:dyDescent="0.25">
      <c r="A47" s="139">
        <f>STATS!E43</f>
        <v>464</v>
      </c>
      <c r="B47" s="139" t="str">
        <f>STATS!G43</f>
        <v>MM4 HWY17</v>
      </c>
      <c r="C47" s="136" t="str">
        <f>IF(AND(STATS!C43="SWS",STATS!S43&gt;0),"YES","")</f>
        <v/>
      </c>
      <c r="D47" s="136"/>
      <c r="E47" s="136" t="str">
        <f>IF(AND(STATS!C43="SWS",STATS!T43&gt;0),"YES","")</f>
        <v/>
      </c>
      <c r="F47" s="19"/>
      <c r="H47" s="137" t="str">
        <f>IF(AND(STATS!C43="BOD",STATS!U43&gt;0),"YES","")</f>
        <v/>
      </c>
      <c r="I47" s="150"/>
      <c r="K47" s="138" t="str">
        <f>IF(AND(STATS!C43="BOF",STATS!U43&gt;0),"YES","")</f>
        <v/>
      </c>
      <c r="L47" s="151"/>
      <c r="M47" s="194"/>
    </row>
    <row r="48" spans="1:13" x14ac:dyDescent="0.25">
      <c r="A48" s="139">
        <f>STATS!E44</f>
        <v>468</v>
      </c>
      <c r="B48" s="139" t="str">
        <f>STATS!G44</f>
        <v>BUCKAROO</v>
      </c>
      <c r="C48" s="136" t="str">
        <f>IF(AND(STATS!C44="SWS",STATS!S44&gt;0),"YES","")</f>
        <v/>
      </c>
      <c r="D48" s="136"/>
      <c r="E48" s="136" t="str">
        <f>IF(AND(STATS!C44="SWS",STATS!T44&gt;0),"YES","")</f>
        <v/>
      </c>
      <c r="F48" s="19"/>
      <c r="H48" s="137" t="str">
        <f>IF(AND(STATS!C44="BOD",STATS!U44&gt;0),"YES","")</f>
        <v/>
      </c>
      <c r="I48" s="150"/>
      <c r="K48" s="138" t="str">
        <f>IF(AND(STATS!C44="BOF",STATS!U44&gt;0),"YES","")</f>
        <v/>
      </c>
      <c r="L48" s="151"/>
      <c r="M48" s="194"/>
    </row>
    <row r="49" spans="1:13" x14ac:dyDescent="0.25">
      <c r="A49" s="139">
        <f>STATS!E45</f>
        <v>472</v>
      </c>
      <c r="B49" s="139" t="str">
        <f>STATS!G45</f>
        <v>BIGBAR</v>
      </c>
      <c r="C49" s="136" t="str">
        <f>IF(AND(STATS!C45="SWS",STATS!S45&gt;0),"YES","")</f>
        <v/>
      </c>
      <c r="D49" s="136"/>
      <c r="E49" s="136" t="str">
        <f>IF(AND(STATS!C45="SWS",STATS!T45&gt;0),"YES","")</f>
        <v/>
      </c>
      <c r="F49" s="19"/>
      <c r="H49" s="137" t="str">
        <f>IF(AND(STATS!C45="BOD",STATS!U45&gt;0),"YES","")</f>
        <v/>
      </c>
      <c r="I49" s="150"/>
      <c r="K49" s="138" t="str">
        <f>IF(AND(STATS!C45="BOF",STATS!U45&gt;0),"YES","")</f>
        <v/>
      </c>
      <c r="L49" s="151"/>
      <c r="M49" s="194"/>
    </row>
    <row r="50" spans="1:13" x14ac:dyDescent="0.25">
      <c r="A50" s="139">
        <f>STATS!E46</f>
        <v>473</v>
      </c>
      <c r="B50" s="139" t="str">
        <f>STATS!G46</f>
        <v>MM85 I84</v>
      </c>
      <c r="C50" s="136" t="str">
        <f>IF(AND(STATS!C46="SWS",STATS!S46&gt;0),"YES","")</f>
        <v/>
      </c>
      <c r="D50" s="136"/>
      <c r="E50" s="136" t="str">
        <f>IF(AND(STATS!C46="SWS",STATS!T46&gt;0),"YES","")</f>
        <v/>
      </c>
      <c r="F50" s="19"/>
      <c r="H50" s="137" t="str">
        <f>IF(AND(STATS!C46="BOD",STATS!U46&gt;0),"YES","")</f>
        <v/>
      </c>
      <c r="I50" s="150"/>
      <c r="K50" s="138" t="str">
        <f>IF(AND(STATS!C46="BOF",STATS!U46&gt;0),"YES","")</f>
        <v/>
      </c>
      <c r="L50" s="151"/>
      <c r="M50" s="194"/>
    </row>
    <row r="51" spans="1:13" x14ac:dyDescent="0.25">
      <c r="A51" s="139">
        <f>STATS!E47</f>
        <v>474</v>
      </c>
      <c r="B51" s="139" t="str">
        <f>STATS!G47</f>
        <v>CURLEW</v>
      </c>
      <c r="C51" s="136" t="str">
        <f>IF(AND(STATS!C47="SWS",STATS!S47&gt;0),"YES","")</f>
        <v/>
      </c>
      <c r="D51" s="136"/>
      <c r="E51" s="136" t="str">
        <f>IF(AND(STATS!C47="SWS",STATS!T47&gt;0),"YES","")</f>
        <v/>
      </c>
      <c r="F51" s="19"/>
      <c r="H51" s="137" t="str">
        <f>IF(AND(STATS!C47="BOD",STATS!U47&gt;0),"YES","")</f>
        <v/>
      </c>
      <c r="I51" s="150"/>
      <c r="K51" s="138" t="str">
        <f>IF(AND(STATS!C47="BOF",STATS!U47&gt;0),"YES","")</f>
        <v/>
      </c>
      <c r="L51" s="151"/>
      <c r="M51" s="194"/>
    </row>
    <row r="52" spans="1:13" x14ac:dyDescent="0.25">
      <c r="A52" s="139">
        <f>STATS!E48</f>
        <v>483</v>
      </c>
      <c r="B52" s="139" t="str">
        <f>STATS!G48</f>
        <v>STANDI</v>
      </c>
      <c r="C52" s="136" t="str">
        <f>IF(AND(STATS!C48="SWS",STATS!S48&gt;0),"YES","")</f>
        <v/>
      </c>
      <c r="D52" s="136"/>
      <c r="E52" s="136" t="str">
        <f>IF(AND(STATS!C48="SWS",STATS!T48&gt;0),"YES","")</f>
        <v/>
      </c>
      <c r="F52" s="19"/>
      <c r="H52" s="137" t="str">
        <f>IF(AND(STATS!C48="BOD",STATS!U48&gt;0),"YES","")</f>
        <v/>
      </c>
      <c r="I52" s="150"/>
      <c r="K52" s="138" t="str">
        <f>IF(AND(STATS!C48="BOF",STATS!U48&gt;0),"YES","")</f>
        <v/>
      </c>
      <c r="L52" s="151"/>
      <c r="M52" s="194"/>
    </row>
    <row r="53" spans="1:13" x14ac:dyDescent="0.25">
      <c r="A53" s="139">
        <f>STATS!E49</f>
        <v>585</v>
      </c>
      <c r="B53" s="139" t="str">
        <f>STATS!G49</f>
        <v>POINTER</v>
      </c>
      <c r="C53" s="136" t="str">
        <f>IF(AND(STATS!C49="SWS",STATS!S49&gt;0),"YES","")</f>
        <v/>
      </c>
      <c r="D53" s="136"/>
      <c r="E53" s="136" t="str">
        <f>IF(AND(STATS!C49="SWS",STATS!T49&gt;0),"YES","")</f>
        <v/>
      </c>
      <c r="F53" s="19"/>
      <c r="H53" s="137" t="str">
        <f>IF(AND(STATS!C49="BOD",STATS!U49&gt;0),"YES","")</f>
        <v/>
      </c>
      <c r="I53" s="150"/>
      <c r="K53" s="138" t="str">
        <f>IF(AND(STATS!C49="BOF",STATS!U49&gt;0),"YES","")</f>
        <v/>
      </c>
      <c r="L53" s="151"/>
      <c r="M53" s="194"/>
    </row>
    <row r="54" spans="1:13" x14ac:dyDescent="0.25">
      <c r="A54" s="139">
        <f>STATS!E50</f>
        <v>586</v>
      </c>
      <c r="B54" s="139" t="str">
        <f>STATS!G50</f>
        <v>TOWER</v>
      </c>
      <c r="C54" s="136" t="str">
        <f>IF(AND(STATS!C50="SWS",STATS!S50&gt;0),"YES","")</f>
        <v/>
      </c>
      <c r="D54" s="136"/>
      <c r="E54" s="136" t="str">
        <f>IF(AND(STATS!C50="SWS",STATS!T50&gt;0),"YES","")</f>
        <v/>
      </c>
      <c r="F54" s="19"/>
      <c r="H54" s="137" t="str">
        <f>IF(AND(STATS!C50="BOD",STATS!U50&gt;0),"YES","")</f>
        <v/>
      </c>
      <c r="I54" s="150"/>
      <c r="K54" s="138" t="str">
        <f>IF(AND(STATS!C50="BOF",STATS!U50&gt;0),"YES","")</f>
        <v/>
      </c>
      <c r="L54" s="151"/>
      <c r="M54" s="194"/>
    </row>
    <row r="55" spans="1:13" x14ac:dyDescent="0.25">
      <c r="A55" s="139">
        <f>STATS!E51</f>
        <v>588</v>
      </c>
      <c r="B55" s="139" t="str">
        <f>STATS!G51</f>
        <v>MCCONN</v>
      </c>
      <c r="C55" s="136" t="str">
        <f>IF(AND(STATS!C51="SWS",STATS!S51&gt;0),"YES","")</f>
        <v/>
      </c>
      <c r="D55" s="136"/>
      <c r="E55" s="136" t="str">
        <f>IF(AND(STATS!C51="SWS",STATS!T51&gt;0),"YES","")</f>
        <v/>
      </c>
      <c r="F55" s="19"/>
      <c r="H55" s="137" t="str">
        <f>IF(AND(STATS!C51="BOD",STATS!U51&gt;0),"YES","")</f>
        <v/>
      </c>
      <c r="I55" s="150"/>
      <c r="K55" s="138" t="str">
        <f>IF(AND(STATS!C51="BOF",STATS!U51&gt;0),"YES","")</f>
        <v/>
      </c>
      <c r="L55" s="151"/>
      <c r="M55" s="194"/>
    </row>
    <row r="56" spans="1:13" x14ac:dyDescent="0.25">
      <c r="A56" s="139">
        <f>STATS!E52</f>
        <v>594</v>
      </c>
      <c r="B56" s="139" t="str">
        <f>STATS!G52</f>
        <v>TENPEN</v>
      </c>
      <c r="C56" s="136" t="str">
        <f>IF(AND(STATS!C52="SWS",STATS!S52&gt;0),"YES","")</f>
        <v/>
      </c>
      <c r="D56" s="136"/>
      <c r="E56" s="136" t="str">
        <f>IF(AND(STATS!C52="SWS",STATS!T52&gt;0),"YES","")</f>
        <v/>
      </c>
      <c r="F56" s="19"/>
      <c r="H56" s="137" t="str">
        <f>IF(AND(STATS!C52="BOD",STATS!U52&gt;0),"YES","")</f>
        <v/>
      </c>
      <c r="I56" s="150"/>
      <c r="K56" s="138" t="str">
        <f>IF(AND(STATS!C52="BOF",STATS!U52&gt;0),"YES","")</f>
        <v/>
      </c>
      <c r="L56" s="151"/>
      <c r="M56" s="194"/>
    </row>
    <row r="57" spans="1:13" x14ac:dyDescent="0.25">
      <c r="A57" s="139">
        <f>STATS!E53</f>
        <v>596</v>
      </c>
      <c r="B57" s="139" t="str">
        <f>STATS!G53</f>
        <v>MM81 I84</v>
      </c>
      <c r="C57" s="136" t="str">
        <f>IF(AND(STATS!C53="SWS",STATS!S53&gt;0),"YES","")</f>
        <v/>
      </c>
      <c r="D57" s="136"/>
      <c r="E57" s="136" t="str">
        <f>IF(AND(STATS!C53="SWS",STATS!T53&gt;0),"YES","")</f>
        <v/>
      </c>
      <c r="F57" s="19"/>
      <c r="H57" s="137" t="str">
        <f>IF(AND(STATS!C53="BOD",STATS!U53&gt;0),"YES","")</f>
        <v/>
      </c>
      <c r="I57" s="150"/>
      <c r="K57" s="138" t="str">
        <f>IF(AND(STATS!C53="BOF",STATS!U53&gt;0),"YES","")</f>
        <v/>
      </c>
      <c r="L57" s="151"/>
      <c r="M57" s="194"/>
    </row>
    <row r="58" spans="1:13" x14ac:dyDescent="0.25">
      <c r="A58" s="139">
        <f>STATS!E54</f>
        <v>601</v>
      </c>
      <c r="B58" s="139" t="str">
        <f>STATS!G54</f>
        <v>MM8 I84</v>
      </c>
      <c r="C58" s="136" t="str">
        <f>IF(AND(STATS!C54="SWS",STATS!S54&gt;0),"YES","")</f>
        <v/>
      </c>
      <c r="D58" s="136"/>
      <c r="E58" s="136" t="str">
        <f>IF(AND(STATS!C54="SWS",STATS!T54&gt;0),"YES","")</f>
        <v/>
      </c>
      <c r="F58" s="19"/>
      <c r="H58" s="137" t="str">
        <f>IF(AND(STATS!C54="BOD",STATS!U54&gt;0),"YES","")</f>
        <v/>
      </c>
      <c r="I58" s="150"/>
      <c r="K58" s="138" t="str">
        <f>IF(AND(STATS!C54="BOF",STATS!U54&gt;0),"YES","")</f>
        <v/>
      </c>
      <c r="L58" s="151"/>
      <c r="M58" s="194"/>
    </row>
    <row r="59" spans="1:13" x14ac:dyDescent="0.25">
      <c r="A59" s="139">
        <f>STATS!E55</f>
        <v>604</v>
      </c>
      <c r="B59" s="139" t="str">
        <f>STATS!G55</f>
        <v>MM84 I84</v>
      </c>
      <c r="C59" s="136" t="str">
        <f>IF(AND(STATS!C55="SWS",STATS!S55&gt;0),"YES","")</f>
        <v/>
      </c>
      <c r="D59" s="136"/>
      <c r="E59" s="136" t="str">
        <f>IF(AND(STATS!C55="SWS",STATS!T55&gt;0),"YES","")</f>
        <v/>
      </c>
      <c r="F59" s="19"/>
      <c r="H59" s="137" t="str">
        <f>IF(AND(STATS!C55="BOD",STATS!U55&gt;0),"YES","")</f>
        <v/>
      </c>
      <c r="I59" s="150"/>
      <c r="K59" s="138" t="str">
        <f>IF(AND(STATS!C55="BOF",STATS!U55&gt;0),"YES","")</f>
        <v/>
      </c>
      <c r="L59" s="151"/>
      <c r="M59" s="194"/>
    </row>
    <row r="60" spans="1:13" x14ac:dyDescent="0.25">
      <c r="A60" s="139">
        <f>STATS!E56</f>
        <v>621</v>
      </c>
      <c r="B60" s="139" t="str">
        <f>STATS!G56</f>
        <v>CAVES</v>
      </c>
      <c r="C60" s="136" t="str">
        <f>IF(AND(STATS!C56="SWS",STATS!S56&gt;0),"YES","")</f>
        <v/>
      </c>
      <c r="D60" s="136"/>
      <c r="E60" s="136" t="str">
        <f>IF(AND(STATS!C56="SWS",STATS!T56&gt;0),"YES","")</f>
        <v/>
      </c>
      <c r="F60" s="19"/>
      <c r="H60" s="137" t="str">
        <f>IF(AND(STATS!C56="BOD",STATS!U56&gt;0),"YES","")</f>
        <v/>
      </c>
      <c r="I60" s="150"/>
      <c r="K60" s="138" t="str">
        <f>IF(AND(STATS!C56="BOF",STATS!U56&gt;0),"YES","")</f>
        <v/>
      </c>
      <c r="L60" s="151"/>
      <c r="M60" s="194"/>
    </row>
    <row r="61" spans="1:13" x14ac:dyDescent="0.25">
      <c r="A61" s="139">
        <f>STATS!E57</f>
        <v>628</v>
      </c>
      <c r="B61" s="139" t="str">
        <f>STATS!G57</f>
        <v>TENCOLE</v>
      </c>
      <c r="C61" s="136" t="str">
        <f>IF(AND(STATS!C57="SWS",STATS!S57&gt;0),"YES","")</f>
        <v/>
      </c>
      <c r="D61" s="136"/>
      <c r="E61" s="136" t="str">
        <f>IF(AND(STATS!C57="SWS",STATS!T57&gt;0),"YES","")</f>
        <v/>
      </c>
      <c r="F61" s="19"/>
      <c r="H61" s="137" t="str">
        <f>IF(AND(STATS!C57="BOD",STATS!U57&gt;0),"YES","")</f>
        <v/>
      </c>
      <c r="I61" s="150"/>
      <c r="K61" s="138" t="str">
        <f>IF(AND(STATS!C57="BOF",STATS!U57&gt;0),"YES","")</f>
        <v/>
      </c>
      <c r="L61" s="151"/>
      <c r="M61" s="194"/>
    </row>
    <row r="62" spans="1:13" ht="14.25" customHeight="1" x14ac:dyDescent="0.25">
      <c r="A62" s="139">
        <f>STATS!E58</f>
        <v>627</v>
      </c>
      <c r="B62" s="139" t="str">
        <f>STATS!G58</f>
        <v>HOMER</v>
      </c>
      <c r="C62" s="136" t="str">
        <f>IF(AND(STATS!C58="SWS",STATS!S58&gt;0),"YES","")</f>
        <v/>
      </c>
      <c r="D62" s="136"/>
      <c r="E62" s="136" t="str">
        <f>IF(AND(STATS!C58="SWS",STATS!T58&gt;0),"YES","")</f>
        <v/>
      </c>
      <c r="F62" s="19"/>
      <c r="H62" s="137" t="str">
        <f>IF(AND(STATS!C58="BOD",STATS!U58&gt;0),"YES","")</f>
        <v/>
      </c>
      <c r="I62" s="150"/>
      <c r="K62" s="138" t="str">
        <f>IF(AND(STATS!C58="BOF",STATS!U58&gt;0),"YES","")</f>
        <v/>
      </c>
      <c r="L62" s="151"/>
      <c r="M62" s="194"/>
    </row>
    <row r="63" spans="1:13" x14ac:dyDescent="0.25">
      <c r="A63" s="139">
        <f>STATS!E59</f>
        <v>630</v>
      </c>
      <c r="B63" s="139" t="str">
        <f>STATS!G59</f>
        <v>DISCOVER</v>
      </c>
      <c r="C63" s="136" t="str">
        <f>IF(AND(STATS!C59="SWS",STATS!S59&gt;0),"YES","")</f>
        <v/>
      </c>
      <c r="D63" s="136"/>
      <c r="E63" s="136" t="str">
        <f>IF(AND(STATS!C59="SWS",STATS!T59&gt;0),"YES","")</f>
        <v/>
      </c>
      <c r="F63" s="19"/>
      <c r="H63" s="137" t="str">
        <f>IF(AND(STATS!C59="BOD",STATS!U59&gt;0),"YES","")</f>
        <v>YES</v>
      </c>
      <c r="I63" s="150" t="s">
        <v>231</v>
      </c>
      <c r="K63" s="138" t="str">
        <f>IF(AND(STATS!C59="BOF",STATS!U59&gt;0),"YES","")</f>
        <v/>
      </c>
      <c r="L63" s="151"/>
      <c r="M63" s="194"/>
    </row>
    <row r="64" spans="1:13" x14ac:dyDescent="0.25">
      <c r="A64" s="139">
        <f>STATS!E60</f>
        <v>632</v>
      </c>
      <c r="B64" s="139" t="str">
        <f>STATS!G60</f>
        <v>MACK</v>
      </c>
      <c r="C64" s="136" t="str">
        <f>IF(AND(STATS!C60="SWS",STATS!S60&gt;0),"YES","")</f>
        <v/>
      </c>
      <c r="D64" s="136"/>
      <c r="E64" s="136" t="str">
        <f>IF(AND(STATS!C60="SWS",STATS!T60&gt;0),"YES","")</f>
        <v>YES</v>
      </c>
      <c r="F64" s="19" t="s">
        <v>231</v>
      </c>
      <c r="H64" s="137" t="str">
        <f>IF(AND(STATS!C60="BOD",STATS!U60&gt;0),"YES","")</f>
        <v/>
      </c>
      <c r="I64" s="150"/>
      <c r="K64" s="138" t="str">
        <f>IF(AND(STATS!C60="BOF",STATS!U60&gt;0),"YES","")</f>
        <v/>
      </c>
      <c r="L64" s="151"/>
      <c r="M64" s="194"/>
    </row>
    <row r="65" spans="1:13" x14ac:dyDescent="0.25">
      <c r="A65" s="139">
        <f>STATS!E61</f>
        <v>633</v>
      </c>
      <c r="B65" s="139" t="str">
        <f>STATS!G61</f>
        <v>TINYFREE</v>
      </c>
      <c r="C65" s="136" t="str">
        <f>IF(AND(STATS!C61="SWS",STATS!S61&gt;0),"YES","")</f>
        <v/>
      </c>
      <c r="D65" s="136"/>
      <c r="E65" s="136" t="str">
        <f>IF(AND(STATS!C61="SWS",STATS!T61&gt;0),"YES","")</f>
        <v/>
      </c>
      <c r="F65" s="19"/>
      <c r="H65" s="137" t="str">
        <f>IF(AND(STATS!C61="BOD",STATS!U61&gt;0),"YES","")</f>
        <v/>
      </c>
      <c r="I65" s="150"/>
      <c r="K65" s="138" t="str">
        <f>IF(AND(STATS!C61="BOF",STATS!U61&gt;0),"YES","")</f>
        <v/>
      </c>
      <c r="L65" s="151"/>
      <c r="M65" s="194"/>
    </row>
    <row r="66" spans="1:13" x14ac:dyDescent="0.25">
      <c r="A66" s="139">
        <f>STATS!E62</f>
        <v>635</v>
      </c>
      <c r="B66" s="139" t="str">
        <f>STATS!G62</f>
        <v>EASTROSS</v>
      </c>
      <c r="C66" s="136" t="str">
        <f>IF(AND(STATS!C62="SWS",STATS!S62&gt;0),"YES","")</f>
        <v/>
      </c>
      <c r="D66" s="136"/>
      <c r="E66" s="136" t="str">
        <f>IF(AND(STATS!C62="SWS",STATS!T62&gt;0),"YES","")</f>
        <v/>
      </c>
      <c r="F66" s="19"/>
      <c r="H66" s="137" t="str">
        <f>IF(AND(STATS!C62="BOD",STATS!U62&gt;0),"YES","")</f>
        <v/>
      </c>
      <c r="I66" s="150"/>
      <c r="K66" s="138" t="str">
        <f>IF(AND(STATS!C62="BOF",STATS!U62&gt;0),"YES","")</f>
        <v/>
      </c>
      <c r="L66" s="151"/>
      <c r="M66" s="194"/>
    </row>
    <row r="67" spans="1:13" x14ac:dyDescent="0.25">
      <c r="A67" s="139">
        <f>STATS!E63</f>
        <v>636</v>
      </c>
      <c r="B67" s="139" t="str">
        <f>STATS!G63</f>
        <v>MM37 HWY78</v>
      </c>
      <c r="C67" s="136" t="str">
        <f>IF(AND(STATS!C63="SWS",STATS!S63&gt;0),"YES","")</f>
        <v/>
      </c>
      <c r="D67" s="136"/>
      <c r="E67" s="136" t="str">
        <f>IF(AND(STATS!C63="SWS",STATS!T63&gt;0),"YES","")</f>
        <v/>
      </c>
      <c r="F67" s="19"/>
      <c r="H67" s="137" t="str">
        <f>IF(AND(STATS!C63="BOD",STATS!U63&gt;0),"YES","")</f>
        <v/>
      </c>
      <c r="I67" s="150"/>
      <c r="K67" s="138" t="str">
        <f>IF(AND(STATS!C63="BOF",STATS!U63&gt;0),"YES","")</f>
        <v/>
      </c>
      <c r="L67" s="151"/>
      <c r="M67" s="194"/>
    </row>
    <row r="68" spans="1:13" x14ac:dyDescent="0.25">
      <c r="A68" s="139">
        <f>STATS!E64</f>
        <v>645</v>
      </c>
      <c r="B68" s="139" t="str">
        <f>STATS!G64</f>
        <v>NORDIFER</v>
      </c>
      <c r="C68" s="136" t="str">
        <f>IF(AND(STATS!C64="SWS",STATS!S64&gt;0),"YES","")</f>
        <v/>
      </c>
      <c r="D68" s="136"/>
      <c r="E68" s="136" t="str">
        <f>IF(AND(STATS!C64="SWS",STATS!T64&gt;0),"YES","")</f>
        <v/>
      </c>
      <c r="F68" s="19"/>
      <c r="H68" s="137" t="str">
        <f>IF(AND(STATS!C64="BOD",STATS!U64&gt;0),"YES","")</f>
        <v/>
      </c>
      <c r="I68" s="150"/>
      <c r="K68" s="138" t="str">
        <f>IF(AND(STATS!C64="BOF",STATS!U64&gt;0),"YES","")</f>
        <v/>
      </c>
      <c r="L68" s="151"/>
      <c r="M68" s="194"/>
    </row>
    <row r="69" spans="1:13" x14ac:dyDescent="0.25">
      <c r="A69" s="139">
        <f>STATS!E65</f>
        <v>653</v>
      </c>
      <c r="B69" s="139" t="str">
        <f>STATS!G65</f>
        <v>FORK</v>
      </c>
      <c r="C69" s="136" t="str">
        <f>IF(AND(STATS!C65="SWS",STATS!S65&gt;0),"YES","")</f>
        <v/>
      </c>
      <c r="D69" s="136"/>
      <c r="E69" s="136" t="str">
        <f>IF(AND(STATS!C65="SWS",STATS!T65&gt;0),"YES","")</f>
        <v/>
      </c>
      <c r="F69" s="19"/>
      <c r="H69" s="137" t="str">
        <f>IF(AND(STATS!C65="BOD",STATS!U65&gt;0),"YES","")</f>
        <v/>
      </c>
      <c r="I69" s="150"/>
      <c r="K69" s="138" t="str">
        <f>IF(AND(STATS!C65="BOF",STATS!U65&gt;0),"YES","")</f>
        <v/>
      </c>
      <c r="L69" s="151"/>
      <c r="M69" s="194"/>
    </row>
    <row r="70" spans="1:13" x14ac:dyDescent="0.25">
      <c r="A70" s="139">
        <f>STATS!E66</f>
        <v>654</v>
      </c>
      <c r="B70" s="139" t="str">
        <f>STATS!G66</f>
        <v>GOLDEN</v>
      </c>
      <c r="C70" s="136" t="str">
        <f>IF(AND(STATS!C66="SWS",STATS!S66&gt;0),"YES","")</f>
        <v/>
      </c>
      <c r="D70" s="136"/>
      <c r="E70" s="136" t="str">
        <f>IF(AND(STATS!C66="SWS",STATS!T66&gt;0),"YES","")</f>
        <v/>
      </c>
      <c r="F70" s="19"/>
      <c r="H70" s="137" t="str">
        <f>IF(AND(STATS!C66="BOD",STATS!U66&gt;0),"YES","")</f>
        <v/>
      </c>
      <c r="I70" s="150"/>
      <c r="K70" s="138" t="str">
        <f>IF(AND(STATS!C66="BOF",STATS!U66&gt;0),"YES","")</f>
        <v/>
      </c>
      <c r="L70" s="151"/>
      <c r="M70" s="194"/>
    </row>
    <row r="71" spans="1:13" x14ac:dyDescent="0.25">
      <c r="A71" s="139">
        <f>STATS!E67</f>
        <v>657</v>
      </c>
      <c r="B71" s="139" t="str">
        <f>STATS!G67</f>
        <v>HART</v>
      </c>
      <c r="C71" s="136" t="str">
        <f>IF(AND(STATS!C67="SWS",STATS!S67&gt;0),"YES","")</f>
        <v/>
      </c>
      <c r="D71" s="136"/>
      <c r="E71" s="136" t="str">
        <f>IF(AND(STATS!C67="SWS",STATS!T67&gt;0),"YES","")</f>
        <v/>
      </c>
      <c r="F71" s="19"/>
      <c r="H71" s="137" t="str">
        <f>IF(AND(STATS!C67="BOD",STATS!U67&gt;0),"YES","")</f>
        <v/>
      </c>
      <c r="I71" s="150"/>
      <c r="K71" s="138" t="str">
        <f>IF(AND(STATS!C67="BOF",STATS!U67&gt;0),"YES","")</f>
        <v/>
      </c>
      <c r="L71" s="151"/>
      <c r="M71" s="194"/>
    </row>
    <row r="72" spans="1:13" x14ac:dyDescent="0.25">
      <c r="A72" s="139">
        <f>STATS!E68</f>
        <v>663</v>
      </c>
      <c r="B72" s="139" t="str">
        <f>STATS!G68</f>
        <v>DITTO</v>
      </c>
      <c r="C72" s="136" t="str">
        <f>IF(AND(STATS!C68="SWS",STATS!S68&gt;0),"YES","")</f>
        <v/>
      </c>
      <c r="D72" s="136"/>
      <c r="E72" s="136" t="str">
        <f>IF(AND(STATS!C68="SWS",STATS!T68&gt;0),"YES","")</f>
        <v/>
      </c>
      <c r="F72" s="19"/>
      <c r="H72" s="137" t="str">
        <f>IF(AND(STATS!C68="BOD",STATS!U68&gt;0),"YES","")</f>
        <v/>
      </c>
      <c r="I72" s="150"/>
      <c r="K72" s="138" t="str">
        <f>IF(AND(STATS!C68="BOF",STATS!U68&gt;0),"YES","")</f>
        <v/>
      </c>
      <c r="L72" s="151"/>
      <c r="M72" s="194"/>
    </row>
    <row r="73" spans="1:13" x14ac:dyDescent="0.25">
      <c r="A73" s="139">
        <f>STATS!E69</f>
        <v>667</v>
      </c>
      <c r="B73" s="139" t="str">
        <f>STATS!G69</f>
        <v>SOSIM</v>
      </c>
      <c r="C73" s="136" t="str">
        <f>IF(AND(STATS!C69="SWS",STATS!S69&gt;0),"YES","")</f>
        <v/>
      </c>
      <c r="D73" s="136"/>
      <c r="E73" s="136" t="str">
        <f>IF(AND(STATS!C69="SWS",STATS!T69&gt;0),"YES","")</f>
        <v/>
      </c>
      <c r="F73" s="19"/>
      <c r="H73" s="137" t="str">
        <f>IF(AND(STATS!C69="BOD",STATS!U69&gt;0),"YES","")</f>
        <v/>
      </c>
      <c r="I73" s="150"/>
      <c r="K73" s="138" t="str">
        <f>IF(AND(STATS!C69="BOF",STATS!U69&gt;0),"YES","")</f>
        <v/>
      </c>
      <c r="L73" s="151"/>
      <c r="M73" s="194"/>
    </row>
    <row r="74" spans="1:13" x14ac:dyDescent="0.25">
      <c r="A74" s="139">
        <f>STATS!E70</f>
        <v>715</v>
      </c>
      <c r="B74" s="139" t="str">
        <f>STATS!G70</f>
        <v>TENMILE</v>
      </c>
      <c r="C74" s="136" t="str">
        <f>IF(AND(STATS!C70="SWS",STATS!S70&gt;0),"YES","")</f>
        <v/>
      </c>
      <c r="D74" s="136"/>
      <c r="E74" s="136" t="str">
        <f>IF(AND(STATS!C70="SWS",STATS!T70&gt;0),"YES","")</f>
        <v/>
      </c>
      <c r="F74" s="19"/>
      <c r="H74" s="137" t="str">
        <f>IF(AND(STATS!C70="BOD",STATS!U70&gt;0),"YES","")</f>
        <v/>
      </c>
      <c r="I74" s="150"/>
      <c r="K74" s="138" t="str">
        <f>IF(AND(STATS!C70="BOF",STATS!U70&gt;0),"YES","")</f>
        <v/>
      </c>
      <c r="L74" s="151"/>
      <c r="M74" s="194"/>
    </row>
    <row r="75" spans="1:13" x14ac:dyDescent="0.25">
      <c r="A75" s="139">
        <f>STATS!E71</f>
        <v>716</v>
      </c>
      <c r="B75" s="139" t="str">
        <f>STATS!G71</f>
        <v>ROCKY</v>
      </c>
      <c r="C75" s="136" t="str">
        <f>IF(AND(STATS!C71="SWS",STATS!S71&gt;0),"YES","")</f>
        <v/>
      </c>
      <c r="D75" s="136"/>
      <c r="E75" s="136" t="str">
        <f>IF(AND(STATS!C71="SWS",STATS!T71&gt;0),"YES","")</f>
        <v/>
      </c>
      <c r="F75" s="19"/>
      <c r="H75" s="137" t="str">
        <f>IF(AND(STATS!C71="BOD",STATS!U71&gt;0),"YES","")</f>
        <v/>
      </c>
      <c r="I75" s="150"/>
      <c r="K75" s="138" t="str">
        <f>IF(AND(STATS!C71="BOF",STATS!U71&gt;0),"YES","")</f>
        <v/>
      </c>
      <c r="L75" s="151"/>
      <c r="M75" s="194"/>
    </row>
    <row r="76" spans="1:13" x14ac:dyDescent="0.25">
      <c r="A76" s="139">
        <f>STATS!E72</f>
        <v>720</v>
      </c>
      <c r="B76" s="139" t="str">
        <f>STATS!G72</f>
        <v xml:space="preserve"> NORSOM</v>
      </c>
      <c r="C76" s="136" t="str">
        <f>IF(AND(STATS!C72="SWS",STATS!S72&gt;0),"YES","")</f>
        <v/>
      </c>
      <c r="D76" s="136"/>
      <c r="E76" s="136" t="str">
        <f>IF(AND(STATS!C72="SWS",STATS!T72&gt;0),"YES","")</f>
        <v/>
      </c>
      <c r="F76" s="19"/>
      <c r="H76" s="137" t="str">
        <f>IF(AND(STATS!C72="BOD",STATS!U72&gt;0),"YES","")</f>
        <v/>
      </c>
      <c r="I76" s="150"/>
      <c r="K76" s="138" t="str">
        <f>IF(AND(STATS!C72="BOF",STATS!U72&gt;0),"YES","")</f>
        <v/>
      </c>
      <c r="L76" s="151"/>
      <c r="M76" s="194"/>
    </row>
    <row r="77" spans="1:13" x14ac:dyDescent="0.25">
      <c r="A77" s="139">
        <f>STATS!E73</f>
        <v>721</v>
      </c>
      <c r="B77" s="139" t="str">
        <f>STATS!G73</f>
        <v>GOTTS</v>
      </c>
      <c r="C77" s="136" t="str">
        <f>IF(AND(STATS!C73="SWS",STATS!S73&gt;0),"YES","")</f>
        <v/>
      </c>
      <c r="D77" s="136"/>
      <c r="E77" s="136" t="str">
        <f>IF(AND(STATS!C73="SWS",STATS!T73&gt;0),"YES","")</f>
        <v/>
      </c>
      <c r="F77" s="19"/>
      <c r="H77" s="137" t="str">
        <f>IF(AND(STATS!C73="BOD",STATS!U73&gt;0),"YES","")</f>
        <v/>
      </c>
      <c r="I77" s="150"/>
      <c r="K77" s="138" t="str">
        <f>IF(AND(STATS!C73="BOF",STATS!U73&gt;0),"YES","")</f>
        <v/>
      </c>
      <c r="L77" s="151"/>
      <c r="M77" s="194"/>
    </row>
    <row r="78" spans="1:13" x14ac:dyDescent="0.25">
      <c r="A78" s="139">
        <f>STATS!E74</f>
        <v>723</v>
      </c>
      <c r="B78" s="139" t="str">
        <f>STATS!G74</f>
        <v>NOSTAND</v>
      </c>
      <c r="C78" s="136" t="str">
        <f>IF(AND(STATS!C74="SWS",STATS!S74&gt;0),"YES","")</f>
        <v/>
      </c>
      <c r="D78" s="136"/>
      <c r="E78" s="136" t="str">
        <f>IF(AND(STATS!C74="SWS",STATS!T74&gt;0),"YES","")</f>
        <v/>
      </c>
      <c r="F78" s="19"/>
      <c r="H78" s="137" t="str">
        <f>IF(AND(STATS!C74="BOD",STATS!U74&gt;0),"YES","")</f>
        <v/>
      </c>
      <c r="I78" s="150"/>
      <c r="K78" s="138" t="str">
        <f>IF(AND(STATS!C74="BOF",STATS!U74&gt;0),"YES","")</f>
        <v/>
      </c>
      <c r="L78" s="151"/>
      <c r="M78" s="194"/>
    </row>
    <row r="79" spans="1:13" x14ac:dyDescent="0.25">
      <c r="A79" s="139">
        <f>STATS!E75</f>
        <v>724</v>
      </c>
      <c r="B79" s="139" t="str">
        <f>STATS!G75</f>
        <v>HAHN</v>
      </c>
      <c r="C79" s="136" t="str">
        <f>IF(AND(STATS!C75="SWS",STATS!S75&gt;0),"YES","")</f>
        <v/>
      </c>
      <c r="D79" s="136"/>
      <c r="E79" s="136" t="str">
        <f>IF(AND(STATS!C75="SWS",STATS!T75&gt;0),"YES","")</f>
        <v/>
      </c>
      <c r="F79" s="19"/>
      <c r="H79" s="137" t="str">
        <f>IF(AND(STATS!C75="BOD",STATS!U75&gt;0),"YES","")</f>
        <v/>
      </c>
      <c r="I79" s="150"/>
      <c r="K79" s="138" t="str">
        <f>IF(AND(STATS!C75="BOF",STATS!U75&gt;0),"YES","")</f>
        <v/>
      </c>
      <c r="L79" s="151"/>
      <c r="M79" s="194"/>
    </row>
    <row r="80" spans="1:13" x14ac:dyDescent="0.25">
      <c r="A80" s="139">
        <f>STATS!E76</f>
        <v>732</v>
      </c>
      <c r="B80" s="139" t="str">
        <f>STATS!G76</f>
        <v>ROSS</v>
      </c>
      <c r="C80" s="136" t="str">
        <f>IF(AND(STATS!C76="SWS",STATS!S76&gt;0),"YES","")</f>
        <v/>
      </c>
      <c r="D80" s="136"/>
      <c r="E80" s="136" t="str">
        <f>IF(AND(STATS!C76="SWS",STATS!T76&gt;0),"YES","")</f>
        <v/>
      </c>
      <c r="F80" s="19"/>
      <c r="H80" s="137" t="str">
        <f>IF(AND(STATS!C76="BOD",STATS!U76&gt;0),"YES","")</f>
        <v/>
      </c>
      <c r="I80" s="150"/>
      <c r="K80" s="138" t="str">
        <f>IF(AND(STATS!C76="BOF",STATS!U76&gt;0),"YES","")</f>
        <v/>
      </c>
      <c r="L80" s="151"/>
      <c r="M80" s="194"/>
    </row>
    <row r="81" spans="1:13" x14ac:dyDescent="0.25">
      <c r="A81" s="139">
        <f>STATS!E77</f>
        <v>733</v>
      </c>
      <c r="B81" s="139" t="str">
        <f>STATS!G77</f>
        <v>HOHUMM</v>
      </c>
      <c r="C81" s="136" t="str">
        <f>IF(AND(STATS!C77="SWS",STATS!S77&gt;0),"YES","")</f>
        <v/>
      </c>
      <c r="D81" s="136"/>
      <c r="E81" s="136" t="str">
        <f>IF(AND(STATS!C77="SWS",STATS!T77&gt;0),"YES","")</f>
        <v/>
      </c>
      <c r="F81" s="19"/>
      <c r="H81" s="137" t="str">
        <f>IF(AND(STATS!C77="BOD",STATS!U77&gt;0),"YES","")</f>
        <v/>
      </c>
      <c r="I81" s="150"/>
      <c r="K81" s="138" t="str">
        <f>IF(AND(STATS!C77="BOF",STATS!U77&gt;0),"YES","")</f>
        <v/>
      </c>
      <c r="L81" s="151"/>
      <c r="M81" s="194"/>
    </row>
    <row r="82" spans="1:13" x14ac:dyDescent="0.25">
      <c r="A82" s="139">
        <f>STATS!E78</f>
        <v>743</v>
      </c>
      <c r="B82" s="139" t="str">
        <f>STATS!G78</f>
        <v>NAMELESS</v>
      </c>
      <c r="C82" s="136" t="str">
        <f>IF(AND(STATS!C78="SWS",STATS!S78&gt;0),"YES","")</f>
        <v/>
      </c>
      <c r="D82" s="136"/>
      <c r="E82" s="136" t="str">
        <f>IF(AND(STATS!C78="SWS",STATS!T78&gt;0),"YES","")</f>
        <v/>
      </c>
      <c r="F82" s="19"/>
      <c r="H82" s="137" t="str">
        <f>IF(AND(STATS!C78="BOD",STATS!U78&gt;0),"YES","")</f>
        <v/>
      </c>
      <c r="I82" s="150"/>
      <c r="K82" s="138" t="str">
        <f>IF(AND(STATS!C78="BOF",STATS!U78&gt;0),"YES","")</f>
        <v/>
      </c>
      <c r="L82" s="151"/>
      <c r="M82" s="194"/>
    </row>
    <row r="83" spans="1:13" x14ac:dyDescent="0.25">
      <c r="A83" s="139">
        <f>STATS!E79</f>
        <v>747</v>
      </c>
      <c r="B83" s="139" t="str">
        <f>STATS!G79</f>
        <v>MM6 HWY167</v>
      </c>
      <c r="C83" s="136" t="str">
        <f>IF(AND(STATS!C79="SWS",STATS!S79&gt;0),"YES","")</f>
        <v/>
      </c>
      <c r="D83" s="136"/>
      <c r="E83" s="136" t="str">
        <f>IF(AND(STATS!C79="SWS",STATS!T79&gt;0),"YES","")</f>
        <v/>
      </c>
      <c r="F83" s="19"/>
      <c r="H83" s="137" t="str">
        <f>IF(AND(STATS!C79="BOD",STATS!U79&gt;0),"YES","")</f>
        <v/>
      </c>
      <c r="I83" s="150"/>
      <c r="K83" s="138" t="str">
        <f>IF(AND(STATS!C79="BOF",STATS!U79&gt;0),"YES","")</f>
        <v/>
      </c>
      <c r="L83" s="151"/>
      <c r="M83" s="194"/>
    </row>
    <row r="84" spans="1:13" x14ac:dyDescent="0.25">
      <c r="A84" s="139">
        <f>STATS!E80</f>
        <v>748</v>
      </c>
      <c r="B84" s="139" t="str">
        <f>STATS!G80</f>
        <v>SECOND</v>
      </c>
      <c r="C84" s="136" t="str">
        <f>IF(AND(STATS!C80="SWS",STATS!S80&gt;0),"YES","")</f>
        <v/>
      </c>
      <c r="D84" s="136"/>
      <c r="E84" s="136" t="str">
        <f>IF(AND(STATS!C80="SWS",STATS!T80&gt;0),"YES","")</f>
        <v/>
      </c>
      <c r="F84" s="19"/>
      <c r="H84" s="137" t="str">
        <f>IF(AND(STATS!C80="BOD",STATS!U80&gt;0),"YES","")</f>
        <v/>
      </c>
      <c r="I84" s="150"/>
      <c r="K84" s="138" t="str">
        <f>IF(AND(STATS!C80="BOF",STATS!U80&gt;0),"YES","")</f>
        <v/>
      </c>
      <c r="L84" s="151"/>
      <c r="M84" s="194"/>
    </row>
    <row r="85" spans="1:13" x14ac:dyDescent="0.25">
      <c r="A85" s="139">
        <f>STATS!E81</f>
        <v>751</v>
      </c>
      <c r="B85" s="139" t="str">
        <f>STATS!G81</f>
        <v>TROUT</v>
      </c>
      <c r="C85" s="136" t="str">
        <f>IF(AND(STATS!C81="SWS",STATS!S81&gt;0),"YES","")</f>
        <v/>
      </c>
      <c r="D85" s="136"/>
      <c r="E85" s="136" t="str">
        <f>IF(AND(STATS!C81="SWS",STATS!T81&gt;0),"YES","")</f>
        <v/>
      </c>
      <c r="F85" s="19"/>
      <c r="H85" s="137" t="str">
        <f>IF(AND(STATS!C81="BOD",STATS!U81&gt;0),"YES","")</f>
        <v/>
      </c>
      <c r="I85" s="150"/>
      <c r="K85" s="138" t="str">
        <f>IF(AND(STATS!C81="BOF",STATS!U81&gt;0),"YES","")</f>
        <v/>
      </c>
      <c r="L85" s="151"/>
      <c r="M85" s="194"/>
    </row>
    <row r="86" spans="1:13" x14ac:dyDescent="0.25">
      <c r="A86" s="139">
        <f>STATS!E82</f>
        <v>752</v>
      </c>
      <c r="B86" s="139" t="str">
        <f>STATS!G82</f>
        <v>BIGFOOT</v>
      </c>
      <c r="C86" s="136" t="str">
        <f>IF(AND(STATS!C82="SWS",STATS!S82&gt;0),"YES","")</f>
        <v/>
      </c>
      <c r="D86" s="136"/>
      <c r="E86" s="136" t="str">
        <f>IF(AND(STATS!C82="SWS",STATS!T82&gt;0),"YES","")</f>
        <v/>
      </c>
      <c r="F86" s="19"/>
      <c r="H86" s="137" t="str">
        <f>IF(AND(STATS!C82="BOD",STATS!U82&gt;0),"YES","")</f>
        <v/>
      </c>
      <c r="I86" s="150"/>
      <c r="K86" s="138" t="str">
        <f>IF(AND(STATS!C82="BOF",STATS!U82&gt;0),"YES","")</f>
        <v/>
      </c>
      <c r="L86" s="151"/>
      <c r="M86" s="194"/>
    </row>
    <row r="87" spans="1:13" x14ac:dyDescent="0.25">
      <c r="A87" s="139">
        <f>STATS!E83</f>
        <v>753</v>
      </c>
      <c r="B87" s="139" t="str">
        <f>STATS!G83</f>
        <v xml:space="preserve">GOLD </v>
      </c>
      <c r="C87" s="136" t="str">
        <f>IF(AND(STATS!C83="SWS",STATS!S83&gt;0),"YES","")</f>
        <v/>
      </c>
      <c r="D87" s="136"/>
      <c r="E87" s="136" t="str">
        <f>IF(AND(STATS!C83="SWS",STATS!T83&gt;0),"YES","")</f>
        <v/>
      </c>
      <c r="F87" s="19"/>
      <c r="H87" s="137" t="str">
        <f>IF(AND(STATS!C83="BOD",STATS!U83&gt;0),"YES","")</f>
        <v/>
      </c>
      <c r="I87" s="150"/>
      <c r="K87" s="138" t="str">
        <f>IF(AND(STATS!C83="BOF",STATS!U83&gt;0),"YES","")</f>
        <v/>
      </c>
      <c r="L87" s="151"/>
      <c r="M87" s="194"/>
    </row>
    <row r="88" spans="1:13" x14ac:dyDescent="0.25">
      <c r="A88" s="139">
        <f>STATS!E84</f>
        <v>758</v>
      </c>
      <c r="B88" s="139" t="str">
        <f>STATS!G84</f>
        <v>RATTLE</v>
      </c>
      <c r="C88" s="136" t="str">
        <f>IF(AND(STATS!C84="SWS",STATS!S84&gt;0),"YES","")</f>
        <v/>
      </c>
      <c r="D88" s="136"/>
      <c r="E88" s="136" t="str">
        <f>IF(AND(STATS!C84="SWS",STATS!T84&gt;0),"YES","")</f>
        <v/>
      </c>
      <c r="F88" s="19"/>
      <c r="H88" s="137" t="str">
        <f>IF(AND(STATS!C84="BOD",STATS!U84&gt;0),"YES","")</f>
        <v/>
      </c>
      <c r="I88" s="150"/>
      <c r="K88" s="138" t="str">
        <f>IF(AND(STATS!C84="BOF",STATS!U84&gt;0),"YES","")</f>
        <v/>
      </c>
      <c r="L88" s="151"/>
      <c r="M88" s="194"/>
    </row>
    <row r="89" spans="1:13" x14ac:dyDescent="0.25">
      <c r="A89" s="139">
        <f>STATS!E85</f>
        <v>763</v>
      </c>
      <c r="B89" s="139" t="str">
        <f>STATS!G85</f>
        <v>BYPASS</v>
      </c>
      <c r="C89" s="136" t="str">
        <f>IF(AND(STATS!C85="SWS",STATS!S85&gt;0),"YES","")</f>
        <v/>
      </c>
      <c r="D89" s="136"/>
      <c r="E89" s="136" t="str">
        <f>IF(AND(STATS!C85="SWS",STATS!T85&gt;0),"YES","")</f>
        <v/>
      </c>
      <c r="F89" s="19"/>
      <c r="H89" s="137" t="str">
        <f>IF(AND(STATS!C85="BOD",STATS!U85&gt;0),"YES","")</f>
        <v/>
      </c>
      <c r="I89" s="150"/>
      <c r="K89" s="138" t="str">
        <f>IF(AND(STATS!C85="BOF",STATS!U85&gt;0),"YES","")</f>
        <v/>
      </c>
      <c r="L89" s="151"/>
      <c r="M89" s="194"/>
    </row>
    <row r="90" spans="1:13" x14ac:dyDescent="0.25">
      <c r="A90" s="139">
        <f>STATS!E86</f>
        <v>764</v>
      </c>
      <c r="B90" s="139" t="str">
        <f>STATS!G86</f>
        <v>JOHNNY</v>
      </c>
      <c r="C90" s="136" t="str">
        <f>IF(AND(STATS!C86="SWS",STATS!S86&gt;0),"YES","")</f>
        <v/>
      </c>
      <c r="D90" s="136"/>
      <c r="E90" s="136" t="str">
        <f>IF(AND(STATS!C86="SWS",STATS!T86&gt;0),"YES","")</f>
        <v/>
      </c>
      <c r="F90" s="19"/>
      <c r="H90" s="137" t="str">
        <f>IF(AND(STATS!C86="BOD",STATS!U86&gt;0),"YES","")</f>
        <v/>
      </c>
      <c r="I90" s="150"/>
      <c r="K90" s="138" t="str">
        <f>IF(AND(STATS!C86="BOF",STATS!U86&gt;0),"YES","")</f>
        <v/>
      </c>
      <c r="L90" s="151"/>
      <c r="M90" s="194"/>
    </row>
    <row r="91" spans="1:13" x14ac:dyDescent="0.25">
      <c r="A91" s="139">
        <f>STATS!E87</f>
        <v>766</v>
      </c>
      <c r="B91" s="139" t="str">
        <f>STATS!G87</f>
        <v>COYOTE</v>
      </c>
      <c r="C91" s="136" t="str">
        <f>IF(AND(STATS!C87="SWS",STATS!S87&gt;0),"YES","")</f>
        <v/>
      </c>
      <c r="D91" s="136"/>
      <c r="E91" s="136" t="str">
        <f>IF(AND(STATS!C87="SWS",STATS!T87&gt;0),"YES","")</f>
        <v/>
      </c>
      <c r="F91" s="19"/>
      <c r="H91" s="137" t="str">
        <f>IF(AND(STATS!C87="BOD",STATS!U87&gt;0),"YES","")</f>
        <v/>
      </c>
      <c r="I91" s="150"/>
      <c r="K91" s="138" t="str">
        <f>IF(AND(STATS!C87="BOF",STATS!U87&gt;0),"YES","")</f>
        <v/>
      </c>
      <c r="L91" s="151"/>
      <c r="M91" s="194"/>
    </row>
    <row r="92" spans="1:13" x14ac:dyDescent="0.25">
      <c r="A92" s="139">
        <f>STATS!E88</f>
        <v>768</v>
      </c>
      <c r="B92" s="139" t="str">
        <f>STATS!G88</f>
        <v>FRENCHIE</v>
      </c>
      <c r="C92" s="136" t="str">
        <f>IF(AND(STATS!C88="SWS",STATS!S88&gt;0),"YES","")</f>
        <v/>
      </c>
      <c r="D92" s="136"/>
      <c r="E92" s="136" t="str">
        <f>IF(AND(STATS!C88="SWS",STATS!T88&gt;0),"YES","")</f>
        <v/>
      </c>
      <c r="F92" s="19"/>
      <c r="H92" s="137" t="str">
        <f>IF(AND(STATS!C88="BOD",STATS!U88&gt;0),"YES","")</f>
        <v/>
      </c>
      <c r="I92" s="150"/>
      <c r="K92" s="138" t="str">
        <f>IF(AND(STATS!C88="BOF",STATS!U88&gt;0),"YES","")</f>
        <v/>
      </c>
      <c r="L92" s="151"/>
      <c r="M92" s="194"/>
    </row>
    <row r="93" spans="1:13" x14ac:dyDescent="0.25">
      <c r="A93" s="139">
        <f>STATS!E89</f>
        <v>773</v>
      </c>
      <c r="B93" s="139" t="str">
        <f>STATS!G89</f>
        <v>HOTSPRING</v>
      </c>
      <c r="C93" s="136" t="str">
        <f>IF(AND(STATS!C89="SWS",STATS!S89&gt;0),"YES","")</f>
        <v/>
      </c>
      <c r="D93" s="136"/>
      <c r="E93" s="136" t="str">
        <f>IF(AND(STATS!C89="SWS",STATS!T89&gt;0),"YES","")</f>
        <v/>
      </c>
      <c r="F93" s="19"/>
      <c r="H93" s="137" t="str">
        <f>IF(AND(STATS!C89="BOD",STATS!U89&gt;0),"YES","")</f>
        <v/>
      </c>
      <c r="I93" s="150"/>
      <c r="K93" s="138" t="str">
        <f>IF(AND(STATS!C89="BOF",STATS!U89&gt;0),"YES","")</f>
        <v/>
      </c>
      <c r="L93" s="151"/>
      <c r="M93" s="194"/>
    </row>
    <row r="94" spans="1:13" x14ac:dyDescent="0.25">
      <c r="A94" s="139">
        <f>STATS!E90</f>
        <v>780</v>
      </c>
      <c r="B94" s="139" t="str">
        <f>STATS!G90</f>
        <v>MM9 HWY21</v>
      </c>
      <c r="C94" s="136" t="str">
        <f>IF(AND(STATS!C90="SWS",STATS!S90&gt;0),"YES","")</f>
        <v/>
      </c>
      <c r="D94" s="136"/>
      <c r="E94" s="136" t="str">
        <f>IF(AND(STATS!C90="SWS",STATS!T90&gt;0),"YES","")</f>
        <v/>
      </c>
      <c r="F94" s="19"/>
      <c r="H94" s="137" t="str">
        <f>IF(AND(STATS!C90="BOD",STATS!U90&gt;0),"YES","")</f>
        <v/>
      </c>
      <c r="I94" s="150"/>
      <c r="K94" s="138" t="str">
        <f>IF(AND(STATS!C90="BOF",STATS!U90&gt;0),"YES","")</f>
        <v/>
      </c>
      <c r="L94" s="151"/>
      <c r="M94" s="194"/>
    </row>
    <row r="95" spans="1:13" x14ac:dyDescent="0.25">
      <c r="A95" s="139">
        <f>STATS!E91</f>
        <v>781</v>
      </c>
      <c r="B95" s="139" t="str">
        <f>STATS!G91</f>
        <v>TINDALL</v>
      </c>
      <c r="C95" s="136" t="str">
        <f>IF(AND(STATS!C91="SWS",STATS!S91&gt;0),"YES","")</f>
        <v/>
      </c>
      <c r="D95" s="136"/>
      <c r="E95" s="136" t="str">
        <f>IF(AND(STATS!C91="SWS",STATS!T91&gt;0),"YES","")</f>
        <v/>
      </c>
      <c r="F95" s="19"/>
      <c r="H95" s="137" t="str">
        <f>IF(AND(STATS!C91="BOD",STATS!U91&gt;0),"YES","")</f>
        <v>YES</v>
      </c>
      <c r="I95" s="150" t="s">
        <v>206</v>
      </c>
      <c r="K95" s="138" t="str">
        <f>IF(AND(STATS!C91="BOF",STATS!U91&gt;0),"YES","")</f>
        <v/>
      </c>
      <c r="L95" s="151"/>
      <c r="M95" s="194"/>
    </row>
    <row r="96" spans="1:13" x14ac:dyDescent="0.25">
      <c r="A96" s="139">
        <f>STATS!E92</f>
        <v>782</v>
      </c>
      <c r="B96" s="139" t="str">
        <f>STATS!G92</f>
        <v>MEDBURY</v>
      </c>
      <c r="C96" s="136" t="str">
        <f>IF(AND(STATS!C92="SWS",STATS!S92&gt;0),"YES","")</f>
        <v/>
      </c>
      <c r="D96" s="136"/>
      <c r="E96" s="136" t="str">
        <f>IF(AND(STATS!C92="SWS",STATS!T92&gt;0),"YES","")</f>
        <v/>
      </c>
      <c r="F96" s="19"/>
      <c r="H96" s="137" t="str">
        <f>IF(AND(STATS!C92="BOD",STATS!U92&gt;0),"YES","")</f>
        <v/>
      </c>
      <c r="I96" s="150"/>
      <c r="K96" s="138" t="str">
        <f>IF(AND(STATS!C92="BOF",STATS!U92&gt;0),"YES","")</f>
        <v/>
      </c>
      <c r="L96" s="151"/>
      <c r="M96" s="194"/>
    </row>
    <row r="97" spans="1:13" x14ac:dyDescent="0.25">
      <c r="A97" s="139">
        <f>STATS!E93</f>
        <v>784</v>
      </c>
      <c r="B97" s="139" t="str">
        <f>STATS!G93</f>
        <v>PVR</v>
      </c>
      <c r="C97" s="136" t="str">
        <f>IF(AND(STATS!C93="SWS",STATS!S93&gt;0),"YES","")</f>
        <v/>
      </c>
      <c r="D97" s="136"/>
      <c r="E97" s="136" t="str">
        <f>IF(AND(STATS!C93="SWS",STATS!T93&gt;0),"YES","")</f>
        <v/>
      </c>
      <c r="F97" s="19"/>
      <c r="H97" s="137" t="str">
        <f>IF(AND(STATS!C93="BOD",STATS!U93&gt;0),"YES","")</f>
        <v/>
      </c>
      <c r="I97" s="150"/>
      <c r="K97" s="138" t="str">
        <f>IF(AND(STATS!C93="BOF",STATS!U93&gt;0),"YES","")</f>
        <v/>
      </c>
      <c r="L97" s="151"/>
      <c r="M97" s="194"/>
    </row>
    <row r="98" spans="1:13" x14ac:dyDescent="0.25">
      <c r="A98" s="139">
        <f>STATS!E94</f>
        <v>790</v>
      </c>
      <c r="B98" s="139" t="str">
        <f>STATS!G94</f>
        <v>CHAULKY</v>
      </c>
      <c r="C98" s="136" t="str">
        <f>IF(AND(STATS!C94="SWS",STATS!S94&gt;0),"YES","")</f>
        <v/>
      </c>
      <c r="D98" s="136"/>
      <c r="E98" s="136" t="str">
        <f>IF(AND(STATS!C94="SWS",STATS!T94&gt;0),"YES","")</f>
        <v/>
      </c>
      <c r="F98" s="19"/>
      <c r="H98" s="137" t="str">
        <f>IF(AND(STATS!C94="BOD",STATS!U94&gt;0),"YES","")</f>
        <v/>
      </c>
      <c r="I98" s="150"/>
      <c r="K98" s="138" t="str">
        <f>IF(AND(STATS!C94="BOF",STATS!U94&gt;0),"YES","")</f>
        <v/>
      </c>
      <c r="L98" s="151"/>
      <c r="M98" s="194"/>
    </row>
    <row r="99" spans="1:13" x14ac:dyDescent="0.25">
      <c r="A99" s="139">
        <f>STATS!E95</f>
        <v>796</v>
      </c>
      <c r="B99" s="139" t="str">
        <f>STATS!G95</f>
        <v>HEM</v>
      </c>
      <c r="C99" s="136" t="str">
        <f>IF(AND(STATS!C95="SWS",STATS!S95&gt;0),"YES","")</f>
        <v/>
      </c>
      <c r="D99" s="136"/>
      <c r="E99" s="136" t="str">
        <f>IF(AND(STATS!C95="SWS",STATS!T95&gt;0),"YES","")</f>
        <v/>
      </c>
      <c r="F99" s="19"/>
      <c r="H99" s="137" t="str">
        <f>IF(AND(STATS!C95="BOD",STATS!U95&gt;0),"YES","")</f>
        <v/>
      </c>
      <c r="I99" s="150"/>
      <c r="K99" s="138" t="str">
        <f>IF(AND(STATS!C95="BOF",STATS!U95&gt;0),"YES","")</f>
        <v/>
      </c>
      <c r="L99" s="151"/>
      <c r="M99" s="194"/>
    </row>
    <row r="100" spans="1:13" x14ac:dyDescent="0.25">
      <c r="A100" s="139">
        <f>STATS!E96</f>
        <v>800</v>
      </c>
      <c r="B100" s="139" t="str">
        <f>STATS!G96</f>
        <v>MM65 I84</v>
      </c>
      <c r="C100" s="136" t="str">
        <f>IF(AND(STATS!C96="SWS",STATS!S96&gt;0),"YES","")</f>
        <v/>
      </c>
      <c r="D100" s="136"/>
      <c r="E100" s="136" t="str">
        <f>IF(AND(STATS!C96="SWS",STATS!T96&gt;0),"YES","")</f>
        <v/>
      </c>
      <c r="F100" s="19"/>
      <c r="H100" s="137" t="str">
        <f>IF(AND(STATS!C96="BOD",STATS!U96&gt;0),"YES","")</f>
        <v>YES</v>
      </c>
      <c r="I100" s="150" t="s">
        <v>206</v>
      </c>
      <c r="K100" s="138" t="str">
        <f>IF(AND(STATS!C96="BOF",STATS!U96&gt;0),"YES","")</f>
        <v/>
      </c>
      <c r="L100" s="151"/>
      <c r="M100" s="194"/>
    </row>
    <row r="101" spans="1:13" x14ac:dyDescent="0.25">
      <c r="A101" s="139">
        <f>STATS!E97</f>
        <v>801</v>
      </c>
      <c r="B101" s="139" t="str">
        <f>STATS!G97</f>
        <v>MANSTAN</v>
      </c>
      <c r="C101" s="136" t="str">
        <f>IF(AND(STATS!C97="SWS",STATS!S97&gt;0),"YES","")</f>
        <v/>
      </c>
      <c r="D101" s="136"/>
      <c r="E101" s="136" t="str">
        <f>IF(AND(STATS!C97="SWS",STATS!T97&gt;0),"YES","")</f>
        <v/>
      </c>
      <c r="F101" s="19"/>
      <c r="H101" s="137" t="str">
        <f>IF(AND(STATS!C97="BOD",STATS!U97&gt;0),"YES","")</f>
        <v/>
      </c>
      <c r="I101" s="150"/>
      <c r="K101" s="138" t="str">
        <f>IF(AND(STATS!C97="BOF",STATS!U97&gt;0),"YES","")</f>
        <v/>
      </c>
      <c r="L101" s="151"/>
      <c r="M101" s="194"/>
    </row>
    <row r="102" spans="1:13" x14ac:dyDescent="0.25">
      <c r="A102" s="139">
        <f>STATS!E98</f>
        <v>805</v>
      </c>
      <c r="B102" s="139" t="str">
        <f>STATS!G98</f>
        <v>PASIS</v>
      </c>
      <c r="C102" s="136" t="str">
        <f>IF(AND(STATS!C98="SWS",STATS!S98&gt;0),"YES","")</f>
        <v/>
      </c>
      <c r="D102" s="136"/>
      <c r="E102" s="136" t="str">
        <f>IF(AND(STATS!C98="SWS",STATS!T98&gt;0),"YES","")</f>
        <v/>
      </c>
      <c r="F102" s="19"/>
      <c r="H102" s="137" t="str">
        <f>IF(AND(STATS!C98="BOD",STATS!U98&gt;0),"YES","")</f>
        <v/>
      </c>
      <c r="I102" s="150"/>
      <c r="K102" s="138" t="str">
        <f>IF(AND(STATS!C98="BOF",STATS!U98&gt;0),"YES","")</f>
        <v/>
      </c>
      <c r="L102" s="151"/>
      <c r="M102" s="194"/>
    </row>
    <row r="103" spans="1:13" x14ac:dyDescent="0.25">
      <c r="A103" s="139">
        <f>STATS!E99</f>
        <v>810</v>
      </c>
      <c r="B103" s="139" t="str">
        <f>STATS!G99</f>
        <v>JUMP</v>
      </c>
      <c r="C103" s="136" t="str">
        <f>IF(AND(STATS!C99="SWS",STATS!S99&gt;0),"YES","")</f>
        <v/>
      </c>
      <c r="D103" s="136"/>
      <c r="E103" s="136" t="str">
        <f>IF(AND(STATS!C99="SWS",STATS!T99&gt;0),"YES","")</f>
        <v/>
      </c>
      <c r="F103" s="19"/>
      <c r="H103" s="137" t="str">
        <f>IF(AND(STATS!C99="BOD",STATS!U99&gt;0),"YES","")</f>
        <v/>
      </c>
      <c r="I103" s="150"/>
      <c r="K103" s="138" t="str">
        <f>IF(AND(STATS!C99="BOF",STATS!U99&gt;0),"YES","")</f>
        <v/>
      </c>
      <c r="L103" s="151"/>
      <c r="M103" s="194"/>
    </row>
    <row r="104" spans="1:13" x14ac:dyDescent="0.25">
      <c r="A104" s="139">
        <f>STATS!E100</f>
        <v>811</v>
      </c>
      <c r="B104" s="139" t="str">
        <f>STATS!G100</f>
        <v>MURPHY</v>
      </c>
      <c r="C104" s="136" t="str">
        <f>IF(AND(STATS!C100="SWS",STATS!S100&gt;0),"YES","")</f>
        <v/>
      </c>
      <c r="D104" s="136"/>
      <c r="E104" s="136" t="str">
        <f>IF(AND(STATS!C100="SWS",STATS!T100&gt;0),"YES","")</f>
        <v/>
      </c>
      <c r="F104" s="19"/>
      <c r="H104" s="137" t="str">
        <f>IF(AND(STATS!C100="BOD",STATS!U100&gt;0),"YES","")</f>
        <v/>
      </c>
      <c r="I104" s="150"/>
      <c r="K104" s="138" t="str">
        <f>IF(AND(STATS!C100="BOF",STATS!U100&gt;0),"YES","")</f>
        <v/>
      </c>
      <c r="L104" s="151"/>
      <c r="M104" s="194"/>
    </row>
    <row r="105" spans="1:13" x14ac:dyDescent="0.25">
      <c r="A105" s="139">
        <f>STATS!E101</f>
        <v>816</v>
      </c>
      <c r="B105" s="139" t="str">
        <f>STATS!G101</f>
        <v>MM115 I84</v>
      </c>
      <c r="C105" s="136" t="str">
        <f>IF(AND(STATS!C101="SWS",STATS!S101&gt;0),"YES","")</f>
        <v/>
      </c>
      <c r="D105" s="136"/>
      <c r="E105" s="136" t="str">
        <f>IF(AND(STATS!C101="SWS",STATS!T101&gt;0),"YES","")</f>
        <v/>
      </c>
      <c r="F105" s="19"/>
      <c r="H105" s="137" t="str">
        <f>IF(AND(STATS!C101="BOD",STATS!U101&gt;0),"YES","")</f>
        <v/>
      </c>
      <c r="I105" s="150"/>
      <c r="K105" s="138" t="str">
        <f>IF(AND(STATS!C101="BOF",STATS!U101&gt;0),"YES","")</f>
        <v/>
      </c>
      <c r="L105" s="151"/>
      <c r="M105" s="194"/>
    </row>
    <row r="106" spans="1:13" x14ac:dyDescent="0.25">
      <c r="A106" s="139">
        <f>STATS!E102</f>
        <v>827</v>
      </c>
      <c r="B106" s="139" t="str">
        <f>STATS!G102</f>
        <v>LILHORSE</v>
      </c>
      <c r="C106" s="136" t="str">
        <f>IF(AND(STATS!C102="SWS",STATS!S102&gt;0),"YES","")</f>
        <v/>
      </c>
      <c r="D106" s="136"/>
      <c r="E106" s="136" t="str">
        <f>IF(AND(STATS!C102="SWS",STATS!T102&gt;0),"YES","")</f>
        <v/>
      </c>
      <c r="F106" s="19"/>
      <c r="H106" s="137" t="str">
        <f>IF(AND(STATS!C102="BOD",STATS!U102&gt;0),"YES","")</f>
        <v/>
      </c>
      <c r="I106" s="150"/>
      <c r="K106" s="138" t="str">
        <f>IF(AND(STATS!C102="BOF",STATS!U102&gt;0),"YES","")</f>
        <v/>
      </c>
      <c r="L106" s="151"/>
      <c r="M106" s="194"/>
    </row>
    <row r="107" spans="1:13" x14ac:dyDescent="0.25">
      <c r="A107" s="139">
        <f>STATS!E103</f>
        <v>841</v>
      </c>
      <c r="B107" s="139" t="str">
        <f>STATS!G103</f>
        <v>SUNSHINE</v>
      </c>
      <c r="C107" s="136" t="str">
        <f>IF(AND(STATS!C103="SWS",STATS!S103&gt;0),"YES","")</f>
        <v/>
      </c>
      <c r="D107" s="136"/>
      <c r="E107" s="136" t="str">
        <f>IF(AND(STATS!C103="SWS",STATS!T103&gt;0),"YES","")</f>
        <v/>
      </c>
      <c r="F107" s="19"/>
      <c r="H107" s="137" t="str">
        <f>IF(AND(STATS!C103="BOD",STATS!U103&gt;0),"YES","")</f>
        <v/>
      </c>
      <c r="I107" s="150"/>
      <c r="K107" s="138" t="str">
        <f>IF(AND(STATS!C103="BOF",STATS!U103&gt;0),"YES","")</f>
        <v/>
      </c>
      <c r="L107" s="151"/>
      <c r="M107" s="194"/>
    </row>
    <row r="108" spans="1:13" x14ac:dyDescent="0.25">
      <c r="A108" s="139">
        <f>STATS!E104</f>
        <v>843</v>
      </c>
      <c r="B108" s="139" t="str">
        <f>STATS!G104</f>
        <v>DOUGH</v>
      </c>
      <c r="C108" s="136" t="str">
        <f>IF(AND(STATS!C104="SWS",STATS!S104&gt;0),"YES","")</f>
        <v/>
      </c>
      <c r="D108" s="136"/>
      <c r="E108" s="136" t="str">
        <f>IF(AND(STATS!C104="SWS",STATS!T104&gt;0),"YES","")</f>
        <v/>
      </c>
      <c r="F108" s="19"/>
      <c r="H108" s="137" t="str">
        <f>IF(AND(STATS!C104="BOD",STATS!U104&gt;0),"YES","")</f>
        <v/>
      </c>
      <c r="I108" s="150"/>
      <c r="K108" s="138" t="str">
        <f>IF(AND(STATS!C104="BOF",STATS!U104&gt;0),"YES","")</f>
        <v/>
      </c>
      <c r="L108" s="151"/>
      <c r="M108" s="194"/>
    </row>
    <row r="109" spans="1:13" x14ac:dyDescent="0.25">
      <c r="A109" s="139">
        <f>STATS!E105</f>
        <v>844</v>
      </c>
      <c r="B109" s="139" t="str">
        <f>STATS!G105</f>
        <v>NINES</v>
      </c>
      <c r="C109" s="136" t="str">
        <f>IF(AND(STATS!C105="SWS",STATS!S105&gt;0),"YES","")</f>
        <v/>
      </c>
      <c r="D109" s="136"/>
      <c r="E109" s="136" t="str">
        <f>IF(AND(STATS!C105="SWS",STATS!T105&gt;0),"YES","")</f>
        <v/>
      </c>
      <c r="F109" s="19"/>
      <c r="H109" s="137" t="str">
        <f>IF(AND(STATS!C105="BOD",STATS!U105&gt;0),"YES","")</f>
        <v/>
      </c>
      <c r="I109" s="150"/>
      <c r="K109" s="138" t="str">
        <f>IF(AND(STATS!C105="BOF",STATS!U105&gt;0),"YES","")</f>
        <v/>
      </c>
      <c r="L109" s="151"/>
      <c r="M109" s="194"/>
    </row>
    <row r="110" spans="1:13" x14ac:dyDescent="0.25">
      <c r="A110" s="139">
        <f>STATS!E106</f>
        <v>847</v>
      </c>
      <c r="B110" s="139" t="str">
        <f>STATS!G106</f>
        <v xml:space="preserve">FIR </v>
      </c>
      <c r="C110" s="136" t="str">
        <f>IF(AND(STATS!C106="SWS",STATS!S106&gt;0),"YES","")</f>
        <v/>
      </c>
      <c r="D110" s="136"/>
      <c r="E110" s="136" t="str">
        <f>IF(AND(STATS!C106="SWS",STATS!T106&gt;0),"YES","")</f>
        <v/>
      </c>
      <c r="F110" s="19"/>
      <c r="H110" s="137" t="str">
        <f>IF(AND(STATS!C106="BOD",STATS!U106&gt;0),"YES","")</f>
        <v/>
      </c>
      <c r="I110" s="150"/>
      <c r="K110" s="138" t="str">
        <f>IF(AND(STATS!C106="BOF",STATS!U106&gt;0),"YES","")</f>
        <v/>
      </c>
      <c r="L110" s="151"/>
      <c r="M110" s="194"/>
    </row>
    <row r="111" spans="1:13" x14ac:dyDescent="0.25">
      <c r="A111" s="139">
        <f>STATS!E107</f>
        <v>848</v>
      </c>
      <c r="B111" s="139" t="str">
        <f>STATS!G107</f>
        <v>EAGLE</v>
      </c>
      <c r="C111" s="136" t="str">
        <f>IF(AND(STATS!C107="SWS",STATS!S107&gt;0),"YES","")</f>
        <v/>
      </c>
      <c r="D111" s="136"/>
      <c r="E111" s="136" t="str">
        <f>IF(AND(STATS!C107="SWS",STATS!T107&gt;0),"YES","")</f>
        <v/>
      </c>
      <c r="F111" s="19"/>
      <c r="H111" s="137" t="str">
        <f>IF(AND(STATS!C107="BOD",STATS!U107&gt;0),"YES","")</f>
        <v/>
      </c>
      <c r="I111" s="150"/>
      <c r="K111" s="138" t="str">
        <f>IF(AND(STATS!C107="BOF",STATS!U107&gt;0),"YES","")</f>
        <v/>
      </c>
      <c r="L111" s="151"/>
      <c r="M111" s="194"/>
    </row>
    <row r="112" spans="1:13" x14ac:dyDescent="0.25">
      <c r="A112" s="139">
        <f>STATS!E108</f>
        <v>849</v>
      </c>
      <c r="B112" s="139" t="str">
        <f>STATS!G108</f>
        <v>SCHOOL</v>
      </c>
      <c r="C112" s="136" t="str">
        <f>IF(AND(STATS!C108="SWS",STATS!S108&gt;0),"YES","")</f>
        <v/>
      </c>
      <c r="D112" s="136"/>
      <c r="E112" s="136" t="str">
        <f>IF(AND(STATS!C108="SWS",STATS!T108&gt;0),"YES","")</f>
        <v/>
      </c>
      <c r="F112" s="19"/>
      <c r="H112" s="137" t="str">
        <f>IF(AND(STATS!C108="BOD",STATS!U108&gt;0),"YES","")</f>
        <v/>
      </c>
      <c r="I112" s="150"/>
      <c r="K112" s="138" t="str">
        <f>IF(AND(STATS!C108="BOF",STATS!U108&gt;0),"YES","")</f>
        <v/>
      </c>
      <c r="L112" s="151"/>
      <c r="M112" s="194"/>
    </row>
    <row r="113" spans="1:13" x14ac:dyDescent="0.25">
      <c r="A113" s="139">
        <f>STATS!E109</f>
        <v>850</v>
      </c>
      <c r="B113" s="139" t="str">
        <f>STATS!G109</f>
        <v>MONROE</v>
      </c>
      <c r="C113" s="136" t="str">
        <f>IF(AND(STATS!C109="SWS",STATS!S109&gt;0),"YES","")</f>
        <v/>
      </c>
      <c r="D113" s="136"/>
      <c r="E113" s="136" t="str">
        <f>IF(AND(STATS!C109="SWS",STATS!T109&gt;0),"YES","")</f>
        <v/>
      </c>
      <c r="F113" s="19"/>
      <c r="H113" s="137" t="str">
        <f>IF(AND(STATS!C109="BOD",STATS!U109&gt;0),"YES","")</f>
        <v/>
      </c>
      <c r="I113" s="150"/>
      <c r="K113" s="138" t="str">
        <f>IF(AND(STATS!C109="BOF",STATS!U109&gt;0),"YES","")</f>
        <v/>
      </c>
      <c r="L113" s="151"/>
      <c r="M113" s="194"/>
    </row>
    <row r="114" spans="1:13" x14ac:dyDescent="0.25">
      <c r="A114" s="139">
        <f>STATS!E110</f>
        <v>852</v>
      </c>
      <c r="B114" s="139" t="str">
        <f>STATS!G110</f>
        <v>SUCCOR</v>
      </c>
      <c r="C114" s="136" t="str">
        <f>IF(AND(STATS!C110="SWS",STATS!S110&gt;0),"YES","")</f>
        <v/>
      </c>
      <c r="D114" s="136"/>
      <c r="E114" s="136" t="str">
        <f>IF(AND(STATS!C110="SWS",STATS!T110&gt;0),"YES","")</f>
        <v/>
      </c>
      <c r="F114" s="19"/>
      <c r="H114" s="137" t="str">
        <f>IF(AND(STATS!C110="BOD",STATS!U110&gt;0),"YES","")</f>
        <v/>
      </c>
      <c r="I114" s="150"/>
      <c r="K114" s="138" t="str">
        <f>IF(AND(STATS!C110="BOF",STATS!U110&gt;0),"YES","")</f>
        <v/>
      </c>
      <c r="L114" s="151"/>
      <c r="M114" s="194"/>
    </row>
    <row r="115" spans="1:13" x14ac:dyDescent="0.25">
      <c r="A115" s="139">
        <f>STATS!E111</f>
        <v>854</v>
      </c>
      <c r="B115" s="139" t="str">
        <f>STATS!G111</f>
        <v>LOUISA</v>
      </c>
      <c r="C115" s="136" t="str">
        <f>IF(AND(STATS!C111="SWS",STATS!S111&gt;0),"YES","")</f>
        <v/>
      </c>
      <c r="D115" s="136"/>
      <c r="E115" s="136" t="str">
        <f>IF(AND(STATS!C111="SWS",STATS!T111&gt;0),"YES","")</f>
        <v/>
      </c>
      <c r="F115" s="19"/>
      <c r="H115" s="137" t="str">
        <f>IF(AND(STATS!C111="BOD",STATS!U111&gt;0),"YES","")</f>
        <v/>
      </c>
      <c r="I115" s="150"/>
      <c r="K115" s="138" t="str">
        <f>IF(AND(STATS!C111="BOF",STATS!U111&gt;0),"YES","")</f>
        <v/>
      </c>
      <c r="L115" s="151"/>
      <c r="M115" s="194"/>
    </row>
    <row r="116" spans="1:13" x14ac:dyDescent="0.25">
      <c r="A116" s="139">
        <f>STATS!E112</f>
        <v>861</v>
      </c>
      <c r="B116" s="139" t="str">
        <f>STATS!G112</f>
        <v>BATES</v>
      </c>
      <c r="C116" s="136" t="str">
        <f>IF(AND(STATS!C112="SWS",STATS!S112&gt;0),"YES","")</f>
        <v/>
      </c>
      <c r="D116" s="136"/>
      <c r="E116" s="136" t="str">
        <f>IF(AND(STATS!C112="SWS",STATS!T112&gt;0),"YES","")</f>
        <v/>
      </c>
      <c r="F116" s="19"/>
      <c r="H116" s="137" t="str">
        <f>IF(AND(STATS!C112="BOD",STATS!U112&gt;0),"YES","")</f>
        <v/>
      </c>
      <c r="I116" s="150"/>
      <c r="K116" s="138" t="str">
        <f>IF(AND(STATS!C112="BOF",STATS!U112&gt;0),"YES","")</f>
        <v/>
      </c>
      <c r="L116" s="151"/>
      <c r="M116" s="194"/>
    </row>
    <row r="117" spans="1:13" x14ac:dyDescent="0.25">
      <c r="A117" s="139">
        <f>STATS!E113</f>
        <v>862</v>
      </c>
      <c r="B117" s="139" t="str">
        <f>STATS!G113</f>
        <v>WAIDE</v>
      </c>
      <c r="C117" s="136" t="str">
        <f>IF(AND(STATS!C113="SWS",STATS!S113&gt;0),"YES","")</f>
        <v/>
      </c>
      <c r="D117" s="136"/>
      <c r="E117" s="136" t="str">
        <f>IF(AND(STATS!C113="SWS",STATS!T113&gt;0),"YES","")</f>
        <v>YES</v>
      </c>
      <c r="F117" s="19" t="s">
        <v>231</v>
      </c>
      <c r="H117" s="137" t="str">
        <f>IF(AND(STATS!C113="BOD",STATS!U113&gt;0),"YES","")</f>
        <v/>
      </c>
      <c r="I117" s="150"/>
      <c r="K117" s="138" t="str">
        <f>IF(AND(STATS!C113="BOF",STATS!U113&gt;0),"YES","")</f>
        <v/>
      </c>
      <c r="L117" s="151"/>
      <c r="M117" s="194"/>
    </row>
    <row r="118" spans="1:13" x14ac:dyDescent="0.25">
      <c r="A118" s="139">
        <f>STATS!E114</f>
        <v>863</v>
      </c>
      <c r="B118" s="139" t="str">
        <f>STATS!G114</f>
        <v>CREEK</v>
      </c>
      <c r="C118" s="136" t="str">
        <f>IF(AND(STATS!C114="SWS",STATS!S114&gt;0),"YES","")</f>
        <v/>
      </c>
      <c r="D118" s="136"/>
      <c r="E118" s="136" t="str">
        <f>IF(AND(STATS!C114="SWS",STATS!T114&gt;0),"YES","")</f>
        <v/>
      </c>
      <c r="F118" s="19"/>
      <c r="H118" s="137" t="str">
        <f>IF(AND(STATS!C114="BOD",STATS!U114&gt;0),"YES","")</f>
        <v/>
      </c>
      <c r="I118" s="150"/>
      <c r="K118" s="138" t="str">
        <f>IF(AND(STATS!C114="BOF",STATS!U114&gt;0),"YES","")</f>
        <v/>
      </c>
      <c r="L118" s="151"/>
      <c r="M118" s="194"/>
    </row>
    <row r="119" spans="1:13" x14ac:dyDescent="0.25">
      <c r="A119" s="139">
        <f>STATS!E115</f>
        <v>864</v>
      </c>
      <c r="B119" s="139" t="str">
        <f>STATS!G115</f>
        <v>SAGE</v>
      </c>
      <c r="C119" s="136" t="str">
        <f>IF(AND(STATS!C115="SWS",STATS!S115&gt;0),"YES","")</f>
        <v/>
      </c>
      <c r="D119" s="136"/>
      <c r="E119" s="136" t="str">
        <f>IF(AND(STATS!C115="SWS",STATS!T115&gt;0),"YES","")</f>
        <v/>
      </c>
      <c r="F119" s="19"/>
      <c r="H119" s="137" t="str">
        <f>IF(AND(STATS!C115="BOD",STATS!U115&gt;0),"YES","")</f>
        <v/>
      </c>
      <c r="I119" s="150"/>
      <c r="K119" s="138" t="str">
        <f>IF(AND(STATS!C115="BOF",STATS!U115&gt;0),"YES","")</f>
        <v/>
      </c>
      <c r="L119" s="151"/>
      <c r="M119" s="194"/>
    </row>
    <row r="120" spans="1:13" x14ac:dyDescent="0.25">
      <c r="A120" s="139">
        <f>STATS!E116</f>
        <v>866</v>
      </c>
      <c r="B120" s="139" t="str">
        <f>STATS!G116</f>
        <v>LONGPINE</v>
      </c>
      <c r="C120" s="136" t="str">
        <f>IF(AND(STATS!C116="SWS",STATS!S116&gt;0),"YES","")</f>
        <v/>
      </c>
      <c r="D120" s="136"/>
      <c r="E120" s="136" t="str">
        <f>IF(AND(STATS!C116="SWS",STATS!T116&gt;0),"YES","")</f>
        <v>YES</v>
      </c>
      <c r="F120" s="19" t="s">
        <v>231</v>
      </c>
      <c r="H120" s="137" t="str">
        <f>IF(AND(STATS!C116="BOD",STATS!U116&gt;0),"YES","")</f>
        <v/>
      </c>
      <c r="I120" s="150"/>
      <c r="K120" s="138" t="str">
        <f>IF(AND(STATS!C116="BOF",STATS!U116&gt;0),"YES","")</f>
        <v/>
      </c>
      <c r="L120" s="151"/>
      <c r="M120" s="194"/>
    </row>
    <row r="121" spans="1:13" x14ac:dyDescent="0.25">
      <c r="A121" s="139">
        <f>STATS!E117</f>
        <v>865</v>
      </c>
      <c r="B121" s="139" t="str">
        <f>STATS!G117</f>
        <v>WOLF</v>
      </c>
      <c r="C121" s="136" t="str">
        <f>IF(AND(STATS!C117="SWS",STATS!S117&gt;0),"YES","")</f>
        <v/>
      </c>
      <c r="D121" s="136"/>
      <c r="E121" s="136" t="str">
        <f>IF(AND(STATS!C117="SWS",STATS!T117&gt;0),"YES","")</f>
        <v/>
      </c>
      <c r="F121" s="19"/>
      <c r="H121" s="137" t="str">
        <f>IF(AND(STATS!C117="BOD",STATS!U117&gt;0),"YES","")</f>
        <v/>
      </c>
      <c r="I121" s="150"/>
      <c r="K121" s="138" t="str">
        <f>IF(AND(STATS!C117="BOF",STATS!U117&gt;0),"YES","")</f>
        <v/>
      </c>
      <c r="L121" s="151"/>
      <c r="M121" s="194"/>
    </row>
    <row r="122" spans="1:13" x14ac:dyDescent="0.25">
      <c r="A122" s="139">
        <f>STATS!E118</f>
        <v>868</v>
      </c>
      <c r="B122" s="139" t="str">
        <f>STATS!G118</f>
        <v>SOUTHPOINT</v>
      </c>
      <c r="C122" s="136" t="str">
        <f>IF(AND(STATS!C118="SWS",STATS!S118&gt;0),"YES","")</f>
        <v/>
      </c>
      <c r="D122" s="136"/>
      <c r="E122" s="136" t="str">
        <f>IF(AND(STATS!C118="SWS",STATS!T118&gt;0),"YES","")</f>
        <v/>
      </c>
      <c r="F122" s="19"/>
      <c r="H122" s="137" t="str">
        <f>IF(AND(STATS!C118="BOD",STATS!U118&gt;0),"YES","")</f>
        <v/>
      </c>
      <c r="I122" s="150"/>
      <c r="K122" s="138" t="str">
        <f>IF(AND(STATS!C118="BOF",STATS!U118&gt;0),"YES","")</f>
        <v/>
      </c>
      <c r="L122" s="151"/>
      <c r="M122" s="194"/>
    </row>
    <row r="123" spans="1:13" x14ac:dyDescent="0.25">
      <c r="A123" s="139">
        <f>STATS!E119</f>
        <v>867</v>
      </c>
      <c r="B123" s="139" t="str">
        <f>STATS!G119</f>
        <v>CAMP</v>
      </c>
      <c r="C123" s="136" t="str">
        <f>IF(AND(STATS!C119="SWS",STATS!S119&gt;0),"YES","")</f>
        <v/>
      </c>
      <c r="D123" s="136"/>
      <c r="E123" s="136" t="str">
        <f>IF(AND(STATS!C119="SWS",STATS!T119&gt;0),"YES","")</f>
        <v/>
      </c>
      <c r="F123" s="19"/>
      <c r="H123" s="137" t="str">
        <f>IF(AND(STATS!C119="BOD",STATS!U119&gt;0),"YES","")</f>
        <v/>
      </c>
      <c r="I123" s="150"/>
      <c r="K123" s="138" t="str">
        <f>IF(AND(STATS!C119="BOF",STATS!U119&gt;0),"YES","")</f>
        <v/>
      </c>
      <c r="L123" s="151"/>
      <c r="M123" s="194"/>
    </row>
    <row r="124" spans="1:13" x14ac:dyDescent="0.25">
      <c r="A124" s="139">
        <f>STATS!E120</f>
        <v>869</v>
      </c>
      <c r="B124" s="139" t="str">
        <f>STATS!G120</f>
        <v>BLACKSTONE</v>
      </c>
      <c r="C124" s="136" t="str">
        <f>IF(AND(STATS!C120="SWS",STATS!S120&gt;0),"YES","")</f>
        <v/>
      </c>
      <c r="D124" s="136"/>
      <c r="E124" s="136" t="str">
        <f>IF(AND(STATS!C120="SWS",STATS!T120&gt;0),"YES","")</f>
        <v/>
      </c>
      <c r="F124" s="19"/>
      <c r="H124" s="137" t="str">
        <f>IF(AND(STATS!C120="BOD",STATS!U120&gt;0),"YES","")</f>
        <v>YES</v>
      </c>
      <c r="I124" s="150" t="s">
        <v>206</v>
      </c>
      <c r="K124" s="138" t="str">
        <f>IF(AND(STATS!C120="BOF",STATS!U120&gt;0),"YES","")</f>
        <v/>
      </c>
      <c r="L124" s="151"/>
      <c r="M124" s="194"/>
    </row>
    <row r="125" spans="1:13" x14ac:dyDescent="0.25">
      <c r="A125" s="139">
        <f>STATS!E121</f>
        <v>870</v>
      </c>
      <c r="B125" s="139" t="str">
        <f>STATS!G121</f>
        <v>MM86 HWY51</v>
      </c>
      <c r="C125" s="136" t="str">
        <f>IF(AND(STATS!C121="SWS",STATS!S121&gt;0),"YES","")</f>
        <v/>
      </c>
      <c r="D125" s="136"/>
      <c r="E125" s="136" t="str">
        <f>IF(AND(STATS!C121="SWS",STATS!T121&gt;0),"YES","")</f>
        <v/>
      </c>
      <c r="F125" s="19"/>
      <c r="H125" s="137" t="str">
        <f>IF(AND(STATS!C121="BOD",STATS!U121&gt;0),"YES","")</f>
        <v/>
      </c>
      <c r="I125" s="150"/>
      <c r="K125" s="138" t="str">
        <f>IF(AND(STATS!C121="BOF",STATS!U121&gt;0),"YES","")</f>
        <v/>
      </c>
      <c r="L125" s="151"/>
      <c r="M125" s="194"/>
    </row>
    <row r="126" spans="1:13" x14ac:dyDescent="0.25">
      <c r="A126" s="139">
        <f>STATS!E122</f>
        <v>872</v>
      </c>
      <c r="B126" s="139" t="str">
        <f>STATS!G122</f>
        <v>TRAIL</v>
      </c>
      <c r="C126" s="136" t="str">
        <f>IF(AND(STATS!C122="SWS",STATS!S122&gt;0),"YES","")</f>
        <v/>
      </c>
      <c r="D126" s="136"/>
      <c r="E126" s="136" t="str">
        <f>IF(AND(STATS!C122="SWS",STATS!T122&gt;0),"YES","")</f>
        <v/>
      </c>
      <c r="F126" s="19"/>
      <c r="H126" s="137" t="str">
        <f>IF(AND(STATS!C122="BOD",STATS!U122&gt;0),"YES","")</f>
        <v/>
      </c>
      <c r="I126" s="150"/>
      <c r="K126" s="138" t="str">
        <f>IF(AND(STATS!C122="BOF",STATS!U122&gt;0),"YES","")</f>
        <v/>
      </c>
      <c r="L126" s="151"/>
      <c r="M126" s="194"/>
    </row>
    <row r="127" spans="1:13" x14ac:dyDescent="0.25">
      <c r="A127" s="139">
        <f>STATS!E123</f>
        <v>873</v>
      </c>
      <c r="B127" s="139" t="str">
        <f>STATS!G123</f>
        <v>EASTHORSE</v>
      </c>
      <c r="C127" s="136" t="str">
        <f>IF(AND(STATS!C123="SWS",STATS!S123&gt;0),"YES","")</f>
        <v/>
      </c>
      <c r="D127" s="136"/>
      <c r="E127" s="136" t="str">
        <f>IF(AND(STATS!C123="SWS",STATS!T123&gt;0),"YES","")</f>
        <v/>
      </c>
      <c r="F127" s="19"/>
      <c r="H127" s="137" t="str">
        <f>IF(AND(STATS!C123="BOD",STATS!U123&gt;0),"YES","")</f>
        <v/>
      </c>
      <c r="I127" s="150"/>
      <c r="K127" s="138" t="str">
        <f>IF(AND(STATS!C123="BOF",STATS!U123&gt;0),"YES","")</f>
        <v/>
      </c>
      <c r="L127" s="151"/>
    </row>
    <row r="128" spans="1:13" x14ac:dyDescent="0.25">
      <c r="A128" s="139">
        <f>STATS!E124</f>
        <v>875</v>
      </c>
      <c r="B128" s="139" t="str">
        <f>STATS!G124</f>
        <v>MM73 I84</v>
      </c>
      <c r="C128" s="136" t="str">
        <f>IF(AND(STATS!C124="SWS",STATS!S124&gt;0),"YES","")</f>
        <v/>
      </c>
      <c r="D128" s="136"/>
      <c r="E128" s="136" t="str">
        <f>IF(AND(STATS!C124="SWS",STATS!T124&gt;0),"YES","")</f>
        <v/>
      </c>
      <c r="F128" s="19"/>
      <c r="H128" s="137" t="str">
        <f>IF(AND(STATS!C124="BOD",STATS!U124&gt;0),"YES","")</f>
        <v/>
      </c>
      <c r="I128" s="150"/>
      <c r="K128" s="138" t="str">
        <f>IF(AND(STATS!C124="BOF",STATS!U124&gt;0),"YES","")</f>
        <v/>
      </c>
      <c r="L128" s="151"/>
      <c r="M128" s="194"/>
    </row>
    <row r="129" spans="1:13" x14ac:dyDescent="0.25">
      <c r="A129" s="139">
        <f>STATS!E125</f>
        <v>879</v>
      </c>
      <c r="B129" s="139" t="str">
        <f>STATS!G125</f>
        <v>HOLLOW</v>
      </c>
      <c r="C129" s="136" t="str">
        <f>IF(AND(STATS!C125="SWS",STATS!S125&gt;0),"YES","")</f>
        <v/>
      </c>
      <c r="D129" s="136"/>
      <c r="E129" s="136" t="str">
        <f>IF(AND(STATS!C125="SWS",STATS!T125&gt;0),"YES","")</f>
        <v/>
      </c>
      <c r="F129" s="19"/>
      <c r="H129" s="137" t="str">
        <f>IF(AND(STATS!C125="BOD",STATS!U125&gt;0),"YES","")</f>
        <v/>
      </c>
      <c r="I129" s="150"/>
      <c r="K129" s="138" t="str">
        <f>IF(AND(STATS!C125="BOF",STATS!U125&gt;0),"YES","")</f>
        <v/>
      </c>
      <c r="L129" s="151"/>
      <c r="M129" s="194"/>
    </row>
    <row r="130" spans="1:13" x14ac:dyDescent="0.25">
      <c r="A130" s="139">
        <f>STATS!E126</f>
        <v>880</v>
      </c>
      <c r="B130" s="139" t="str">
        <f>STATS!G126</f>
        <v>TWIN</v>
      </c>
      <c r="C130" s="136" t="str">
        <f>IF(AND(STATS!C126="SWS",STATS!S126&gt;0),"YES","")</f>
        <v/>
      </c>
      <c r="D130" s="136"/>
      <c r="E130" s="136" t="str">
        <f>IF(AND(STATS!C126="SWS",STATS!T126&gt;0),"YES","")</f>
        <v/>
      </c>
      <c r="F130" s="19"/>
      <c r="H130" s="137" t="str">
        <f>IF(AND(STATS!C126="BOD",STATS!U126&gt;0),"YES","")</f>
        <v/>
      </c>
      <c r="I130" s="150"/>
      <c r="K130" s="138" t="str">
        <f>IF(AND(STATS!C126="BOF",STATS!U126&gt;0),"YES","")</f>
        <v/>
      </c>
      <c r="L130" s="151"/>
      <c r="M130" s="194"/>
    </row>
    <row r="131" spans="1:13" x14ac:dyDescent="0.25">
      <c r="A131" s="139">
        <f>STATS!E127</f>
        <v>881</v>
      </c>
      <c r="B131" s="139" t="str">
        <f>STATS!G127</f>
        <v>BEAVER</v>
      </c>
      <c r="C131" s="136" t="str">
        <f>IF(AND(STATS!C127="SWS",STATS!S127&gt;0),"YES","")</f>
        <v/>
      </c>
      <c r="D131" s="136"/>
      <c r="E131" s="136" t="str">
        <f>IF(AND(STATS!C127="SWS",STATS!T127&gt;0),"YES","")</f>
        <v/>
      </c>
      <c r="F131" s="19"/>
      <c r="H131" s="137" t="str">
        <f>IF(AND(STATS!C127="BOD",STATS!U127&gt;0),"YES","")</f>
        <v/>
      </c>
      <c r="I131" s="150"/>
      <c r="K131" s="138" t="str">
        <f>IF(AND(STATS!C127="BOF",STATS!U127&gt;0),"YES","")</f>
        <v/>
      </c>
      <c r="L131" s="151"/>
      <c r="M131" s="194"/>
    </row>
    <row r="132" spans="1:13" x14ac:dyDescent="0.25">
      <c r="A132" s="139">
        <f>STATS!E128</f>
        <v>882</v>
      </c>
      <c r="B132" s="139" t="str">
        <f>STATS!G128</f>
        <v>GOAT</v>
      </c>
      <c r="C132" s="136" t="str">
        <f>IF(AND(STATS!C128="SWS",STATS!S128&gt;0),"YES","")</f>
        <v/>
      </c>
      <c r="D132" s="136"/>
      <c r="E132" s="136" t="str">
        <f>IF(AND(STATS!C128="SWS",STATS!T128&gt;0),"YES","")</f>
        <v/>
      </c>
      <c r="F132" s="19"/>
      <c r="H132" s="137" t="str">
        <f>IF(AND(STATS!C128="BOD",STATS!U128&gt;0),"YES","")</f>
        <v/>
      </c>
      <c r="I132" s="150"/>
      <c r="K132" s="138" t="str">
        <f>IF(AND(STATS!C128="BOF",STATS!U128&gt;0),"YES","")</f>
        <v/>
      </c>
      <c r="L132" s="151"/>
      <c r="M132" s="194"/>
    </row>
    <row r="133" spans="1:13" x14ac:dyDescent="0.25">
      <c r="A133" s="139">
        <f>STATS!E129</f>
        <v>883</v>
      </c>
      <c r="B133" s="139" t="str">
        <f>STATS!G129</f>
        <v>LITTLE</v>
      </c>
      <c r="C133" s="136" t="str">
        <f>IF(AND(STATS!C129="SWS",STATS!S129&gt;0),"YES","")</f>
        <v/>
      </c>
      <c r="D133" s="136"/>
      <c r="E133" s="136" t="str">
        <f>IF(AND(STATS!C129="SWS",STATS!T129&gt;0),"YES","")</f>
        <v/>
      </c>
      <c r="F133" s="19"/>
      <c r="H133" s="137" t="str">
        <f>IF(AND(STATS!C129="BOD",STATS!U129&gt;0),"YES","")</f>
        <v/>
      </c>
      <c r="I133" s="150"/>
      <c r="K133" s="138" t="str">
        <f>IF(AND(STATS!C129="BOF",STATS!U129&gt;0),"YES","")</f>
        <v/>
      </c>
      <c r="L133" s="151"/>
      <c r="M133" s="194"/>
    </row>
    <row r="134" spans="1:13" x14ac:dyDescent="0.25">
      <c r="A134" s="139">
        <f>STATS!E130</f>
        <v>884</v>
      </c>
      <c r="B134" s="139" t="str">
        <f>STATS!G130</f>
        <v>ANDERSON</v>
      </c>
      <c r="C134" s="136" t="str">
        <f>IF(AND(STATS!C130="SWS",STATS!S130&gt;0),"YES","")</f>
        <v/>
      </c>
      <c r="D134" s="136"/>
      <c r="E134" s="136" t="str">
        <f>IF(AND(STATS!C130="SWS",STATS!T130&gt;0),"YES","")</f>
        <v/>
      </c>
      <c r="F134" s="19"/>
      <c r="H134" s="137" t="str">
        <f>IF(AND(STATS!C130="BOD",STATS!U130&gt;0),"YES","")</f>
        <v/>
      </c>
      <c r="I134" s="150"/>
      <c r="K134" s="138" t="str">
        <f>IF(AND(STATS!C130="BOF",STATS!U130&gt;0),"YES","")</f>
        <v/>
      </c>
      <c r="L134" s="151"/>
      <c r="M134" s="194"/>
    </row>
    <row r="135" spans="1:13" x14ac:dyDescent="0.25">
      <c r="A135" s="139">
        <f>STATS!E131</f>
        <v>885</v>
      </c>
      <c r="B135" s="139" t="str">
        <f>STATS!G131</f>
        <v>STRIKER</v>
      </c>
      <c r="C135" s="136" t="str">
        <f>IF(AND(STATS!C131="SWS",STATS!S131&gt;0),"YES","")</f>
        <v/>
      </c>
      <c r="D135" s="136"/>
      <c r="E135" s="136" t="str">
        <f>IF(AND(STATS!C131="SWS",STATS!T131&gt;0),"YES","")</f>
        <v/>
      </c>
      <c r="F135" s="19"/>
      <c r="H135" s="137" t="str">
        <f>IF(AND(STATS!C131="BOD",STATS!U131&gt;0),"YES","")</f>
        <v/>
      </c>
      <c r="I135" s="150"/>
      <c r="K135" s="138" t="str">
        <f>IF(AND(STATS!C131="BOF",STATS!U131&gt;0),"YES","")</f>
        <v/>
      </c>
      <c r="L135" s="151"/>
      <c r="M135" s="194"/>
    </row>
    <row r="136" spans="1:13" x14ac:dyDescent="0.25">
      <c r="A136" s="139">
        <f>STATS!E132</f>
        <v>888</v>
      </c>
      <c r="B136" s="139" t="str">
        <f>STATS!G132</f>
        <v>WILLOW</v>
      </c>
      <c r="C136" s="136" t="str">
        <f>IF(AND(STATS!C132="SWS",STATS!S132&gt;0),"YES","")</f>
        <v/>
      </c>
      <c r="D136" s="136"/>
      <c r="E136" s="136" t="str">
        <f>IF(AND(STATS!C132="SWS",STATS!T132&gt;0),"YES","")</f>
        <v/>
      </c>
      <c r="F136" s="19"/>
      <c r="H136" s="137" t="str">
        <f>IF(AND(STATS!C132="BOD",STATS!U132&gt;0),"YES","")</f>
        <v/>
      </c>
      <c r="I136" s="150"/>
      <c r="K136" s="138" t="str">
        <f>IF(AND(STATS!C132="BOF",STATS!U132&gt;0),"YES","")</f>
        <v/>
      </c>
      <c r="L136" s="151"/>
      <c r="M136" s="194"/>
    </row>
    <row r="137" spans="1:13" x14ac:dyDescent="0.25">
      <c r="A137" s="139">
        <f>STATS!E133</f>
        <v>892</v>
      </c>
      <c r="B137" s="139" t="str">
        <f>STATS!G133</f>
        <v>FARRELL</v>
      </c>
      <c r="C137" s="136" t="str">
        <f>IF(AND(STATS!C133="SWS",STATS!S133&gt;0),"YES","")</f>
        <v/>
      </c>
      <c r="D137" s="136"/>
      <c r="E137" s="136" t="str">
        <f>IF(AND(STATS!C133="SWS",STATS!T133&gt;0),"YES","")</f>
        <v>YES</v>
      </c>
      <c r="F137" s="19" t="s">
        <v>231</v>
      </c>
      <c r="H137" s="137" t="str">
        <f>IF(AND(STATS!C133="BOD",STATS!U133&gt;0),"YES","")</f>
        <v/>
      </c>
      <c r="I137" s="150"/>
      <c r="K137" s="138" t="str">
        <f>IF(AND(STATS!C133="BOF",STATS!U133&gt;0),"YES","")</f>
        <v/>
      </c>
      <c r="L137" s="151"/>
      <c r="M137" s="194"/>
    </row>
    <row r="138" spans="1:13" x14ac:dyDescent="0.25">
      <c r="A138" s="139">
        <f>STATS!E134</f>
        <v>894</v>
      </c>
      <c r="B138" s="139" t="str">
        <f>STATS!G134</f>
        <v>SLACK</v>
      </c>
      <c r="C138" s="136" t="str">
        <f>IF(AND(STATS!C134="SWS",STATS!S134&gt;0),"YES","")</f>
        <v/>
      </c>
      <c r="D138" s="136"/>
      <c r="E138" s="136" t="str">
        <f>IF(AND(STATS!C134="SWS",STATS!T134&gt;0),"YES","")</f>
        <v/>
      </c>
      <c r="F138" s="19"/>
      <c r="H138" s="137" t="str">
        <f>IF(AND(STATS!C134="BOD",STATS!U134&gt;0),"YES","")</f>
        <v/>
      </c>
      <c r="I138" s="150"/>
      <c r="K138" s="138" t="str">
        <f>IF(AND(STATS!C134="BOF",STATS!U134&gt;0),"YES","")</f>
        <v/>
      </c>
      <c r="L138" s="151"/>
      <c r="M138" s="194"/>
    </row>
    <row r="139" spans="1:13" x14ac:dyDescent="0.25">
      <c r="A139" s="139">
        <f>STATS!E135</f>
        <v>895</v>
      </c>
      <c r="B139" s="139" t="str">
        <f>STATS!G135</f>
        <v>FOOL</v>
      </c>
      <c r="C139" s="136" t="str">
        <f>IF(AND(STATS!C135="SWS",STATS!S135&gt;0),"YES","")</f>
        <v/>
      </c>
      <c r="D139" s="136"/>
      <c r="E139" s="136" t="str">
        <f>IF(AND(STATS!C135="SWS",STATS!T135&gt;0),"YES","")</f>
        <v/>
      </c>
      <c r="F139" s="19"/>
      <c r="H139" s="137" t="str">
        <f>IF(AND(STATS!C135="BOD",STATS!U135&gt;0),"YES","")</f>
        <v/>
      </c>
      <c r="I139" s="150"/>
      <c r="K139" s="138" t="str">
        <f>IF(AND(STATS!C135="BOF",STATS!U135&gt;0),"YES","")</f>
        <v/>
      </c>
      <c r="L139" s="151"/>
      <c r="M139" s="194"/>
    </row>
    <row r="140" spans="1:13" x14ac:dyDescent="0.25">
      <c r="A140" s="139">
        <f>STATS!E136</f>
        <v>897</v>
      </c>
      <c r="B140" s="139" t="str">
        <f>STATS!G136</f>
        <v>SOUTHLOAF</v>
      </c>
      <c r="C140" s="136" t="str">
        <f>IF(AND(STATS!C136="SWS",STATS!S136&gt;0),"YES","")</f>
        <v/>
      </c>
      <c r="D140" s="136"/>
      <c r="E140" s="136" t="str">
        <f>IF(AND(STATS!C136="SWS",STATS!T136&gt;0),"YES","")</f>
        <v>YES</v>
      </c>
      <c r="F140" s="19" t="s">
        <v>231</v>
      </c>
      <c r="H140" s="137" t="str">
        <f>IF(AND(STATS!C136="BOD",STATS!U136&gt;0),"YES","")</f>
        <v/>
      </c>
      <c r="I140" s="150"/>
      <c r="K140" s="138" t="str">
        <f>IF(AND(STATS!C136="BOF",STATS!U136&gt;0),"YES","")</f>
        <v/>
      </c>
      <c r="L140" s="151"/>
      <c r="M140" s="194"/>
    </row>
    <row r="141" spans="1:13" x14ac:dyDescent="0.25">
      <c r="A141" s="139">
        <f>STATS!E137</f>
        <v>898</v>
      </c>
      <c r="B141" s="139" t="str">
        <f>STATS!G137</f>
        <v>BADGER</v>
      </c>
      <c r="C141" s="136" t="str">
        <f>IF(AND(STATS!C137="SWS",STATS!S137&gt;0),"YES","")</f>
        <v/>
      </c>
      <c r="D141" s="136"/>
      <c r="E141" s="136" t="str">
        <f>IF(AND(STATS!C137="SWS",STATS!T137&gt;0),"YES","")</f>
        <v/>
      </c>
      <c r="F141" s="19"/>
      <c r="H141" s="137" t="str">
        <f>IF(AND(STATS!C137="BOD",STATS!U137&gt;0),"YES","")</f>
        <v/>
      </c>
      <c r="I141" s="150"/>
      <c r="K141" s="138" t="str">
        <f>IF(AND(STATS!C137="BOF",STATS!U137&gt;0),"YES","")</f>
        <v/>
      </c>
      <c r="L141" s="151"/>
      <c r="M141" s="194"/>
    </row>
    <row r="142" spans="1:13" x14ac:dyDescent="0.25">
      <c r="A142" s="139">
        <f>STATS!E138</f>
        <v>901</v>
      </c>
      <c r="B142" s="139" t="str">
        <f>STATS!G138</f>
        <v>SLAUGHTERHOUSE</v>
      </c>
      <c r="C142" s="136" t="str">
        <f>IF(AND(STATS!C138="SWS",STATS!S138&gt;0),"YES","")</f>
        <v/>
      </c>
      <c r="D142" s="136"/>
      <c r="E142" s="136" t="str">
        <f>IF(AND(STATS!C138="SWS",STATS!T138&gt;0),"YES","")</f>
        <v>YES</v>
      </c>
      <c r="F142" s="19" t="s">
        <v>231</v>
      </c>
      <c r="H142" s="137" t="str">
        <f>IF(AND(STATS!C138="BOD",STATS!U138&gt;0),"YES","")</f>
        <v/>
      </c>
      <c r="I142" s="150"/>
      <c r="K142" s="138" t="str">
        <f>IF(AND(STATS!C138="BOF",STATS!U138&gt;0),"YES","")</f>
        <v/>
      </c>
      <c r="L142" s="151"/>
      <c r="M142" s="194"/>
    </row>
    <row r="143" spans="1:13" x14ac:dyDescent="0.25">
      <c r="A143" s="139">
        <f>STATS!E139</f>
        <v>902</v>
      </c>
      <c r="B143" s="139" t="str">
        <f>STATS!G139</f>
        <v>RABBIT</v>
      </c>
      <c r="C143" s="136" t="str">
        <f>IF(AND(STATS!C139="SWS",STATS!S139&gt;0),"YES","")</f>
        <v/>
      </c>
      <c r="D143" s="136"/>
      <c r="E143" s="136" t="str">
        <f>IF(AND(STATS!C139="SWS",STATS!T139&gt;0),"YES","")</f>
        <v/>
      </c>
      <c r="F143" s="19"/>
      <c r="H143" s="137" t="str">
        <f>IF(AND(STATS!C139="BOD",STATS!U139&gt;0),"YES","")</f>
        <v/>
      </c>
      <c r="I143" s="150"/>
      <c r="K143" s="138" t="str">
        <f>IF(AND(STATS!C139="BOF",STATS!U139&gt;0),"YES","")</f>
        <v/>
      </c>
      <c r="L143" s="151"/>
      <c r="M143" s="194"/>
    </row>
    <row r="144" spans="1:13" x14ac:dyDescent="0.25">
      <c r="A144" s="139">
        <f>STATS!E140</f>
        <v>903</v>
      </c>
      <c r="B144" s="139" t="str">
        <f>STATS!G140</f>
        <v>GRAYBACK</v>
      </c>
      <c r="C144" s="136" t="str">
        <f>IF(AND(STATS!C140="SWS",STATS!S140&gt;0),"YES","")</f>
        <v/>
      </c>
      <c r="D144" s="136"/>
      <c r="E144" s="136" t="str">
        <f>IF(AND(STATS!C140="SWS",STATS!T140&gt;0),"YES","")</f>
        <v/>
      </c>
      <c r="F144" s="19"/>
      <c r="H144" s="137" t="str">
        <f>IF(AND(STATS!C140="BOD",STATS!U140&gt;0),"YES","")</f>
        <v/>
      </c>
      <c r="I144" s="150"/>
      <c r="K144" s="138" t="str">
        <f>IF(AND(STATS!C140="BOF",STATS!U140&gt;0),"YES","")</f>
        <v/>
      </c>
      <c r="L144" s="151"/>
      <c r="M144" s="194"/>
    </row>
    <row r="145" spans="1:13" x14ac:dyDescent="0.25">
      <c r="A145" s="139">
        <f>STATS!E141</f>
        <v>904</v>
      </c>
      <c r="B145" s="139" t="str">
        <f>STATS!G141</f>
        <v>IDA</v>
      </c>
      <c r="C145" s="136" t="str">
        <f>IF(AND(STATS!C141="SWS",STATS!S141&gt;0),"YES","")</f>
        <v/>
      </c>
      <c r="D145" s="136"/>
      <c r="E145" s="136" t="str">
        <f>IF(AND(STATS!C141="SWS",STATS!T141&gt;0),"YES","")</f>
        <v/>
      </c>
      <c r="F145" s="19"/>
      <c r="H145" s="137" t="str">
        <f>IF(AND(STATS!C141="BOD",STATS!U141&gt;0),"YES","")</f>
        <v/>
      </c>
      <c r="I145" s="150"/>
      <c r="K145" s="138" t="str">
        <f>IF(AND(STATS!C141="BOF",STATS!U141&gt;0),"YES","")</f>
        <v/>
      </c>
      <c r="L145" s="151"/>
      <c r="M145" s="194"/>
    </row>
    <row r="146" spans="1:13" x14ac:dyDescent="0.25">
      <c r="A146" s="139">
        <f>STATS!E142</f>
        <v>905</v>
      </c>
      <c r="B146" s="139" t="str">
        <f>STATS!G142</f>
        <v>BADBEAR</v>
      </c>
      <c r="C146" s="136" t="str">
        <f>IF(AND(STATS!C142="SWS",STATS!S142&gt;0),"YES","")</f>
        <v/>
      </c>
      <c r="D146" s="136"/>
      <c r="E146" s="136" t="str">
        <f>IF(AND(STATS!C142="SWS",STATS!T142&gt;0),"YES","")</f>
        <v/>
      </c>
      <c r="F146" s="19"/>
      <c r="H146" s="137" t="str">
        <f>IF(AND(STATS!C142="BOD",STATS!U142&gt;0),"YES","")</f>
        <v/>
      </c>
      <c r="I146" s="150"/>
      <c r="K146" s="138" t="str">
        <f>IF(AND(STATS!C142="BOF",STATS!U142&gt;0),"YES","")</f>
        <v/>
      </c>
      <c r="L146" s="151"/>
      <c r="M146" s="194"/>
    </row>
    <row r="147" spans="1:13" x14ac:dyDescent="0.25">
      <c r="A147" s="139">
        <f>STATS!E143</f>
        <v>906</v>
      </c>
      <c r="B147" s="139" t="str">
        <f>STATS!G143</f>
        <v>MEADOW</v>
      </c>
      <c r="C147" s="136" t="str">
        <f>IF(AND(STATS!C143="SWS",STATS!S143&gt;0),"YES","")</f>
        <v/>
      </c>
      <c r="D147" s="136"/>
      <c r="E147" s="136" t="str">
        <f>IF(AND(STATS!C143="SWS",STATS!T143&gt;0),"YES","")</f>
        <v/>
      </c>
      <c r="F147" s="19"/>
      <c r="H147" s="137" t="str">
        <f>IF(AND(STATS!C143="BOD",STATS!U143&gt;0),"YES","")</f>
        <v/>
      </c>
      <c r="I147" s="150"/>
      <c r="K147" s="138" t="str">
        <f>IF(AND(STATS!C143="BOF",STATS!U143&gt;0),"YES","")</f>
        <v/>
      </c>
      <c r="L147" s="151"/>
      <c r="M147" s="194"/>
    </row>
    <row r="148" spans="1:13" x14ac:dyDescent="0.25">
      <c r="A148" s="139">
        <f>STATS!E144</f>
        <v>907</v>
      </c>
      <c r="B148" s="139" t="str">
        <f>STATS!G144</f>
        <v>CONNER</v>
      </c>
      <c r="C148" s="136" t="str">
        <f>IF(AND(STATS!C144="SWS",STATS!S144&gt;0),"YES","")</f>
        <v/>
      </c>
      <c r="D148" s="136"/>
      <c r="E148" s="136" t="str">
        <f>IF(AND(STATS!C144="SWS",STATS!T144&gt;0),"YES","")</f>
        <v/>
      </c>
      <c r="F148" s="19"/>
      <c r="H148" s="137" t="str">
        <f>IF(AND(STATS!C144="BOD",STATS!U144&gt;0),"YES","")</f>
        <v/>
      </c>
      <c r="I148" s="150"/>
      <c r="K148" s="138" t="str">
        <f>IF(AND(STATS!C144="BOF",STATS!U144&gt;0),"YES","")</f>
        <v/>
      </c>
      <c r="L148" s="151"/>
      <c r="M148" s="194"/>
    </row>
    <row r="149" spans="1:13" x14ac:dyDescent="0.25">
      <c r="A149" s="139">
        <f>STATS!E145</f>
        <v>909</v>
      </c>
      <c r="B149" s="139" t="str">
        <f>STATS!G145</f>
        <v>SUNSET</v>
      </c>
      <c r="C149" s="136" t="str">
        <f>IF(AND(STATS!C145="SWS",STATS!S145&gt;0),"YES","")</f>
        <v/>
      </c>
      <c r="D149" s="136"/>
      <c r="E149" s="136" t="str">
        <f>IF(AND(STATS!C145="SWS",STATS!T145&gt;0),"YES","")</f>
        <v/>
      </c>
      <c r="F149" s="19"/>
      <c r="H149" s="137" t="str">
        <f>IF(AND(STATS!C145="BOD",STATS!U145&gt;0),"YES","")</f>
        <v/>
      </c>
      <c r="I149" s="150"/>
      <c r="K149" s="138" t="str">
        <f>IF(AND(STATS!C145="BOF",STATS!U145&gt;0),"YES","")</f>
        <v/>
      </c>
      <c r="L149" s="151"/>
      <c r="M149" s="194"/>
    </row>
    <row r="150" spans="1:13" x14ac:dyDescent="0.25">
      <c r="A150" s="139">
        <f>STATS!E146</f>
        <v>908</v>
      </c>
      <c r="B150" s="139" t="str">
        <f>STATS!G146</f>
        <v>SHOEMAKER</v>
      </c>
      <c r="C150" s="136" t="str">
        <f>IF(AND(STATS!C146="SWS",STATS!S146&gt;0),"YES","")</f>
        <v/>
      </c>
      <c r="D150" s="136"/>
      <c r="E150" s="136" t="str">
        <f>IF(AND(STATS!C146="SWS",STATS!T146&gt;0),"YES","")</f>
        <v/>
      </c>
      <c r="F150" s="19"/>
      <c r="H150" s="137" t="str">
        <f>IF(AND(STATS!C146="BOD",STATS!U146&gt;0),"YES","")</f>
        <v/>
      </c>
      <c r="I150" s="150"/>
      <c r="K150" s="138" t="str">
        <f>IF(AND(STATS!C146="BOF",STATS!U146&gt;0),"YES","")</f>
        <v/>
      </c>
      <c r="L150" s="151"/>
      <c r="M150" s="194"/>
    </row>
    <row r="151" spans="1:13" x14ac:dyDescent="0.25">
      <c r="A151" s="139">
        <f>STATS!E147</f>
        <v>912</v>
      </c>
      <c r="B151" s="139" t="str">
        <f>STATS!G147</f>
        <v>SPANISH</v>
      </c>
      <c r="C151" s="136" t="str">
        <f>IF(AND(STATS!C147="SWS",STATS!S147&gt;0),"YES","")</f>
        <v/>
      </c>
      <c r="D151" s="136"/>
      <c r="E151" s="136" t="str">
        <f>IF(AND(STATS!C147="SWS",STATS!T147&gt;0),"YES","")</f>
        <v/>
      </c>
      <c r="F151" s="19"/>
      <c r="H151" s="137" t="str">
        <f>IF(AND(STATS!C147="BOD",STATS!U147&gt;0),"YES","")</f>
        <v/>
      </c>
      <c r="I151" s="150"/>
      <c r="K151" s="138" t="str">
        <f>IF(AND(STATS!C147="BOF",STATS!U147&gt;0),"YES","")</f>
        <v/>
      </c>
      <c r="L151" s="151"/>
      <c r="M151" s="194"/>
    </row>
    <row r="152" spans="1:13" x14ac:dyDescent="0.25">
      <c r="A152" s="139">
        <f>STATS!E148</f>
        <v>913</v>
      </c>
      <c r="B152" s="139" t="str">
        <f>STATS!G148</f>
        <v>VICTORY</v>
      </c>
      <c r="C152" s="136" t="str">
        <f>IF(AND(STATS!C148="SWS",STATS!S148&gt;0),"YES","")</f>
        <v/>
      </c>
      <c r="D152" s="136"/>
      <c r="E152" s="136" t="str">
        <f>IF(AND(STATS!C148="SWS",STATS!T148&gt;0),"YES","")</f>
        <v/>
      </c>
      <c r="F152" s="19"/>
      <c r="H152" s="137" t="str">
        <f>IF(AND(STATS!C148="BOD",STATS!U148&gt;0),"YES","")</f>
        <v/>
      </c>
      <c r="I152" s="150"/>
      <c r="K152" s="138" t="str">
        <f>IF(AND(STATS!C148="BOF",STATS!U148&gt;0),"YES","")</f>
        <v/>
      </c>
      <c r="L152" s="151"/>
      <c r="M152" s="194"/>
    </row>
    <row r="153" spans="1:13" x14ac:dyDescent="0.25">
      <c r="A153" s="139">
        <f>STATS!E149</f>
        <v>915</v>
      </c>
      <c r="B153" s="139" t="str">
        <f>STATS!G149</f>
        <v>COFFEE</v>
      </c>
      <c r="C153" s="136" t="str">
        <f>IF(AND(STATS!C149="SWS",STATS!S149&gt;0),"YES","")</f>
        <v/>
      </c>
      <c r="D153" s="136"/>
      <c r="E153" s="136" t="str">
        <f>IF(AND(STATS!C149="SWS",STATS!T149&gt;0),"YES","")</f>
        <v/>
      </c>
      <c r="F153" s="19"/>
      <c r="H153" s="137" t="str">
        <f>IF(AND(STATS!C149="BOD",STATS!U149&gt;0),"YES","")</f>
        <v/>
      </c>
      <c r="I153" s="150"/>
      <c r="K153" s="138" t="str">
        <f>IF(AND(STATS!C149="BOF",STATS!U149&gt;0),"YES","")</f>
        <v/>
      </c>
      <c r="L153" s="151"/>
      <c r="M153" s="194"/>
    </row>
    <row r="154" spans="1:13" x14ac:dyDescent="0.25">
      <c r="A154" s="139">
        <f>STATS!E150</f>
        <v>918</v>
      </c>
      <c r="B154" s="139" t="str">
        <f>STATS!G150</f>
        <v>LIGHTRIDGE</v>
      </c>
      <c r="C154" s="136" t="str">
        <f>IF(AND(STATS!C150="SWS",STATS!S150&gt;0),"YES","")</f>
        <v/>
      </c>
      <c r="D154" s="136"/>
      <c r="E154" s="136" t="str">
        <f>IF(AND(STATS!C150="SWS",STATS!T150&gt;0),"YES","")</f>
        <v/>
      </c>
      <c r="F154" s="19"/>
      <c r="H154" s="137" t="str">
        <f>IF(AND(STATS!C150="BOD",STATS!U150&gt;0),"YES","")</f>
        <v/>
      </c>
      <c r="I154" s="150"/>
      <c r="K154" s="138" t="str">
        <f>IF(AND(STATS!C150="BOF",STATS!U150&gt;0),"YES","")</f>
        <v/>
      </c>
      <c r="L154" s="151"/>
      <c r="M154" s="194"/>
    </row>
    <row r="155" spans="1:13" x14ac:dyDescent="0.25">
      <c r="A155" s="139">
        <f>STATS!E151</f>
        <v>920</v>
      </c>
      <c r="B155" s="139" t="str">
        <f>STATS!G151</f>
        <v>BUCK</v>
      </c>
      <c r="C155" s="136" t="str">
        <f>IF(AND(STATS!C151="SWS",STATS!S151&gt;0),"YES","")</f>
        <v/>
      </c>
      <c r="D155" s="136"/>
      <c r="E155" s="136" t="str">
        <f>IF(AND(STATS!C151="SWS",STATS!T151&gt;0),"YES","")</f>
        <v/>
      </c>
      <c r="F155" s="19"/>
      <c r="H155" s="137" t="str">
        <f>IF(AND(STATS!C151="BOD",STATS!U151&gt;0),"YES","")</f>
        <v/>
      </c>
      <c r="I155" s="150"/>
      <c r="K155" s="138" t="str">
        <f>IF(AND(STATS!C151="BOF",STATS!U151&gt;0),"YES","")</f>
        <v/>
      </c>
      <c r="L155" s="151"/>
      <c r="M155" s="194"/>
    </row>
    <row r="156" spans="1:13" x14ac:dyDescent="0.25">
      <c r="A156" s="139">
        <f>STATS!E152</f>
        <v>925</v>
      </c>
      <c r="B156" s="139" t="str">
        <f>STATS!G152</f>
        <v>HANK</v>
      </c>
      <c r="C156" s="136" t="str">
        <f>IF(AND(STATS!C152="SWS",STATS!S152&gt;0),"YES","")</f>
        <v/>
      </c>
      <c r="D156" s="136"/>
      <c r="E156" s="136" t="str">
        <f>IF(AND(STATS!C152="SWS",STATS!T152&gt;0),"YES","")</f>
        <v/>
      </c>
      <c r="F156" s="19"/>
      <c r="H156" s="137" t="str">
        <f>IF(AND(STATS!C152="BOD",STATS!U152&gt;0),"YES","")</f>
        <v/>
      </c>
      <c r="I156" s="150"/>
      <c r="K156" s="138" t="str">
        <f>IF(AND(STATS!C152="BOF",STATS!U152&gt;0),"YES","")</f>
        <v/>
      </c>
      <c r="L156" s="151"/>
      <c r="M156" s="194"/>
    </row>
    <row r="157" spans="1:13" x14ac:dyDescent="0.25">
      <c r="A157" s="139">
        <f>STATS!E153</f>
        <v>927</v>
      </c>
      <c r="B157" s="139" t="str">
        <f>STATS!G153</f>
        <v>FREEZER</v>
      </c>
      <c r="C157" s="136" t="str">
        <f>IF(AND(STATS!C153="SWS",STATS!S153&gt;0),"YES","")</f>
        <v/>
      </c>
      <c r="D157" s="136"/>
      <c r="E157" s="136" t="str">
        <f>IF(AND(STATS!C153="SWS",STATS!T153&gt;0),"YES","")</f>
        <v/>
      </c>
      <c r="F157" s="19"/>
      <c r="H157" s="137" t="str">
        <f>IF(AND(STATS!C153="BOD",STATS!U153&gt;0),"YES","")</f>
        <v/>
      </c>
      <c r="I157" s="150"/>
      <c r="K157" s="138" t="str">
        <f>IF(AND(STATS!C153="BOF",STATS!U153&gt;0),"YES","")</f>
        <v/>
      </c>
      <c r="L157" s="151"/>
      <c r="M157" s="194"/>
    </row>
    <row r="158" spans="1:13" x14ac:dyDescent="0.25">
      <c r="A158" s="139">
        <f>STATS!E154</f>
        <v>928</v>
      </c>
      <c r="B158" s="139" t="str">
        <f>STATS!G154</f>
        <v>WHITLOCK</v>
      </c>
      <c r="C158" s="136" t="str">
        <f>IF(AND(STATS!C154="SWS",STATS!S154&gt;0),"YES","")</f>
        <v/>
      </c>
      <c r="D158" s="136"/>
      <c r="E158" s="136" t="str">
        <f>IF(AND(STATS!C154="SWS",STATS!T154&gt;0),"YES","")</f>
        <v>YES</v>
      </c>
      <c r="F158" s="19" t="s">
        <v>231</v>
      </c>
      <c r="H158" s="137" t="str">
        <f>IF(AND(STATS!C154="BOD",STATS!U154&gt;0),"YES","")</f>
        <v/>
      </c>
      <c r="I158" s="150"/>
      <c r="K158" s="138" t="str">
        <f>IF(AND(STATS!C154="BOF",STATS!U154&gt;0),"YES","")</f>
        <v/>
      </c>
      <c r="L158" s="151"/>
      <c r="M158" s="194"/>
    </row>
    <row r="159" spans="1:13" x14ac:dyDescent="0.25">
      <c r="A159" s="139">
        <f>STATS!E155</f>
        <v>931</v>
      </c>
      <c r="B159" s="139" t="str">
        <f>STATS!G155</f>
        <v>WALLOW</v>
      </c>
      <c r="C159" s="136" t="str">
        <f>IF(AND(STATS!C155="SWS",STATS!S155&gt;0),"YES","")</f>
        <v/>
      </c>
      <c r="D159" s="136"/>
      <c r="E159" s="136" t="str">
        <f>IF(AND(STATS!C155="SWS",STATS!T155&gt;0),"YES","")</f>
        <v/>
      </c>
      <c r="F159" s="19"/>
      <c r="H159" s="137" t="str">
        <f>IF(AND(STATS!C155="BOD",STATS!U155&gt;0),"YES","")</f>
        <v/>
      </c>
      <c r="I159" s="150"/>
      <c r="K159" s="138" t="str">
        <f>IF(AND(STATS!C155="BOF",STATS!U155&gt;0),"YES","")</f>
        <v/>
      </c>
      <c r="L159" s="151"/>
      <c r="M159" s="194"/>
    </row>
    <row r="160" spans="1:13" x14ac:dyDescent="0.25">
      <c r="A160" s="139">
        <f>STATS!E156</f>
        <v>932</v>
      </c>
      <c r="B160" s="139" t="str">
        <f>STATS!G156</f>
        <v>FRENCH</v>
      </c>
      <c r="C160" s="136" t="str">
        <f>IF(AND(STATS!C156="SWS",STATS!S156&gt;0),"YES","")</f>
        <v/>
      </c>
      <c r="D160" s="136"/>
      <c r="E160" s="136" t="str">
        <f>IF(AND(STATS!C156="SWS",STATS!T156&gt;0),"YES","")</f>
        <v/>
      </c>
      <c r="F160" s="19"/>
      <c r="H160" s="137" t="str">
        <f>IF(AND(STATS!C156="BOD",STATS!U156&gt;0),"YES","")</f>
        <v/>
      </c>
      <c r="I160" s="150"/>
      <c r="K160" s="138" t="str">
        <f>IF(AND(STATS!C156="BOF",STATS!U156&gt;0),"YES","")</f>
        <v/>
      </c>
      <c r="L160" s="151"/>
      <c r="M160" s="194"/>
    </row>
    <row r="161" spans="1:13" x14ac:dyDescent="0.25">
      <c r="A161" s="139">
        <f>STATS!E157</f>
        <v>935</v>
      </c>
      <c r="B161" s="139" t="str">
        <f>STATS!G157</f>
        <v>HIGH</v>
      </c>
      <c r="C161" s="136" t="str">
        <f>IF(AND(STATS!C157="SWS",STATS!S157&gt;0),"YES","")</f>
        <v/>
      </c>
      <c r="D161" s="136"/>
      <c r="E161" s="136" t="str">
        <f>IF(AND(STATS!C157="SWS",STATS!T157&gt;0),"YES","")</f>
        <v/>
      </c>
      <c r="F161" s="19"/>
      <c r="H161" s="137" t="str">
        <f>IF(AND(STATS!C157="BOD",STATS!U157&gt;0),"YES","")</f>
        <v/>
      </c>
      <c r="I161" s="150"/>
      <c r="K161" s="138" t="str">
        <f>IF(AND(STATS!C157="BOF",STATS!U157&gt;0),"YES","")</f>
        <v/>
      </c>
      <c r="L161" s="151"/>
      <c r="M161" s="194"/>
    </row>
    <row r="162" spans="1:13" x14ac:dyDescent="0.25">
      <c r="A162" s="139">
        <f>STATS!E158</f>
        <v>937</v>
      </c>
      <c r="B162" s="139" t="str">
        <f>STATS!G158</f>
        <v>EASTSIDE</v>
      </c>
      <c r="C162" s="136" t="str">
        <f>IF(AND(STATS!C158="SWS",STATS!S158&gt;0),"YES","")</f>
        <v/>
      </c>
      <c r="D162" s="136"/>
      <c r="E162" s="136" t="str">
        <f>IF(AND(STATS!C158="SWS",STATS!T158&gt;0),"YES","")</f>
        <v>YES</v>
      </c>
      <c r="F162" s="19" t="s">
        <v>231</v>
      </c>
      <c r="H162" s="137" t="str">
        <f>IF(AND(STATS!C158="BOD",STATS!U158&gt;0),"YES","")</f>
        <v/>
      </c>
      <c r="I162" s="150"/>
      <c r="K162" s="138" t="str">
        <f>IF(AND(STATS!C158="BOF",STATS!U158&gt;0),"YES","")</f>
        <v/>
      </c>
      <c r="L162" s="151"/>
      <c r="M162" s="194"/>
    </row>
    <row r="163" spans="1:13" x14ac:dyDescent="0.25">
      <c r="A163" s="139">
        <f>STATS!E159</f>
        <v>941</v>
      </c>
      <c r="B163" s="139" t="str">
        <f>STATS!G159</f>
        <v>ROGO</v>
      </c>
      <c r="C163" s="136" t="str">
        <f>IF(AND(STATS!C159="SWS",STATS!S159&gt;0),"YES","")</f>
        <v/>
      </c>
      <c r="D163" s="136"/>
      <c r="E163" s="136" t="str">
        <f>IF(AND(STATS!C159="SWS",STATS!T159&gt;0),"YES","")</f>
        <v/>
      </c>
      <c r="F163" s="19"/>
      <c r="H163" s="137" t="str">
        <f>IF(AND(STATS!C159="BOD",STATS!U159&gt;0),"YES","")</f>
        <v/>
      </c>
      <c r="I163" s="150"/>
      <c r="K163" s="138" t="str">
        <f>IF(AND(STATS!C159="BOF",STATS!U159&gt;0),"YES","")</f>
        <v/>
      </c>
      <c r="L163" s="151"/>
      <c r="M163" s="194"/>
    </row>
    <row r="164" spans="1:13" x14ac:dyDescent="0.25">
      <c r="A164" s="139">
        <f>STATS!E160</f>
        <v>943</v>
      </c>
      <c r="B164" s="139" t="str">
        <f>STATS!G160</f>
        <v>FROCAL</v>
      </c>
      <c r="C164" s="136" t="str">
        <f>IF(AND(STATS!C160="SWS",STATS!S160&gt;0),"YES","")</f>
        <v/>
      </c>
      <c r="D164" s="136"/>
      <c r="E164" s="136" t="str">
        <f>IF(AND(STATS!C160="SWS",STATS!T160&gt;0),"YES","")</f>
        <v/>
      </c>
      <c r="F164" s="19"/>
      <c r="H164" s="137" t="str">
        <f>IF(AND(STATS!C160="BOD",STATS!U160&gt;0),"YES","")</f>
        <v/>
      </c>
      <c r="I164" s="150"/>
      <c r="K164" s="138" t="str">
        <f>IF(AND(STATS!C160="BOF",STATS!U160&gt;0),"YES","")</f>
        <v/>
      </c>
      <c r="L164" s="151"/>
      <c r="M164" s="194"/>
    </row>
    <row r="165" spans="1:13" x14ac:dyDescent="0.25">
      <c r="A165" s="139">
        <f>STATS!E161</f>
        <v>944</v>
      </c>
      <c r="B165" s="139" t="str">
        <f>STATS!G161</f>
        <v>HOWER</v>
      </c>
      <c r="C165" s="136" t="str">
        <f>IF(AND(STATS!C161="SWS",STATS!S161&gt;0),"YES","")</f>
        <v/>
      </c>
      <c r="D165" s="136"/>
      <c r="E165" s="136" t="str">
        <f>IF(AND(STATS!C161="SWS",STATS!T161&gt;0),"YES","")</f>
        <v/>
      </c>
      <c r="F165" s="19"/>
      <c r="H165" s="137" t="str">
        <f>IF(AND(STATS!C161="BOD",STATS!U161&gt;0),"YES","")</f>
        <v/>
      </c>
      <c r="I165" s="150"/>
      <c r="K165" s="138" t="str">
        <f>IF(AND(STATS!C161="BOF",STATS!U161&gt;0),"YES","")</f>
        <v/>
      </c>
      <c r="L165" s="151"/>
      <c r="M165" s="194"/>
    </row>
    <row r="166" spans="1:13" x14ac:dyDescent="0.25">
      <c r="A166" s="139">
        <f>STATS!E162</f>
        <v>945</v>
      </c>
      <c r="B166" s="139" t="str">
        <f>STATS!G162</f>
        <v>LANDFILL</v>
      </c>
      <c r="C166" s="136" t="str">
        <f>IF(AND(STATS!C162="SWS",STATS!S162&gt;0),"YES","")</f>
        <v/>
      </c>
      <c r="D166" s="136"/>
      <c r="E166" s="136" t="str">
        <f>IF(AND(STATS!C162="SWS",STATS!T162&gt;0),"YES","")</f>
        <v/>
      </c>
      <c r="F166" s="19"/>
      <c r="H166" s="137" t="str">
        <f>IF(AND(STATS!C162="BOD",STATS!U162&gt;0),"YES","")</f>
        <v/>
      </c>
      <c r="I166" s="150"/>
      <c r="K166" s="138" t="str">
        <f>IF(AND(STATS!C162="BOF",STATS!U162&gt;0),"YES","")</f>
        <v/>
      </c>
      <c r="L166" s="151"/>
      <c r="M166" s="194"/>
    </row>
    <row r="167" spans="1:13" x14ac:dyDescent="0.25">
      <c r="A167" s="139">
        <f>STATS!E163</f>
        <v>947</v>
      </c>
      <c r="B167" s="139" t="str">
        <f>STATS!G163</f>
        <v>WILSON</v>
      </c>
      <c r="C167" s="136" t="str">
        <f>IF(AND(STATS!C163="SWS",STATS!S163&gt;0),"YES","")</f>
        <v/>
      </c>
      <c r="D167" s="136"/>
      <c r="E167" s="136" t="str">
        <f>IF(AND(STATS!C163="SWS",STATS!T163&gt;0),"YES","")</f>
        <v/>
      </c>
      <c r="F167" s="19"/>
      <c r="H167" s="137" t="str">
        <f>IF(AND(STATS!C163="BOD",STATS!U163&gt;0),"YES","")</f>
        <v/>
      </c>
      <c r="I167" s="150"/>
      <c r="K167" s="138" t="str">
        <f>IF(AND(STATS!C163="BOF",STATS!U163&gt;0),"YES","")</f>
        <v/>
      </c>
      <c r="L167" s="151"/>
      <c r="M167" s="194"/>
    </row>
    <row r="168" spans="1:13" x14ac:dyDescent="0.25">
      <c r="A168" s="139">
        <f>STATS!E164</f>
        <v>948</v>
      </c>
      <c r="B168" s="139" t="str">
        <f>STATS!G164</f>
        <v>SHOOROCK</v>
      </c>
      <c r="C168" s="136" t="str">
        <f>IF(AND(STATS!C164="SWS",STATS!S164&gt;0),"YES","")</f>
        <v/>
      </c>
      <c r="D168" s="136"/>
      <c r="E168" s="136" t="str">
        <f>IF(AND(STATS!C164="SWS",STATS!T164&gt;0),"YES","")</f>
        <v/>
      </c>
      <c r="F168" s="19"/>
      <c r="H168" s="137" t="str">
        <f>IF(AND(STATS!C164="BOD",STATS!U164&gt;0),"YES","")</f>
        <v/>
      </c>
      <c r="I168" s="150"/>
      <c r="K168" s="138" t="str">
        <f>IF(AND(STATS!C164="BOF",STATS!U164&gt;0),"YES","")</f>
        <v/>
      </c>
      <c r="L168" s="151"/>
      <c r="M168" s="194"/>
    </row>
    <row r="169" spans="1:13" x14ac:dyDescent="0.25">
      <c r="A169" s="139">
        <f>STATS!E165</f>
        <v>957</v>
      </c>
      <c r="B169" s="139" t="str">
        <f>STATS!G165</f>
        <v>PENNY</v>
      </c>
      <c r="C169" s="136" t="str">
        <f>IF(AND(STATS!C165="SWS",STATS!S165&gt;0),"YES","")</f>
        <v/>
      </c>
      <c r="D169" s="136"/>
      <c r="E169" s="136" t="str">
        <f>IF(AND(STATS!C165="SWS",STATS!T165&gt;0),"YES","")</f>
        <v/>
      </c>
      <c r="F169" s="19"/>
      <c r="H169" s="137" t="str">
        <f>IF(AND(STATS!C165="BOD",STATS!U165&gt;0),"YES","")</f>
        <v/>
      </c>
      <c r="I169" s="150"/>
      <c r="K169" s="138" t="str">
        <f>IF(AND(STATS!C165="BOF",STATS!U165&gt;0),"YES","")</f>
        <v/>
      </c>
      <c r="L169" s="151"/>
      <c r="M169" s="194"/>
    </row>
    <row r="170" spans="1:13" x14ac:dyDescent="0.25">
      <c r="A170" s="139">
        <f>STATS!E166</f>
        <v>964</v>
      </c>
      <c r="B170" s="139" t="str">
        <f>STATS!G166</f>
        <v>BLUEPOINT</v>
      </c>
      <c r="C170" s="136" t="str">
        <f>IF(AND(STATS!C166="SWS",STATS!S166&gt;0),"YES","")</f>
        <v/>
      </c>
      <c r="D170" s="136"/>
      <c r="E170" s="136" t="str">
        <f>IF(AND(STATS!C166="SWS",STATS!T166&gt;0),"YES","")</f>
        <v/>
      </c>
      <c r="F170" s="19"/>
      <c r="H170" s="137" t="str">
        <f>IF(AND(STATS!C166="BOD",STATS!U166&gt;0),"YES","")</f>
        <v/>
      </c>
      <c r="I170" s="150"/>
      <c r="K170" s="138" t="str">
        <f>IF(AND(STATS!C166="BOF",STATS!U166&gt;0),"YES","")</f>
        <v/>
      </c>
      <c r="L170" s="151"/>
      <c r="M170" s="194"/>
    </row>
    <row r="171" spans="1:13" x14ac:dyDescent="0.25">
      <c r="A171" s="139">
        <f>STATS!E167</f>
        <v>970</v>
      </c>
      <c r="B171" s="139" t="str">
        <f>STATS!G167</f>
        <v>JOHNSON</v>
      </c>
      <c r="C171" s="136" t="str">
        <f>IF(AND(STATS!C167="SWS",STATS!S167&gt;0),"YES","")</f>
        <v/>
      </c>
      <c r="D171" s="136"/>
      <c r="E171" s="136" t="str">
        <f>IF(AND(STATS!C167="SWS",STATS!T167&gt;0),"YES","")</f>
        <v/>
      </c>
      <c r="F171" s="19"/>
      <c r="H171" s="137" t="str">
        <f>IF(AND(STATS!C167="BOD",STATS!U167&gt;0),"YES","")</f>
        <v/>
      </c>
      <c r="I171" s="150"/>
      <c r="K171" s="138" t="str">
        <f>IF(AND(STATS!C167="BOF",STATS!U167&gt;0),"YES","")</f>
        <v/>
      </c>
      <c r="L171" s="151"/>
      <c r="M171" s="194"/>
    </row>
    <row r="172" spans="1:13" x14ac:dyDescent="0.25">
      <c r="A172" s="139">
        <f>STATS!E168</f>
        <v>973</v>
      </c>
      <c r="B172" s="139" t="str">
        <f>STATS!G168</f>
        <v>MM80 I84</v>
      </c>
      <c r="C172" s="136" t="str">
        <f>IF(AND(STATS!C168="SWS",STATS!S168&gt;0),"YES","")</f>
        <v/>
      </c>
      <c r="D172" s="136"/>
      <c r="E172" s="136" t="str">
        <f>IF(AND(STATS!C168="SWS",STATS!T168&gt;0),"YES","")</f>
        <v/>
      </c>
      <c r="F172" s="19"/>
      <c r="H172" s="137" t="str">
        <f>IF(AND(STATS!C168="BOD",STATS!U168&gt;0),"YES","")</f>
        <v/>
      </c>
      <c r="I172" s="150"/>
      <c r="K172" s="138" t="str">
        <f>IF(AND(STATS!C168="BOF",STATS!U168&gt;0),"YES","")</f>
        <v/>
      </c>
      <c r="L172" s="151"/>
      <c r="M172" s="194"/>
    </row>
    <row r="173" spans="1:13" x14ac:dyDescent="0.25">
      <c r="A173" s="139">
        <f>STATS!E169</f>
        <v>976</v>
      </c>
      <c r="B173" s="139" t="str">
        <f>STATS!G169</f>
        <v>ARROWROCK</v>
      </c>
      <c r="C173" s="136" t="str">
        <f>IF(AND(STATS!C169="SWS",STATS!S169&gt;0),"YES","")</f>
        <v/>
      </c>
      <c r="D173" s="136"/>
      <c r="E173" s="136" t="str">
        <f>IF(AND(STATS!C169="SWS",STATS!T169&gt;0),"YES","")</f>
        <v/>
      </c>
      <c r="F173" s="19"/>
      <c r="H173" s="137" t="str">
        <f>IF(AND(STATS!C169="BOD",STATS!U169&gt;0),"YES","")</f>
        <v/>
      </c>
      <c r="I173" s="150"/>
      <c r="K173" s="138" t="str">
        <f>IF(AND(STATS!C169="BOF",STATS!U169&gt;0),"YES","")</f>
        <v/>
      </c>
      <c r="L173" s="151"/>
      <c r="M173" s="194"/>
    </row>
    <row r="174" spans="1:13" x14ac:dyDescent="0.25">
      <c r="A174" s="139">
        <f>STATS!E170</f>
        <v>981</v>
      </c>
      <c r="B174" s="139" t="str">
        <f>STATS!G170</f>
        <v>KUMO</v>
      </c>
      <c r="C174" s="136" t="str">
        <f>IF(AND(STATS!C170="SWS",STATS!S170&gt;0),"YES","")</f>
        <v/>
      </c>
      <c r="D174" s="136"/>
      <c r="E174" s="136" t="str">
        <f>IF(AND(STATS!C170="SWS",STATS!T170&gt;0),"YES","")</f>
        <v/>
      </c>
      <c r="F174" s="19"/>
      <c r="H174" s="137" t="str">
        <f>IF(AND(STATS!C170="BOD",STATS!U170&gt;0),"YES","")</f>
        <v/>
      </c>
      <c r="I174" s="150"/>
      <c r="K174" s="138" t="str">
        <f>IF(AND(STATS!C170="BOF",STATS!U170&gt;0),"YES","")</f>
        <v/>
      </c>
      <c r="L174" s="151"/>
      <c r="M174" s="194"/>
    </row>
    <row r="175" spans="1:13" x14ac:dyDescent="0.25">
      <c r="A175" s="139">
        <f>STATS!E171</f>
        <v>986</v>
      </c>
      <c r="B175" s="139" t="str">
        <f>STATS!G171</f>
        <v>MM52 HWY51</v>
      </c>
      <c r="C175" s="136" t="str">
        <f>IF(AND(STATS!C171="SWS",STATS!S171&gt;0),"YES","")</f>
        <v/>
      </c>
      <c r="D175" s="136"/>
      <c r="E175" s="136" t="str">
        <f>IF(AND(STATS!C171="SWS",STATS!T171&gt;0),"YES","")</f>
        <v/>
      </c>
      <c r="F175" s="19"/>
      <c r="H175" s="137" t="str">
        <f>IF(AND(STATS!C171="BOD",STATS!U171&gt;0),"YES","")</f>
        <v/>
      </c>
      <c r="I175" s="150"/>
      <c r="K175" s="138" t="str">
        <f>IF(AND(STATS!C171="BOF",STATS!U171&gt;0),"YES","")</f>
        <v/>
      </c>
      <c r="L175" s="151"/>
      <c r="M175" s="194"/>
    </row>
    <row r="176" spans="1:13" x14ac:dyDescent="0.25">
      <c r="A176" s="139">
        <f>STATS!E172</f>
        <v>989</v>
      </c>
      <c r="B176" s="139" t="str">
        <f>STATS!G172</f>
        <v>ROBIE</v>
      </c>
      <c r="C176" s="136" t="str">
        <f>IF(AND(STATS!C172="SWS",STATS!S172&gt;0),"YES","")</f>
        <v/>
      </c>
      <c r="D176" s="136"/>
      <c r="E176" s="136" t="str">
        <f>IF(AND(STATS!C172="SWS",STATS!T172&gt;0),"YES","")</f>
        <v/>
      </c>
      <c r="F176" s="19"/>
      <c r="H176" s="137" t="str">
        <f>IF(AND(STATS!C172="BOD",STATS!U172&gt;0),"YES","")</f>
        <v/>
      </c>
      <c r="I176" s="150"/>
      <c r="K176" s="138" t="str">
        <f>IF(AND(STATS!C172="BOF",STATS!U172&gt;0),"YES","")</f>
        <v/>
      </c>
      <c r="L176" s="151"/>
      <c r="M176" s="194"/>
    </row>
    <row r="177" spans="1:13" x14ac:dyDescent="0.25">
      <c r="A177" s="139">
        <f>STATS!E173</f>
        <v>991</v>
      </c>
      <c r="B177" s="139" t="str">
        <f>STATS!G173</f>
        <v>ROCK</v>
      </c>
      <c r="C177" s="136" t="str">
        <f>IF(AND(STATS!C173="SWS",STATS!S173&gt;0),"YES","")</f>
        <v/>
      </c>
      <c r="D177" s="136"/>
      <c r="E177" s="136" t="str">
        <f>IF(AND(STATS!C173="SWS",STATS!T173&gt;0),"YES","")</f>
        <v/>
      </c>
      <c r="F177" s="19"/>
      <c r="H177" s="137" t="str">
        <f>IF(AND(STATS!C173="BOD",STATS!U173&gt;0),"YES","")</f>
        <v/>
      </c>
      <c r="I177" s="150"/>
      <c r="K177" s="138" t="str">
        <f>IF(AND(STATS!C173="BOF",STATS!U173&gt;0),"YES","")</f>
        <v/>
      </c>
      <c r="L177" s="151"/>
      <c r="M177" s="194"/>
    </row>
    <row r="178" spans="1:13" x14ac:dyDescent="0.25">
      <c r="A178" s="139">
        <f>STATS!E174</f>
        <v>992</v>
      </c>
      <c r="B178" s="139" t="str">
        <f>STATS!G174</f>
        <v>SOLDIER</v>
      </c>
      <c r="C178" s="136" t="str">
        <f>IF(AND(STATS!C174="SWS",STATS!S174&gt;0),"YES","")</f>
        <v/>
      </c>
      <c r="D178" s="136"/>
      <c r="E178" s="136" t="str">
        <f>IF(AND(STATS!C174="SWS",STATS!T174&gt;0),"YES","")</f>
        <v/>
      </c>
      <c r="F178" s="19"/>
      <c r="H178" s="137" t="str">
        <f>IF(AND(STATS!C174="BOD",STATS!U174&gt;0),"YES","")</f>
        <v/>
      </c>
      <c r="I178" s="150"/>
      <c r="K178" s="138" t="str">
        <f>IF(AND(STATS!C174="BOF",STATS!U174&gt;0),"YES","")</f>
        <v/>
      </c>
      <c r="L178" s="151"/>
      <c r="M178" s="194"/>
    </row>
    <row r="179" spans="1:13" x14ac:dyDescent="0.25">
      <c r="A179" s="139">
        <f>STATS!E175</f>
        <v>993</v>
      </c>
      <c r="B179" s="139" t="str">
        <f>STATS!G175</f>
        <v>DUCK</v>
      </c>
      <c r="C179" s="136" t="str">
        <f>IF(AND(STATS!C175="SWS",STATS!S175&gt;0),"YES","")</f>
        <v/>
      </c>
      <c r="D179" s="136"/>
      <c r="E179" s="136" t="str">
        <f>IF(AND(STATS!C175="SWS",STATS!T175&gt;0),"YES","")</f>
        <v/>
      </c>
      <c r="F179" s="19"/>
      <c r="H179" s="137" t="str">
        <f>IF(AND(STATS!C175="BOD",STATS!U175&gt;0),"YES","")</f>
        <v/>
      </c>
      <c r="I179" s="150"/>
      <c r="K179" s="138" t="str">
        <f>IF(AND(STATS!C175="BOF",STATS!U175&gt;0),"YES","")</f>
        <v/>
      </c>
      <c r="L179" s="151"/>
      <c r="M179" s="194"/>
    </row>
    <row r="180" spans="1:13" x14ac:dyDescent="0.25">
      <c r="A180" s="139">
        <f>STATS!E176</f>
        <v>995</v>
      </c>
      <c r="B180" s="139" t="str">
        <f>STATS!G176</f>
        <v>JUNIPER</v>
      </c>
      <c r="C180" s="136" t="str">
        <f>IF(AND(STATS!C176="SWS",STATS!S176&gt;0),"YES","")</f>
        <v/>
      </c>
      <c r="D180" s="136"/>
      <c r="E180" s="136" t="str">
        <f>IF(AND(STATS!C176="SWS",STATS!T176&gt;0),"YES","")</f>
        <v/>
      </c>
      <c r="F180" s="19"/>
      <c r="H180" s="137" t="str">
        <f>IF(AND(STATS!C176="BOD",STATS!U176&gt;0),"YES","")</f>
        <v/>
      </c>
      <c r="I180" s="150"/>
      <c r="K180" s="138" t="str">
        <f>IF(AND(STATS!C176="BOF",STATS!U176&gt;0),"YES","")</f>
        <v/>
      </c>
      <c r="L180" s="151"/>
      <c r="M180" s="194"/>
    </row>
    <row r="181" spans="1:13" x14ac:dyDescent="0.25">
      <c r="A181" s="139">
        <f>STATS!E177</f>
        <v>996</v>
      </c>
      <c r="B181" s="139" t="str">
        <f>STATS!G177</f>
        <v>BERRY</v>
      </c>
      <c r="C181" s="136" t="str">
        <f>IF(AND(STATS!C177="SWS",STATS!S177&gt;0),"YES","")</f>
        <v/>
      </c>
      <c r="D181" s="136"/>
      <c r="E181" s="136" t="str">
        <f>IF(AND(STATS!C177="SWS",STATS!T177&gt;0),"YES","")</f>
        <v/>
      </c>
      <c r="F181" s="19"/>
      <c r="H181" s="137" t="str">
        <f>IF(AND(STATS!C177="BOD",STATS!U177&gt;0),"YES","")</f>
        <v/>
      </c>
      <c r="I181" s="150"/>
      <c r="K181" s="138" t="str">
        <f>IF(AND(STATS!C177="BOF",STATS!U177&gt;0),"YES","")</f>
        <v/>
      </c>
      <c r="L181" s="151"/>
      <c r="M181" s="194"/>
    </row>
    <row r="182" spans="1:13" x14ac:dyDescent="0.25">
      <c r="A182" s="139">
        <f>STATS!E178</f>
        <v>997</v>
      </c>
      <c r="B182" s="139" t="str">
        <f>STATS!G178</f>
        <v>BOX</v>
      </c>
      <c r="C182" s="136" t="str">
        <f>IF(AND(STATS!C178="SWS",STATS!S178&gt;0),"YES","")</f>
        <v/>
      </c>
      <c r="D182" s="136"/>
      <c r="E182" s="136" t="str">
        <f>IF(AND(STATS!C178="SWS",STATS!T178&gt;0),"YES","")</f>
        <v/>
      </c>
      <c r="F182" s="19"/>
      <c r="H182" s="137" t="str">
        <f>IF(AND(STATS!C178="BOD",STATS!U178&gt;0),"YES","")</f>
        <v/>
      </c>
      <c r="I182" s="150"/>
      <c r="K182" s="138" t="str">
        <f>IF(AND(STATS!C178="BOF",STATS!U178&gt;0),"YES","")</f>
        <v/>
      </c>
      <c r="L182" s="151"/>
      <c r="M182" s="194"/>
    </row>
    <row r="183" spans="1:13" x14ac:dyDescent="0.25">
      <c r="A183" s="139">
        <f>STATS!E179</f>
        <v>999</v>
      </c>
      <c r="B183" s="139" t="str">
        <f>STATS!G179</f>
        <v>CUSTER</v>
      </c>
      <c r="C183" s="136" t="str">
        <f>IF(AND(STATS!C179="SWS",STATS!S179&gt;0),"YES","")</f>
        <v/>
      </c>
      <c r="D183" s="136"/>
      <c r="E183" s="136" t="str">
        <f>IF(AND(STATS!C179="SWS",STATS!T179&gt;0),"YES","")</f>
        <v/>
      </c>
      <c r="F183" s="19"/>
      <c r="H183" s="137" t="str">
        <f>IF(AND(STATS!C179="BOD",STATS!U179&gt;0),"YES","")</f>
        <v/>
      </c>
      <c r="I183" s="150"/>
      <c r="K183" s="138" t="str">
        <f>IF(AND(STATS!C179="BOF",STATS!U179&gt;0),"YES","")</f>
        <v/>
      </c>
      <c r="L183" s="151"/>
      <c r="M183" s="194"/>
    </row>
    <row r="184" spans="1:13" x14ac:dyDescent="0.25">
      <c r="A184" s="139">
        <f>STATS!E180</f>
        <v>1000</v>
      </c>
      <c r="B184" s="139" t="str">
        <f>STATS!G180</f>
        <v>EARL</v>
      </c>
      <c r="C184" s="136" t="str">
        <f>IF(AND(STATS!C180="SWS",STATS!S180&gt;0),"YES","")</f>
        <v/>
      </c>
      <c r="D184" s="136"/>
      <c r="E184" s="136" t="str">
        <f>IF(AND(STATS!C180="SWS",STATS!T180&gt;0),"YES","")</f>
        <v/>
      </c>
      <c r="F184" s="19"/>
      <c r="H184" s="137" t="str">
        <f>IF(AND(STATS!C180="BOD",STATS!U180&gt;0),"YES","")</f>
        <v/>
      </c>
      <c r="I184" s="150"/>
      <c r="K184" s="138" t="str">
        <f>IF(AND(STATS!C180="BOF",STATS!U180&gt;0),"YES","")</f>
        <v/>
      </c>
      <c r="L184" s="151"/>
      <c r="M184" s="194"/>
    </row>
    <row r="185" spans="1:13" x14ac:dyDescent="0.25">
      <c r="A185" s="139">
        <f>STATS!E181</f>
        <v>1003</v>
      </c>
      <c r="B185" s="139" t="str">
        <f>STATS!G181</f>
        <v>GEM</v>
      </c>
      <c r="C185" s="136" t="str">
        <f>IF(AND(STATS!C181="SWS",STATS!S181&gt;0),"YES","")</f>
        <v/>
      </c>
      <c r="D185" s="136"/>
      <c r="E185" s="136" t="str">
        <f>IF(AND(STATS!C181="SWS",STATS!T181&gt;0),"YES","")</f>
        <v/>
      </c>
      <c r="F185" s="19"/>
      <c r="H185" s="137" t="str">
        <f>IF(AND(STATS!C181="BOD",STATS!U181&gt;0),"YES","")</f>
        <v/>
      </c>
      <c r="I185" s="150"/>
      <c r="K185" s="138" t="str">
        <f>IF(AND(STATS!C181="BOF",STATS!U181&gt;0),"YES","")</f>
        <v/>
      </c>
      <c r="L185" s="151"/>
      <c r="M185" s="194"/>
    </row>
    <row r="186" spans="1:13" x14ac:dyDescent="0.25">
      <c r="A186" s="139">
        <f>STATS!E182</f>
        <v>1008</v>
      </c>
      <c r="B186" s="139" t="str">
        <f>STATS!G182</f>
        <v>PEAR</v>
      </c>
      <c r="C186" s="136" t="str">
        <f>IF(AND(STATS!C182="SWS",STATS!S182&gt;0),"YES","")</f>
        <v/>
      </c>
      <c r="D186" s="136"/>
      <c r="E186" s="136" t="str">
        <f>IF(AND(STATS!C182="SWS",STATS!T182&gt;0),"YES","")</f>
        <v/>
      </c>
      <c r="F186" s="19"/>
      <c r="H186" s="137" t="str">
        <f>IF(AND(STATS!C182="BOD",STATS!U182&gt;0),"YES","")</f>
        <v/>
      </c>
      <c r="I186" s="150"/>
      <c r="K186" s="138" t="str">
        <f>IF(AND(STATS!C182="BOF",STATS!U182&gt;0),"YES","")</f>
        <v/>
      </c>
      <c r="L186" s="151"/>
      <c r="M186" s="194"/>
    </row>
    <row r="187" spans="1:13" x14ac:dyDescent="0.25">
      <c r="A187" s="139">
        <f>STATS!E183</f>
        <v>1010</v>
      </c>
      <c r="B187" s="139" t="str">
        <f>STATS!G183</f>
        <v>EAR</v>
      </c>
      <c r="C187" s="136" t="str">
        <f>IF(AND(STATS!C183="SWS",STATS!S183&gt;0),"YES","")</f>
        <v/>
      </c>
      <c r="D187" s="136"/>
      <c r="E187" s="136" t="str">
        <f>IF(AND(STATS!C183="SWS",STATS!T183&gt;0),"YES","")</f>
        <v/>
      </c>
      <c r="F187" s="19"/>
      <c r="H187" s="137" t="str">
        <f>IF(AND(STATS!C183="BOD",STATS!U183&gt;0),"YES","")</f>
        <v/>
      </c>
      <c r="I187" s="150"/>
      <c r="K187" s="138" t="str">
        <f>IF(AND(STATS!C183="BOF",STATS!U183&gt;0),"YES","")</f>
        <v/>
      </c>
      <c r="L187" s="151"/>
      <c r="M187" s="194"/>
    </row>
    <row r="188" spans="1:13" x14ac:dyDescent="0.25">
      <c r="A188" s="139">
        <f>STATS!E184</f>
        <v>1023</v>
      </c>
      <c r="B188" s="139" t="str">
        <f>STATS!G184</f>
        <v>RYE</v>
      </c>
      <c r="C188" s="136" t="str">
        <f>IF(AND(STATS!C184="SWS",STATS!S184&gt;0),"YES","")</f>
        <v/>
      </c>
      <c r="D188" s="136"/>
      <c r="E188" s="136" t="str">
        <f>IF(AND(STATS!C184="SWS",STATS!T184&gt;0),"YES","")</f>
        <v/>
      </c>
      <c r="F188" s="19"/>
      <c r="H188" s="137" t="str">
        <f>IF(AND(STATS!C184="BOD",STATS!U184&gt;0),"YES","")</f>
        <v/>
      </c>
      <c r="I188" s="150"/>
      <c r="K188" s="138" t="str">
        <f>IF(AND(STATS!C184="BOF",STATS!U184&gt;0),"YES","")</f>
        <v/>
      </c>
      <c r="L188" s="151"/>
      <c r="M188" s="194"/>
    </row>
    <row r="189" spans="1:13" x14ac:dyDescent="0.25">
      <c r="A189" s="139">
        <f>STATS!E185</f>
        <v>1025</v>
      </c>
      <c r="B189" s="139" t="str">
        <f>STATS!G185</f>
        <v>LOOP</v>
      </c>
      <c r="C189" s="136" t="str">
        <f>IF(AND(STATS!C185="SWS",STATS!S185&gt;0),"YES","")</f>
        <v/>
      </c>
      <c r="D189" s="136"/>
      <c r="E189" s="136" t="str">
        <f>IF(AND(STATS!C185="SWS",STATS!T185&gt;0),"YES","")</f>
        <v/>
      </c>
      <c r="F189" s="19"/>
      <c r="H189" s="137" t="str">
        <f>IF(AND(STATS!C185="BOD",STATS!U185&gt;0),"YES","")</f>
        <v/>
      </c>
      <c r="I189" s="150"/>
      <c r="K189" s="138" t="str">
        <f>IF(AND(STATS!C185="BOF",STATS!U185&gt;0),"YES","")</f>
        <v/>
      </c>
      <c r="L189" s="151"/>
      <c r="M189" s="194"/>
    </row>
    <row r="190" spans="1:13" x14ac:dyDescent="0.25">
      <c r="A190" s="139">
        <f>STATS!E186</f>
        <v>1020</v>
      </c>
      <c r="B190" s="139" t="str">
        <f>STATS!G186</f>
        <v>HOOKER CREEK</v>
      </c>
      <c r="C190" s="136" t="str">
        <f>IF(AND(STATS!C186="SWS",STATS!S186&gt;0),"YES","")</f>
        <v/>
      </c>
      <c r="D190" s="136"/>
      <c r="E190" s="136" t="str">
        <f>IF(AND(STATS!C186="SWS",STATS!T186&gt;0),"YES","")</f>
        <v/>
      </c>
      <c r="F190" s="19"/>
      <c r="H190" s="137" t="str">
        <f>IF(AND(STATS!C186="BOD",STATS!U186&gt;0),"YES","")</f>
        <v/>
      </c>
      <c r="I190" s="150"/>
      <c r="K190" s="138" t="str">
        <f>IF(AND(STATS!C186="BOF",STATS!U186&gt;0),"YES","")</f>
        <v/>
      </c>
      <c r="L190" s="151"/>
      <c r="M190" s="194"/>
    </row>
    <row r="191" spans="1:13" x14ac:dyDescent="0.25">
      <c r="A191" s="139">
        <f>STATS!E187</f>
        <v>1045</v>
      </c>
      <c r="B191" s="139" t="str">
        <f>STATS!G187</f>
        <v>SIXBIT</v>
      </c>
      <c r="C191" s="136" t="str">
        <f>IF(AND(STATS!C187="SWS",STATS!S187&gt;0),"YES","")</f>
        <v/>
      </c>
      <c r="D191" s="136"/>
      <c r="E191" s="136" t="str">
        <f>IF(AND(STATS!C187="SWS",STATS!T187&gt;0),"YES","")</f>
        <v/>
      </c>
      <c r="F191" s="19"/>
      <c r="H191" s="137" t="str">
        <f>IF(AND(STATS!C187="BOD",STATS!U187&gt;0),"YES","")</f>
        <v/>
      </c>
      <c r="I191" s="150"/>
      <c r="K191" s="138" t="str">
        <f>IF(AND(STATS!C187="BOF",STATS!U187&gt;0),"YES","")</f>
        <v/>
      </c>
      <c r="L191" s="151"/>
      <c r="M191" s="194"/>
    </row>
    <row r="192" spans="1:13" x14ac:dyDescent="0.25">
      <c r="A192" s="139">
        <f>STATS!E188</f>
        <v>1064</v>
      </c>
      <c r="B192" s="139" t="str">
        <f>STATS!G188</f>
        <v>OASIS</v>
      </c>
      <c r="C192" s="136" t="str">
        <f>IF(AND(STATS!C188="SWS",STATS!S188&gt;0),"YES","")</f>
        <v/>
      </c>
      <c r="D192" s="136"/>
      <c r="E192" s="136" t="str">
        <f>IF(AND(STATS!C188="SWS",STATS!T188&gt;0),"YES","")</f>
        <v/>
      </c>
      <c r="F192" s="19"/>
      <c r="H192" s="137" t="str">
        <f>IF(AND(STATS!C188="BOD",STATS!U188&gt;0),"YES","")</f>
        <v/>
      </c>
      <c r="I192" s="150"/>
      <c r="K192" s="138" t="str">
        <f>IF(AND(STATS!C188="BOF",STATS!U188&gt;0),"YES","")</f>
        <v/>
      </c>
      <c r="L192" s="151"/>
      <c r="M192" s="194"/>
    </row>
    <row r="193" spans="1:13" x14ac:dyDescent="0.25">
      <c r="A193" s="139">
        <f>STATS!E189</f>
        <v>1065</v>
      </c>
      <c r="B193" s="139" t="str">
        <f>STATS!G189</f>
        <v>WENTWORTH</v>
      </c>
      <c r="C193" s="136" t="str">
        <f>IF(AND(STATS!C189="SWS",STATS!S189&gt;0),"YES","")</f>
        <v/>
      </c>
      <c r="D193" s="136"/>
      <c r="E193" s="136" t="str">
        <f>IF(AND(STATS!C189="SWS",STATS!T189&gt;0),"YES","")</f>
        <v/>
      </c>
      <c r="F193" s="19"/>
      <c r="H193" s="137" t="str">
        <f>IF(AND(STATS!C189="BOD",STATS!U189&gt;0),"YES","")</f>
        <v/>
      </c>
      <c r="I193" s="150"/>
      <c r="K193" s="138" t="str">
        <f>IF(AND(STATS!C189="BOF",STATS!U189&gt;0),"YES","")</f>
        <v/>
      </c>
      <c r="L193" s="151"/>
      <c r="M193" s="194"/>
    </row>
    <row r="194" spans="1:13" x14ac:dyDescent="0.25">
      <c r="A194" s="139">
        <f>STATS!E190</f>
        <v>1068</v>
      </c>
      <c r="B194" s="139" t="str">
        <f>STATS!G190</f>
        <v>TIE</v>
      </c>
      <c r="C194" s="136" t="str">
        <f>IF(AND(STATS!C190="SWS",STATS!S190&gt;0),"YES","")</f>
        <v/>
      </c>
      <c r="D194" s="136"/>
      <c r="E194" s="136" t="str">
        <f>IF(AND(STATS!C190="SWS",STATS!T190&gt;0),"YES","")</f>
        <v/>
      </c>
      <c r="F194" s="19"/>
      <c r="H194" s="137" t="str">
        <f>IF(AND(STATS!C190="BOD",STATS!U190&gt;0),"YES","")</f>
        <v/>
      </c>
      <c r="I194" s="150"/>
      <c r="K194" s="138" t="str">
        <f>IF(AND(STATS!C190="BOF",STATS!U190&gt;0),"YES","")</f>
        <v/>
      </c>
      <c r="L194" s="151"/>
      <c r="M194" s="194"/>
    </row>
    <row r="195" spans="1:13" x14ac:dyDescent="0.25">
      <c r="A195" s="139">
        <f>STATS!E191</f>
        <v>1069</v>
      </c>
      <c r="B195" s="139" t="str">
        <f>STATS!G191</f>
        <v>MM69 HWY51</v>
      </c>
      <c r="C195" s="136" t="str">
        <f>IF(AND(STATS!C191="SWS",STATS!S191&gt;0),"YES","")</f>
        <v/>
      </c>
      <c r="D195" s="136"/>
      <c r="E195" s="136" t="str">
        <f>IF(AND(STATS!C191="SWS",STATS!T191&gt;0),"YES","")</f>
        <v/>
      </c>
      <c r="F195" s="19"/>
      <c r="H195" s="137" t="str">
        <f>IF(AND(STATS!C191="BOD",STATS!U191&gt;0),"YES","")</f>
        <v/>
      </c>
      <c r="I195" s="150"/>
      <c r="K195" s="138" t="str">
        <f>IF(AND(STATS!C191="BOF",STATS!U191&gt;0),"YES","")</f>
        <v/>
      </c>
      <c r="L195" s="151"/>
      <c r="M195" s="194"/>
    </row>
    <row r="196" spans="1:13" x14ac:dyDescent="0.25">
      <c r="A196" s="139">
        <f>STATS!E192</f>
        <v>1072</v>
      </c>
      <c r="B196" s="139" t="str">
        <f>STATS!G192</f>
        <v>MORES</v>
      </c>
      <c r="C196" s="136" t="str">
        <f>IF(AND(STATS!C192="SWS",STATS!S192&gt;0),"YES","")</f>
        <v/>
      </c>
      <c r="D196" s="136"/>
      <c r="E196" s="136" t="str">
        <f>IF(AND(STATS!C192="SWS",STATS!T192&gt;0),"YES","")</f>
        <v/>
      </c>
      <c r="F196" s="19"/>
      <c r="H196" s="137" t="str">
        <f>IF(AND(STATS!C192="BOD",STATS!U192&gt;0),"YES","")</f>
        <v/>
      </c>
      <c r="I196" s="150"/>
      <c r="K196" s="138" t="str">
        <f>IF(AND(STATS!C192="BOF",STATS!U192&gt;0),"YES","")</f>
        <v/>
      </c>
      <c r="L196" s="151"/>
      <c r="M196" s="194"/>
    </row>
    <row r="197" spans="1:13" x14ac:dyDescent="0.25">
      <c r="A197" s="139">
        <f>STATS!E193</f>
        <v>1079</v>
      </c>
      <c r="B197" s="139" t="str">
        <f>STATS!G193</f>
        <v>PEACHY</v>
      </c>
      <c r="C197" s="136" t="str">
        <f>IF(AND(STATS!C193="SWS",STATS!S193&gt;0),"YES","")</f>
        <v/>
      </c>
      <c r="D197" s="136"/>
      <c r="E197" s="136" t="str">
        <f>IF(AND(STATS!C193="SWS",STATS!T193&gt;0),"YES","")</f>
        <v/>
      </c>
      <c r="F197" s="19"/>
      <c r="H197" s="137" t="str">
        <f>IF(AND(STATS!C193="BOD",STATS!U193&gt;0),"YES","")</f>
        <v/>
      </c>
      <c r="I197" s="150"/>
      <c r="K197" s="138" t="str">
        <f>IF(AND(STATS!C193="BOF",STATS!U193&gt;0),"YES","")</f>
        <v/>
      </c>
      <c r="L197" s="151"/>
      <c r="M197" s="194"/>
    </row>
    <row r="198" spans="1:13" x14ac:dyDescent="0.25">
      <c r="A198" s="139">
        <f>STATS!E194</f>
        <v>1093</v>
      </c>
      <c r="B198" s="139" t="str">
        <f>STATS!G194</f>
        <v>MULEY</v>
      </c>
      <c r="C198" s="136" t="str">
        <f>IF(AND(STATS!C194="SWS",STATS!S194&gt;0),"YES","")</f>
        <v/>
      </c>
      <c r="D198" s="136"/>
      <c r="E198" s="136" t="str">
        <f>IF(AND(STATS!C194="SWS",STATS!T194&gt;0),"YES","")</f>
        <v/>
      </c>
      <c r="F198" s="19"/>
      <c r="H198" s="137" t="str">
        <f>IF(AND(STATS!C194="BOD",STATS!U194&gt;0),"YES","")</f>
        <v/>
      </c>
      <c r="I198" s="150"/>
      <c r="K198" s="138" t="str">
        <f>IF(AND(STATS!C194="BOF",STATS!U194&gt;0),"YES","")</f>
        <v/>
      </c>
      <c r="L198" s="151"/>
      <c r="M198" s="194"/>
    </row>
    <row r="199" spans="1:13" x14ac:dyDescent="0.25">
      <c r="A199" s="139">
        <f>STATS!E195</f>
        <v>1095</v>
      </c>
      <c r="B199" s="139" t="str">
        <f>STATS!G195</f>
        <v>STAN</v>
      </c>
      <c r="C199" s="136" t="str">
        <f>IF(AND(STATS!C195="SWS",STATS!S195&gt;0),"YES","")</f>
        <v/>
      </c>
      <c r="D199" s="136"/>
      <c r="E199" s="136" t="str">
        <f>IF(AND(STATS!C195="SWS",STATS!T195&gt;0),"YES","")</f>
        <v/>
      </c>
      <c r="F199" s="19"/>
      <c r="H199" s="137" t="str">
        <f>IF(AND(STATS!C195="BOD",STATS!U195&gt;0),"YES","")</f>
        <v/>
      </c>
      <c r="I199" s="150"/>
      <c r="K199" s="138" t="str">
        <f>IF(AND(STATS!C195="BOF",STATS!U195&gt;0),"YES","")</f>
        <v/>
      </c>
      <c r="L199" s="151"/>
      <c r="M199" s="194"/>
    </row>
    <row r="200" spans="1:13" x14ac:dyDescent="0.25">
      <c r="A200" s="139">
        <f>STATS!E196</f>
        <v>1100</v>
      </c>
      <c r="B200" s="139" t="str">
        <f>STATS!G196</f>
        <v>MM79 I84</v>
      </c>
      <c r="C200" s="136" t="str">
        <f>IF(AND(STATS!C196="SWS",STATS!S196&gt;0),"YES","")</f>
        <v/>
      </c>
      <c r="D200" s="136"/>
      <c r="E200" s="136" t="str">
        <f>IF(AND(STATS!C196="SWS",STATS!T196&gt;0),"YES","")</f>
        <v/>
      </c>
      <c r="F200" s="19"/>
      <c r="H200" s="137" t="str">
        <f>IF(AND(STATS!C196="BOD",STATS!U196&gt;0),"YES","")</f>
        <v/>
      </c>
      <c r="I200" s="150"/>
      <c r="K200" s="138" t="str">
        <f>IF(AND(STATS!C196="BOF",STATS!U196&gt;0),"YES","")</f>
        <v/>
      </c>
      <c r="L200" s="151"/>
      <c r="M200" s="194"/>
    </row>
    <row r="201" spans="1:13" x14ac:dyDescent="0.25">
      <c r="A201" s="139">
        <f>STATS!E197</f>
        <v>1121</v>
      </c>
      <c r="B201" s="139" t="str">
        <f>STATS!G197</f>
        <v>WARRIOR</v>
      </c>
      <c r="C201" s="136" t="str">
        <f>IF(AND(STATS!C197="SWS",STATS!S197&gt;0),"YES","")</f>
        <v/>
      </c>
      <c r="D201" s="136"/>
      <c r="E201" s="136" t="str">
        <f>IF(AND(STATS!C197="SWS",STATS!T197&gt;0),"YES","")</f>
        <v/>
      </c>
      <c r="F201" s="19"/>
      <c r="H201" s="137" t="str">
        <f>IF(AND(STATS!C197="BOD",STATS!U197&gt;0),"YES","")</f>
        <v/>
      </c>
      <c r="I201" s="150"/>
      <c r="K201" s="138" t="str">
        <f>IF(AND(STATS!C197="BOF",STATS!U197&gt;0),"YES","")</f>
        <v/>
      </c>
      <c r="L201" s="151"/>
      <c r="M201" s="194"/>
    </row>
    <row r="202" spans="1:13" x14ac:dyDescent="0.25">
      <c r="A202" s="139">
        <f>STATS!E198</f>
        <v>1136</v>
      </c>
      <c r="B202" s="139" t="str">
        <f>STATS!G198</f>
        <v>NEEDLE</v>
      </c>
      <c r="C202" s="136" t="str">
        <f>IF(AND(STATS!C198="SWS",STATS!S198&gt;0),"YES","")</f>
        <v/>
      </c>
      <c r="D202" s="136"/>
      <c r="E202" s="136" t="str">
        <f>IF(AND(STATS!C198="SWS",STATS!T198&gt;0),"YES","")</f>
        <v/>
      </c>
      <c r="F202" s="19"/>
      <c r="H202" s="137" t="str">
        <f>IF(AND(STATS!C198="BOD",STATS!U198&gt;0),"YES","")</f>
        <v/>
      </c>
      <c r="I202" s="150"/>
      <c r="K202" s="138" t="str">
        <f>IF(AND(STATS!C198="BOF",STATS!U198&gt;0),"YES","")</f>
        <v/>
      </c>
      <c r="L202" s="151"/>
      <c r="M202" s="194"/>
    </row>
    <row r="203" spans="1:13" x14ac:dyDescent="0.25">
      <c r="A203" s="139">
        <f>STATS!E199</f>
        <v>1138</v>
      </c>
      <c r="B203" s="139" t="str">
        <f>STATS!G199</f>
        <v>COW</v>
      </c>
      <c r="C203" s="136" t="str">
        <f>IF(AND(STATS!C199="SWS",STATS!S199&gt;0),"YES","")</f>
        <v/>
      </c>
      <c r="D203" s="136"/>
      <c r="E203" s="136" t="str">
        <f>IF(AND(STATS!C199="SWS",STATS!T199&gt;0),"YES","")</f>
        <v/>
      </c>
      <c r="F203" s="19"/>
      <c r="H203" s="137" t="str">
        <f>IF(AND(STATS!C199="BOD",STATS!U199&gt;0),"YES","")</f>
        <v/>
      </c>
      <c r="I203" s="150"/>
      <c r="K203" s="138" t="str">
        <f>IF(AND(STATS!C199="BOF",STATS!U199&gt;0),"YES","")</f>
        <v/>
      </c>
      <c r="L203" s="151"/>
      <c r="M203" s="194"/>
    </row>
    <row r="204" spans="1:13" x14ac:dyDescent="0.25">
      <c r="A204" s="139">
        <f>STATS!E200</f>
        <v>1144</v>
      </c>
      <c r="B204" s="139" t="str">
        <f>STATS!G200</f>
        <v>BURR</v>
      </c>
      <c r="C204" s="136" t="str">
        <f>IF(AND(STATS!C200="SWS",STATS!S200&gt;0),"YES","")</f>
        <v/>
      </c>
      <c r="D204" s="136"/>
      <c r="E204" s="136" t="str">
        <f>IF(AND(STATS!C200="SWS",STATS!T200&gt;0),"YES","")</f>
        <v/>
      </c>
      <c r="F204" s="19"/>
      <c r="H204" s="137" t="str">
        <f>IF(AND(STATS!C200="BOD",STATS!U200&gt;0),"YES","")</f>
        <v/>
      </c>
      <c r="I204" s="150"/>
      <c r="K204" s="138" t="str">
        <f>IF(AND(STATS!C200="BOF",STATS!U200&gt;0),"YES","")</f>
        <v/>
      </c>
      <c r="L204" s="151"/>
      <c r="M204" s="194"/>
    </row>
    <row r="205" spans="1:13" x14ac:dyDescent="0.25">
      <c r="A205" s="139">
        <f>STATS!E201</f>
        <v>1147</v>
      </c>
      <c r="B205" s="139" t="str">
        <f>STATS!G201</f>
        <v>WASTE</v>
      </c>
      <c r="C205" s="136" t="str">
        <f>IF(AND(STATS!C201="SWS",STATS!S201&gt;0),"YES","")</f>
        <v/>
      </c>
      <c r="D205" s="136"/>
      <c r="E205" s="136" t="str">
        <f>IF(AND(STATS!C201="SWS",STATS!T201&gt;0),"YES","")</f>
        <v/>
      </c>
      <c r="F205" s="19"/>
      <c r="H205" s="137" t="str">
        <f>IF(AND(STATS!C201="BOD",STATS!U201&gt;0),"YES","")</f>
        <v/>
      </c>
      <c r="I205" s="150"/>
      <c r="K205" s="138" t="str">
        <f>IF(AND(STATS!C201="BOF",STATS!U201&gt;0),"YES","")</f>
        <v/>
      </c>
      <c r="L205" s="151"/>
      <c r="M205" s="194"/>
    </row>
    <row r="206" spans="1:13" x14ac:dyDescent="0.25">
      <c r="A206" s="139">
        <f>STATS!E202</f>
        <v>1163</v>
      </c>
      <c r="B206" s="139" t="str">
        <f>STATS!G202</f>
        <v>BLACKSAND</v>
      </c>
      <c r="C206" s="136" t="str">
        <f>IF(AND(STATS!C202="SWS",STATS!S202&gt;0),"YES","")</f>
        <v/>
      </c>
      <c r="D206" s="136"/>
      <c r="E206" s="136" t="str">
        <f>IF(AND(STATS!C202="SWS",STATS!T202&gt;0),"YES","")</f>
        <v/>
      </c>
      <c r="F206" s="19"/>
      <c r="H206" s="137" t="str">
        <f>IF(AND(STATS!C202="BOD",STATS!U202&gt;0),"YES","")</f>
        <v/>
      </c>
      <c r="I206" s="150"/>
      <c r="K206" s="138" t="str">
        <f>IF(AND(STATS!C202="BOF",STATS!U202&gt;0),"YES","")</f>
        <v/>
      </c>
      <c r="L206" s="151"/>
      <c r="M206" s="194"/>
    </row>
    <row r="207" spans="1:13" x14ac:dyDescent="0.25">
      <c r="A207" s="139">
        <f>STATS!E203</f>
        <v>1166</v>
      </c>
      <c r="B207" s="139" t="str">
        <f>STATS!G203</f>
        <v>GALLAGHER</v>
      </c>
      <c r="C207" s="136" t="str">
        <f>IF(AND(STATS!C203="SWS",STATS!S203&gt;0),"YES","")</f>
        <v/>
      </c>
      <c r="D207" s="136"/>
      <c r="E207" s="136" t="str">
        <f>IF(AND(STATS!C203="SWS",STATS!T203&gt;0),"YES","")</f>
        <v/>
      </c>
      <c r="F207" s="19"/>
      <c r="H207" s="137" t="str">
        <f>IF(AND(STATS!C203="BOD",STATS!U203&gt;0),"YES","")</f>
        <v/>
      </c>
      <c r="I207" s="150"/>
      <c r="K207" s="138" t="str">
        <f>IF(AND(STATS!C203="BOF",STATS!U203&gt;0),"YES","")</f>
        <v/>
      </c>
      <c r="L207" s="151"/>
      <c r="M207" s="194"/>
    </row>
    <row r="208" spans="1:13" x14ac:dyDescent="0.25">
      <c r="A208" s="139">
        <f>STATS!E204</f>
        <v>1174</v>
      </c>
      <c r="B208" s="139" t="str">
        <f>STATS!G204</f>
        <v>TWENTY</v>
      </c>
      <c r="C208" s="136" t="str">
        <f>IF(AND(STATS!C204="SWS",STATS!S204&gt;0),"YES","")</f>
        <v/>
      </c>
      <c r="D208" s="136"/>
      <c r="E208" s="136" t="str">
        <f>IF(AND(STATS!C204="SWS",STATS!T204&gt;0),"YES","")</f>
        <v/>
      </c>
      <c r="F208" s="19"/>
      <c r="H208" s="137" t="str">
        <f>IF(AND(STATS!C204="BOD",STATS!U204&gt;0),"YES","")</f>
        <v/>
      </c>
      <c r="I208" s="150"/>
      <c r="K208" s="138" t="str">
        <f>IF(AND(STATS!C204="BOF",STATS!U204&gt;0),"YES","")</f>
        <v/>
      </c>
      <c r="L208" s="151"/>
      <c r="M208" s="194"/>
    </row>
    <row r="209" spans="1:13" x14ac:dyDescent="0.25">
      <c r="A209" s="139">
        <f>STATS!E205</f>
        <v>1176</v>
      </c>
      <c r="B209" s="139" t="str">
        <f>STATS!G205</f>
        <v>HARTLEY</v>
      </c>
      <c r="C209" s="136" t="str">
        <f>IF(AND(STATS!C205="SWS",STATS!S205&gt;0),"YES","")</f>
        <v/>
      </c>
      <c r="D209" s="136"/>
      <c r="E209" s="136" t="str">
        <f>IF(AND(STATS!C205="SWS",STATS!T205&gt;0),"YES","")</f>
        <v/>
      </c>
      <c r="F209" s="19"/>
      <c r="H209" s="137" t="str">
        <f>IF(AND(STATS!C205="BOD",STATS!U205&gt;0),"YES","")</f>
        <v/>
      </c>
      <c r="I209" s="150"/>
      <c r="K209" s="138" t="str">
        <f>IF(AND(STATS!C205="BOF",STATS!U205&gt;0),"YES","")</f>
        <v/>
      </c>
      <c r="L209" s="151"/>
      <c r="M209" s="194"/>
    </row>
    <row r="210" spans="1:13" x14ac:dyDescent="0.25">
      <c r="A210" s="139">
        <f>STATS!E206</f>
        <v>1181</v>
      </c>
      <c r="B210" s="139" t="str">
        <f>STATS!G206</f>
        <v>LYDLE</v>
      </c>
      <c r="C210" s="136" t="str">
        <f>IF(AND(STATS!C206="SWS",STATS!S206&gt;0),"YES","")</f>
        <v/>
      </c>
      <c r="D210" s="136"/>
      <c r="E210" s="136" t="str">
        <f>IF(AND(STATS!C206="SWS",STATS!T206&gt;0),"YES","")</f>
        <v/>
      </c>
      <c r="F210" s="19"/>
      <c r="H210" s="137" t="str">
        <f>IF(AND(STATS!C206="BOD",STATS!U206&gt;0),"YES","")</f>
        <v/>
      </c>
      <c r="I210" s="150"/>
      <c r="K210" s="138" t="str">
        <f>IF(AND(STATS!C206="BOF",STATS!U206&gt;0),"YES","")</f>
        <v/>
      </c>
      <c r="L210" s="151"/>
      <c r="M210" s="194"/>
    </row>
    <row r="211" spans="1:13" x14ac:dyDescent="0.25">
      <c r="A211" s="139">
        <f>STATS!E207</f>
        <v>1206</v>
      </c>
      <c r="B211" s="139" t="str">
        <f>STATS!G207</f>
        <v>HOT</v>
      </c>
      <c r="C211" s="136" t="str">
        <f>IF(AND(STATS!C207="SWS",STATS!S207&gt;0),"YES","")</f>
        <v/>
      </c>
      <c r="D211" s="136"/>
      <c r="E211" s="136" t="str">
        <f>IF(AND(STATS!C207="SWS",STATS!T207&gt;0),"YES","")</f>
        <v/>
      </c>
      <c r="F211" s="19"/>
      <c r="H211" s="137" t="str">
        <f>IF(AND(STATS!C207="BOD",STATS!U207&gt;0),"YES","")</f>
        <v/>
      </c>
      <c r="I211" s="150"/>
      <c r="K211" s="138" t="str">
        <f>IF(AND(STATS!C207="BOF",STATS!U207&gt;0),"YES","")</f>
        <v/>
      </c>
      <c r="L211" s="151"/>
      <c r="M211" s="194"/>
    </row>
    <row r="212" spans="1:13" x14ac:dyDescent="0.25">
      <c r="A212" s="139">
        <f>STATS!E208</f>
        <v>1211</v>
      </c>
      <c r="B212" s="139" t="str">
        <f>STATS!G208</f>
        <v>LYDE</v>
      </c>
      <c r="C212" s="136" t="str">
        <f>IF(AND(STATS!C208="SWS",STATS!S208&gt;0),"YES","")</f>
        <v/>
      </c>
      <c r="D212" s="136"/>
      <c r="E212" s="136" t="str">
        <f>IF(AND(STATS!C208="SWS",STATS!T208&gt;0),"YES","")</f>
        <v/>
      </c>
      <c r="F212" s="19"/>
      <c r="H212" s="137" t="str">
        <f>IF(AND(STATS!C208="BOD",STATS!U208&gt;0),"YES","")</f>
        <v/>
      </c>
      <c r="I212" s="150"/>
      <c r="K212" s="138" t="str">
        <f>IF(AND(STATS!C208="BOF",STATS!U208&gt;0),"YES","")</f>
        <v/>
      </c>
      <c r="L212" s="151"/>
      <c r="M212" s="194"/>
    </row>
    <row r="213" spans="1:13" x14ac:dyDescent="0.25">
      <c r="A213" s="139">
        <f>STATS!E209</f>
        <v>1212</v>
      </c>
      <c r="B213" s="139" t="str">
        <f>STATS!G209</f>
        <v>HUMDRUM</v>
      </c>
      <c r="C213" s="136" t="str">
        <f>IF(AND(STATS!C209="SWS",STATS!S209&gt;0),"YES","")</f>
        <v/>
      </c>
      <c r="D213" s="136"/>
      <c r="E213" s="136" t="str">
        <f>IF(AND(STATS!C209="SWS",STATS!T209&gt;0),"YES","")</f>
        <v/>
      </c>
      <c r="F213" s="19"/>
      <c r="H213" s="137" t="str">
        <f>IF(AND(STATS!C209="BOD",STATS!U209&gt;0),"YES","")</f>
        <v/>
      </c>
      <c r="I213" s="150"/>
      <c r="K213" s="138" t="str">
        <f>IF(AND(STATS!C209="BOF",STATS!U209&gt;0),"YES","")</f>
        <v/>
      </c>
      <c r="L213" s="151"/>
      <c r="M213" s="194"/>
    </row>
    <row r="214" spans="1:13" x14ac:dyDescent="0.25">
      <c r="A214" s="139">
        <f>STATS!E210</f>
        <v>1219</v>
      </c>
      <c r="B214" s="139" t="str">
        <f>STATS!G210</f>
        <v>MINNEHA</v>
      </c>
      <c r="C214" s="136" t="str">
        <f>IF(AND(STATS!C210="SWS",STATS!S210&gt;0),"YES","")</f>
        <v/>
      </c>
      <c r="D214" s="136"/>
      <c r="E214" s="136" t="str">
        <f>IF(AND(STATS!C210="SWS",STATS!T210&gt;0),"YES","")</f>
        <v>YES</v>
      </c>
      <c r="F214" s="19" t="s">
        <v>231</v>
      </c>
      <c r="H214" s="137" t="str">
        <f>IF(AND(STATS!C210="BOD",STATS!U210&gt;0),"YES","")</f>
        <v/>
      </c>
      <c r="I214" s="150"/>
      <c r="K214" s="138" t="str">
        <f>IF(AND(STATS!C210="BOF",STATS!U210&gt;0),"YES","")</f>
        <v/>
      </c>
      <c r="L214" s="151"/>
      <c r="M214" s="194"/>
    </row>
    <row r="215" spans="1:13" x14ac:dyDescent="0.25">
      <c r="A215" s="139">
        <f>STATS!E211</f>
        <v>1305</v>
      </c>
      <c r="B215" s="139" t="str">
        <f>STATS!G211</f>
        <v>SALMON</v>
      </c>
      <c r="C215" s="136" t="str">
        <f>IF(AND(STATS!C211="SWS",STATS!S211&gt;0),"YES","")</f>
        <v/>
      </c>
      <c r="D215" s="136"/>
      <c r="E215" s="136" t="str">
        <f>IF(AND(STATS!C211="SWS",STATS!T211&gt;0),"YES","")</f>
        <v/>
      </c>
      <c r="F215" s="19"/>
      <c r="H215" s="137" t="str">
        <f>IF(AND(STATS!C211="BOD",STATS!U211&gt;0),"YES","")</f>
        <v/>
      </c>
      <c r="I215" s="150"/>
      <c r="K215" s="138" t="str">
        <f>IF(AND(STATS!C211="BOF",STATS!U211&gt;0),"YES","")</f>
        <v/>
      </c>
      <c r="L215" s="151"/>
      <c r="M215" s="194"/>
    </row>
    <row r="216" spans="1:13" x14ac:dyDescent="0.25">
      <c r="A216" s="139">
        <f>STATS!E212</f>
        <v>1372</v>
      </c>
      <c r="B216" s="139" t="str">
        <f>STATS!G212</f>
        <v>HOUSE</v>
      </c>
      <c r="C216" s="136" t="str">
        <f>IF(AND(STATS!C212="SWS",STATS!S212&gt;0),"YES","")</f>
        <v/>
      </c>
      <c r="D216" s="136"/>
      <c r="E216" s="136" t="str">
        <f>IF(AND(STATS!C212="SWS",STATS!T212&gt;0),"YES","")</f>
        <v/>
      </c>
      <c r="F216" s="19"/>
      <c r="H216" s="137" t="str">
        <f>IF(AND(STATS!C212="BOD",STATS!U212&gt;0),"YES","")</f>
        <v/>
      </c>
      <c r="I216" s="150"/>
      <c r="K216" s="138" t="str">
        <f>IF(AND(STATS!C212="BOF",STATS!U212&gt;0),"YES","")</f>
        <v/>
      </c>
      <c r="L216" s="151"/>
      <c r="M216" s="194"/>
    </row>
    <row r="217" spans="1:13" x14ac:dyDescent="0.25">
      <c r="A217" s="139">
        <f>STATS!E213</f>
        <v>1418</v>
      </c>
      <c r="B217" s="139" t="str">
        <f>STATS!G213</f>
        <v>POST</v>
      </c>
      <c r="C217" s="136" t="str">
        <f>IF(AND(STATS!C213="SWS",STATS!S213&gt;0),"YES","")</f>
        <v/>
      </c>
      <c r="D217" s="136"/>
      <c r="E217" s="136" t="str">
        <f>IF(AND(STATS!C213="SWS",STATS!T213&gt;0),"YES","")</f>
        <v/>
      </c>
      <c r="F217" s="19"/>
      <c r="H217" s="137" t="str">
        <f>IF(AND(STATS!C213="BOD",STATS!U213&gt;0),"YES","")</f>
        <v/>
      </c>
      <c r="I217" s="150"/>
      <c r="K217" s="138" t="str">
        <f>IF(AND(STATS!C213="BOF",STATS!U213&gt;0),"YES","")</f>
        <v/>
      </c>
      <c r="L217" s="151"/>
      <c r="M217" s="194"/>
    </row>
    <row r="218" spans="1:13" x14ac:dyDescent="0.25">
      <c r="A218" s="139">
        <f>STATS!E214</f>
        <v>1419</v>
      </c>
      <c r="B218" s="139" t="str">
        <f>STATS!G214</f>
        <v>BANKS</v>
      </c>
      <c r="C218" s="136" t="str">
        <f>IF(AND(STATS!C214="SWS",STATS!S214&gt;0),"YES","")</f>
        <v/>
      </c>
      <c r="D218" s="136"/>
      <c r="E218" s="136" t="str">
        <f>IF(AND(STATS!C214="SWS",STATS!T214&gt;0),"YES","")</f>
        <v>YES</v>
      </c>
      <c r="F218" s="19" t="s">
        <v>231</v>
      </c>
      <c r="H218" s="137" t="str">
        <f>IF(AND(STATS!C214="BOD",STATS!U214&gt;0),"YES","")</f>
        <v/>
      </c>
      <c r="I218" s="150"/>
      <c r="K218" s="138" t="str">
        <f>IF(AND(STATS!C214="BOF",STATS!U214&gt;0),"YES","")</f>
        <v/>
      </c>
      <c r="L218" s="151"/>
      <c r="M218" s="194"/>
    </row>
    <row r="219" spans="1:13" x14ac:dyDescent="0.25">
      <c r="A219" s="139">
        <f>STATS!E215</f>
        <v>1422</v>
      </c>
      <c r="B219" s="139" t="str">
        <f>STATS!G215</f>
        <v>GULCH</v>
      </c>
      <c r="C219" s="136" t="str">
        <f>IF(AND(STATS!C215="SWS",STATS!S215&gt;0),"YES","")</f>
        <v/>
      </c>
      <c r="D219" s="136"/>
      <c r="E219" s="136" t="str">
        <f>IF(AND(STATS!C215="SWS",STATS!T215&gt;0),"YES","")</f>
        <v>YES</v>
      </c>
      <c r="F219" s="19" t="s">
        <v>231</v>
      </c>
      <c r="H219" s="137" t="str">
        <f>IF(AND(STATS!C215="BOD",STATS!U215&gt;0),"YES","")</f>
        <v/>
      </c>
      <c r="I219" s="150"/>
      <c r="K219" s="138" t="str">
        <f>IF(AND(STATS!C215="BOF",STATS!U215&gt;0),"YES","")</f>
        <v/>
      </c>
      <c r="L219" s="151"/>
      <c r="M219" s="194"/>
    </row>
    <row r="220" spans="1:13" x14ac:dyDescent="0.25">
      <c r="A220" s="139">
        <f>STATS!E216</f>
        <v>1505</v>
      </c>
      <c r="B220" s="139" t="str">
        <f>STATS!G216</f>
        <v>MING</v>
      </c>
      <c r="C220" s="136" t="str">
        <f>IF(AND(STATS!C216="SWS",STATS!S216&gt;0),"YES","")</f>
        <v/>
      </c>
      <c r="D220" s="136"/>
      <c r="E220" s="136" t="str">
        <f>IF(AND(STATS!C216="SWS",STATS!T216&gt;0),"YES","")</f>
        <v/>
      </c>
      <c r="F220" s="19"/>
      <c r="H220" s="137" t="str">
        <f>IF(AND(STATS!C216="BOD",STATS!U216&gt;0),"YES","")</f>
        <v/>
      </c>
      <c r="I220" s="150"/>
      <c r="K220" s="138" t="str">
        <f>IF(AND(STATS!C216="BOF",STATS!U216&gt;0),"YES","")</f>
        <v/>
      </c>
      <c r="L220" s="151"/>
      <c r="M220" s="194"/>
    </row>
    <row r="221" spans="1:13" x14ac:dyDescent="0.25">
      <c r="A221" s="139">
        <f>STATS!E217</f>
        <v>1506</v>
      </c>
      <c r="B221" s="139" t="str">
        <f>STATS!G217</f>
        <v>KARNEY</v>
      </c>
      <c r="C221" s="136" t="str">
        <f>IF(AND(STATS!C217="SWS",STATS!S217&gt;0),"YES","")</f>
        <v/>
      </c>
      <c r="D221" s="136"/>
      <c r="E221" s="136" t="str">
        <f>IF(AND(STATS!C217="SWS",STATS!T217&gt;0),"YES","")</f>
        <v>YES</v>
      </c>
      <c r="F221" s="19" t="s">
        <v>231</v>
      </c>
      <c r="H221" s="137" t="str">
        <f>IF(AND(STATS!C217="BOD",STATS!U217&gt;0),"YES","")</f>
        <v/>
      </c>
      <c r="I221" s="150"/>
      <c r="K221" s="138" t="str">
        <f>IF(AND(STATS!C217="BOF",STATS!U217&gt;0),"YES","")</f>
        <v/>
      </c>
      <c r="L221" s="151"/>
      <c r="M221" s="194"/>
    </row>
    <row r="222" spans="1:13" x14ac:dyDescent="0.25">
      <c r="A222" s="139">
        <f>STATS!E218</f>
        <v>0</v>
      </c>
      <c r="B222" s="139">
        <f>STATS!G218</f>
        <v>0</v>
      </c>
      <c r="C222" s="136" t="str">
        <f>IF(AND(STATS!C218="SWS",STATS!S218&gt;0),"YES","")</f>
        <v/>
      </c>
      <c r="D222" s="136"/>
      <c r="E222" s="136" t="str">
        <f>IF(AND(STATS!C218="SWS",STATS!T218&gt;0),"YES","")</f>
        <v/>
      </c>
      <c r="F222" s="19"/>
      <c r="H222" s="137" t="str">
        <f>IF(AND(STATS!C218="BOD",STATS!U218&gt;0),"YES","")</f>
        <v/>
      </c>
      <c r="I222" s="150"/>
      <c r="K222" s="138" t="str">
        <f>IF(AND(STATS!C218="BOF",STATS!U218&gt;0),"YES","")</f>
        <v/>
      </c>
      <c r="L222" s="151"/>
      <c r="M222" s="194"/>
    </row>
    <row r="223" spans="1:13" x14ac:dyDescent="0.25">
      <c r="A223" s="139">
        <f>STATS!E219</f>
        <v>0</v>
      </c>
      <c r="B223" s="139">
        <f>STATS!G219</f>
        <v>0</v>
      </c>
      <c r="C223" s="136" t="str">
        <f>IF(AND(STATS!C219="SWS",STATS!S219&gt;0),"YES","")</f>
        <v/>
      </c>
      <c r="D223" s="136"/>
      <c r="E223" s="136" t="str">
        <f>IF(AND(STATS!C219="SWS",STATS!T219&gt;0),"YES","")</f>
        <v/>
      </c>
      <c r="F223" s="19"/>
      <c r="H223" s="137" t="str">
        <f>IF(AND(STATS!C219="BOD",STATS!U219&gt;0),"YES","")</f>
        <v/>
      </c>
      <c r="I223" s="150"/>
      <c r="K223" s="138" t="str">
        <f>IF(AND(STATS!C219="BOF",STATS!U219&gt;0),"YES","")</f>
        <v/>
      </c>
      <c r="L223" s="151"/>
      <c r="M223" s="194"/>
    </row>
    <row r="224" spans="1:13" x14ac:dyDescent="0.25">
      <c r="A224" s="139">
        <f>STATS!E220</f>
        <v>0</v>
      </c>
      <c r="B224" s="139">
        <f>STATS!G220</f>
        <v>0</v>
      </c>
      <c r="C224" s="136" t="str">
        <f>IF(AND(STATS!C220="SWS",STATS!S220&gt;0),"YES","")</f>
        <v/>
      </c>
      <c r="D224" s="136"/>
      <c r="E224" s="136" t="str">
        <f>IF(AND(STATS!C220="SWS",STATS!T220&gt;0),"YES","")</f>
        <v/>
      </c>
      <c r="F224" s="19"/>
      <c r="H224" s="137" t="str">
        <f>IF(AND(STATS!C220="BOD",STATS!U220&gt;0),"YES","")</f>
        <v/>
      </c>
      <c r="I224" s="150"/>
      <c r="K224" s="138" t="str">
        <f>IF(AND(STATS!C220="BOF",STATS!U220&gt;0),"YES","")</f>
        <v/>
      </c>
      <c r="L224" s="151"/>
      <c r="M224" s="194"/>
    </row>
    <row r="225" spans="1:13" x14ac:dyDescent="0.25">
      <c r="A225" s="139">
        <f>STATS!E221</f>
        <v>0</v>
      </c>
      <c r="B225" s="139">
        <f>STATS!G221</f>
        <v>0</v>
      </c>
      <c r="C225" s="136" t="str">
        <f>IF(AND(STATS!C221="SWS",STATS!S221&gt;0),"YES","")</f>
        <v/>
      </c>
      <c r="D225" s="136"/>
      <c r="E225" s="136" t="str">
        <f>IF(AND(STATS!C221="SWS",STATS!T221&gt;0),"YES","")</f>
        <v/>
      </c>
      <c r="F225" s="19"/>
      <c r="H225" s="137" t="str">
        <f>IF(AND(STATS!C221="BOD",STATS!U221&gt;0),"YES","")</f>
        <v/>
      </c>
      <c r="I225" s="150"/>
      <c r="K225" s="138" t="str">
        <f>IF(AND(STATS!C221="BOF",STATS!U221&gt;0),"YES","")</f>
        <v/>
      </c>
      <c r="L225" s="151"/>
      <c r="M225" s="194"/>
    </row>
    <row r="226" spans="1:13" x14ac:dyDescent="0.25">
      <c r="A226" s="139">
        <f>STATS!E222</f>
        <v>0</v>
      </c>
      <c r="B226" s="139">
        <f>STATS!G222</f>
        <v>0</v>
      </c>
      <c r="C226" s="136" t="str">
        <f>IF(AND(STATS!C222="SWS",STATS!S222&gt;0),"YES","")</f>
        <v/>
      </c>
      <c r="D226" s="136"/>
      <c r="E226" s="136" t="str">
        <f>IF(AND(STATS!C222="SWS",STATS!T222&gt;0),"YES","")</f>
        <v/>
      </c>
      <c r="F226" s="19"/>
      <c r="H226" s="137" t="str">
        <f>IF(AND(STATS!C222="BOD",STATS!U222&gt;0),"YES","")</f>
        <v/>
      </c>
      <c r="I226" s="150"/>
      <c r="K226" s="138" t="str">
        <f>IF(AND(STATS!C222="BOF",STATS!U222&gt;0),"YES","")</f>
        <v/>
      </c>
      <c r="L226" s="151"/>
      <c r="M226" s="194"/>
    </row>
    <row r="227" spans="1:13" x14ac:dyDescent="0.25">
      <c r="A227" s="139">
        <f>STATS!E223</f>
        <v>0</v>
      </c>
      <c r="B227" s="139">
        <f>STATS!G223</f>
        <v>0</v>
      </c>
      <c r="C227" s="136" t="str">
        <f>IF(AND(STATS!C223="SWS",STATS!S223&gt;0),"YES","")</f>
        <v/>
      </c>
      <c r="D227" s="136"/>
      <c r="E227" s="136" t="str">
        <f>IF(AND(STATS!C223="SWS",STATS!T223&gt;0),"YES","")</f>
        <v/>
      </c>
      <c r="F227" s="19"/>
      <c r="H227" s="137" t="str">
        <f>IF(AND(STATS!C223="BOD",STATS!U223&gt;0),"YES","")</f>
        <v/>
      </c>
      <c r="I227" s="150"/>
      <c r="K227" s="138" t="str">
        <f>IF(AND(STATS!C223="BOF",STATS!U223&gt;0),"YES","")</f>
        <v/>
      </c>
      <c r="L227" s="151"/>
      <c r="M227" s="194"/>
    </row>
    <row r="228" spans="1:13" x14ac:dyDescent="0.25">
      <c r="A228" s="139">
        <f>STATS!E224</f>
        <v>0</v>
      </c>
      <c r="B228" s="139">
        <f>STATS!G224</f>
        <v>0</v>
      </c>
      <c r="C228" s="136" t="str">
        <f>IF(AND(STATS!C224="SWS",STATS!S224&gt;0),"YES","")</f>
        <v/>
      </c>
      <c r="D228" s="136"/>
      <c r="E228" s="136" t="str">
        <f>IF(AND(STATS!C224="SWS",STATS!T224&gt;0),"YES","")</f>
        <v/>
      </c>
      <c r="F228" s="19"/>
      <c r="H228" s="137" t="str">
        <f>IF(AND(STATS!C224="BOD",STATS!U224&gt;0),"YES","")</f>
        <v/>
      </c>
      <c r="I228" s="150"/>
      <c r="K228" s="138" t="str">
        <f>IF(AND(STATS!C224="BOF",STATS!U224&gt;0),"YES","")</f>
        <v/>
      </c>
      <c r="L228" s="151"/>
      <c r="M228" s="194"/>
    </row>
    <row r="229" spans="1:13" x14ac:dyDescent="0.25">
      <c r="A229" s="139">
        <f>STATS!E225</f>
        <v>0</v>
      </c>
      <c r="B229" s="139">
        <f>STATS!G225</f>
        <v>0</v>
      </c>
      <c r="C229" s="136" t="str">
        <f>IF(AND(STATS!C225="SWS",STATS!S225&gt;0),"YES","")</f>
        <v/>
      </c>
      <c r="D229" s="136"/>
      <c r="E229" s="136" t="str">
        <f>IF(AND(STATS!C225="SWS",STATS!T225&gt;0),"YES","")</f>
        <v/>
      </c>
      <c r="F229" s="19"/>
      <c r="H229" s="137" t="str">
        <f>IF(AND(STATS!C225="BOD",STATS!U225&gt;0),"YES","")</f>
        <v/>
      </c>
      <c r="I229" s="150"/>
      <c r="K229" s="138" t="str">
        <f>IF(AND(STATS!C225="BOF",STATS!U225&gt;0),"YES","")</f>
        <v/>
      </c>
      <c r="L229" s="151"/>
      <c r="M229" s="194"/>
    </row>
    <row r="230" spans="1:13" x14ac:dyDescent="0.25">
      <c r="A230" s="139">
        <f>STATS!E226</f>
        <v>0</v>
      </c>
      <c r="B230" s="139">
        <f>STATS!G226</f>
        <v>0</v>
      </c>
      <c r="C230" s="136" t="str">
        <f>IF(AND(STATS!C226="SWS",STATS!S226&gt;0),"YES","")</f>
        <v/>
      </c>
      <c r="D230" s="136"/>
      <c r="E230" s="136" t="str">
        <f>IF(AND(STATS!C226="SWS",STATS!T226&gt;0),"YES","")</f>
        <v/>
      </c>
      <c r="F230" s="19"/>
      <c r="H230" s="137" t="str">
        <f>IF(AND(STATS!C226="BOD",STATS!U226&gt;0),"YES","")</f>
        <v/>
      </c>
      <c r="I230" s="150"/>
      <c r="K230" s="138" t="str">
        <f>IF(AND(STATS!C226="BOF",STATS!U226&gt;0),"YES","")</f>
        <v/>
      </c>
      <c r="L230" s="151"/>
      <c r="M230" s="194"/>
    </row>
    <row r="231" spans="1:13" x14ac:dyDescent="0.25">
      <c r="A231" s="139">
        <f>STATS!E227</f>
        <v>0</v>
      </c>
      <c r="B231" s="139">
        <f>STATS!G227</f>
        <v>0</v>
      </c>
      <c r="C231" s="136" t="str">
        <f>IF(AND(STATS!C227="SWS",STATS!S227&gt;0),"YES","")</f>
        <v/>
      </c>
      <c r="D231" s="136"/>
      <c r="E231" s="136" t="str">
        <f>IF(AND(STATS!C227="SWS",STATS!T227&gt;0),"YES","")</f>
        <v/>
      </c>
      <c r="F231" s="19"/>
      <c r="H231" s="137" t="str">
        <f>IF(AND(STATS!C227="BOD",STATS!U227&gt;0),"YES","")</f>
        <v/>
      </c>
      <c r="I231" s="150"/>
      <c r="K231" s="138" t="str">
        <f>IF(AND(STATS!C227="BOF",STATS!U227&gt;0),"YES","")</f>
        <v/>
      </c>
      <c r="L231" s="151"/>
      <c r="M231" s="194"/>
    </row>
    <row r="232" spans="1:13" x14ac:dyDescent="0.25">
      <c r="A232" s="139">
        <f>STATS!E228</f>
        <v>0</v>
      </c>
      <c r="B232" s="139">
        <f>STATS!G228</f>
        <v>0</v>
      </c>
      <c r="C232" s="136" t="str">
        <f>IF(AND(STATS!C228="SWS",STATS!S228&gt;0),"YES","")</f>
        <v/>
      </c>
      <c r="D232" s="136"/>
      <c r="E232" s="136" t="str">
        <f>IF(AND(STATS!C228="SWS",STATS!T228&gt;0),"YES","")</f>
        <v/>
      </c>
      <c r="F232" s="19"/>
      <c r="H232" s="137" t="str">
        <f>IF(AND(STATS!C228="BOD",STATS!U228&gt;0),"YES","")</f>
        <v/>
      </c>
      <c r="I232" s="150"/>
      <c r="K232" s="138" t="str">
        <f>IF(AND(STATS!C228="BOF",STATS!U228&gt;0),"YES","")</f>
        <v/>
      </c>
      <c r="L232" s="151"/>
      <c r="M232" s="194"/>
    </row>
    <row r="233" spans="1:13" x14ac:dyDescent="0.25">
      <c r="A233" s="139">
        <f>STATS!E229</f>
        <v>0</v>
      </c>
      <c r="B233" s="139">
        <f>STATS!G229</f>
        <v>0</v>
      </c>
      <c r="C233" s="136" t="str">
        <f>IF(AND(STATS!C229="SWS",STATS!S229&gt;0),"YES","")</f>
        <v/>
      </c>
      <c r="D233" s="136"/>
      <c r="E233" s="136" t="str">
        <f>IF(AND(STATS!C229="SWS",STATS!T229&gt;0),"YES","")</f>
        <v/>
      </c>
      <c r="F233" s="19"/>
      <c r="H233" s="137" t="str">
        <f>IF(AND(STATS!C229="BOD",STATS!U229&gt;0),"YES","")</f>
        <v/>
      </c>
      <c r="I233" s="150"/>
      <c r="K233" s="138" t="str">
        <f>IF(AND(STATS!C229="BOF",STATS!U229&gt;0),"YES","")</f>
        <v/>
      </c>
      <c r="L233" s="151"/>
      <c r="M233" s="194"/>
    </row>
    <row r="234" spans="1:13" x14ac:dyDescent="0.25">
      <c r="A234" s="139">
        <f>STATS!E230</f>
        <v>0</v>
      </c>
      <c r="B234" s="139">
        <f>STATS!G230</f>
        <v>0</v>
      </c>
      <c r="C234" s="136" t="str">
        <f>IF(AND(STATS!C230="SWS",STATS!S230&gt;0),"YES","")</f>
        <v/>
      </c>
      <c r="D234" s="136"/>
      <c r="E234" s="136" t="str">
        <f>IF(AND(STATS!C230="SWS",STATS!T230&gt;0),"YES","")</f>
        <v/>
      </c>
      <c r="F234" s="19"/>
      <c r="H234" s="137" t="str">
        <f>IF(AND(STATS!C230="BOD",STATS!U230&gt;0),"YES","")</f>
        <v/>
      </c>
      <c r="I234" s="150"/>
      <c r="K234" s="138" t="str">
        <f>IF(AND(STATS!C230="BOF",STATS!U230&gt;0),"YES","")</f>
        <v/>
      </c>
      <c r="L234" s="151"/>
      <c r="M234" s="194"/>
    </row>
    <row r="235" spans="1:13" x14ac:dyDescent="0.25">
      <c r="A235" s="139">
        <f>STATS!E231</f>
        <v>0</v>
      </c>
      <c r="B235" s="139">
        <f>STATS!G231</f>
        <v>0</v>
      </c>
      <c r="C235" s="136" t="str">
        <f>IF(AND(STATS!C231="SWS",STATS!S231&gt;0),"YES","")</f>
        <v/>
      </c>
      <c r="D235" s="136"/>
      <c r="E235" s="136" t="str">
        <f>IF(AND(STATS!C231="SWS",STATS!T231&gt;0),"YES","")</f>
        <v/>
      </c>
      <c r="F235" s="19"/>
      <c r="H235" s="137" t="str">
        <f>IF(AND(STATS!C231="BOD",STATS!U231&gt;0),"YES","")</f>
        <v/>
      </c>
      <c r="I235" s="150"/>
      <c r="K235" s="138" t="str">
        <f>IF(AND(STATS!C231="BOF",STATS!U231&gt;0),"YES","")</f>
        <v/>
      </c>
      <c r="L235" s="151"/>
      <c r="M235" s="194"/>
    </row>
    <row r="236" spans="1:13" x14ac:dyDescent="0.25">
      <c r="A236" s="139">
        <f>STATS!E232</f>
        <v>0</v>
      </c>
      <c r="B236" s="139">
        <f>STATS!G232</f>
        <v>0</v>
      </c>
      <c r="C236" s="136" t="str">
        <f>IF(AND(STATS!C232="SWS",STATS!S232&gt;0),"YES","")</f>
        <v/>
      </c>
      <c r="D236" s="136"/>
      <c r="E236" s="136" t="str">
        <f>IF(AND(STATS!C232="SWS",STATS!T232&gt;0),"YES","")</f>
        <v/>
      </c>
      <c r="F236" s="19"/>
      <c r="H236" s="137" t="str">
        <f>IF(AND(STATS!C232="BOD",STATS!U232&gt;0),"YES","")</f>
        <v/>
      </c>
      <c r="I236" s="150"/>
      <c r="K236" s="138" t="str">
        <f>IF(AND(STATS!C232="BOF",STATS!U232&gt;0),"YES","")</f>
        <v/>
      </c>
      <c r="L236" s="151"/>
      <c r="M236" s="194"/>
    </row>
    <row r="237" spans="1:13" x14ac:dyDescent="0.25">
      <c r="A237" s="139">
        <f>STATS!E233</f>
        <v>0</v>
      </c>
      <c r="B237" s="139">
        <f>STATS!G233</f>
        <v>0</v>
      </c>
      <c r="C237" s="136" t="str">
        <f>IF(AND(STATS!C233="SWS",STATS!S233&gt;0),"YES","")</f>
        <v/>
      </c>
      <c r="D237" s="136"/>
      <c r="E237" s="136" t="str">
        <f>IF(AND(STATS!C233="SWS",STATS!T233&gt;0),"YES","")</f>
        <v/>
      </c>
      <c r="F237" s="19"/>
      <c r="H237" s="137" t="str">
        <f>IF(AND(STATS!C233="BOD",STATS!U233&gt;0),"YES","")</f>
        <v/>
      </c>
      <c r="I237" s="150"/>
      <c r="K237" s="138" t="str">
        <f>IF(AND(STATS!C233="BOF",STATS!U233&gt;0),"YES","")</f>
        <v/>
      </c>
      <c r="L237" s="151"/>
      <c r="M237" s="194"/>
    </row>
    <row r="238" spans="1:13" x14ac:dyDescent="0.25">
      <c r="A238" s="139">
        <f>STATS!E234</f>
        <v>0</v>
      </c>
      <c r="B238" s="139">
        <f>STATS!G234</f>
        <v>0</v>
      </c>
      <c r="C238" s="136" t="str">
        <f>IF(AND(STATS!C234="SWS",STATS!S234&gt;0),"YES","")</f>
        <v/>
      </c>
      <c r="D238" s="136"/>
      <c r="E238" s="136" t="str">
        <f>IF(AND(STATS!C234="SWS",STATS!T234&gt;0),"YES","")</f>
        <v/>
      </c>
      <c r="F238" s="19"/>
      <c r="H238" s="137" t="str">
        <f>IF(AND(STATS!C234="BOD",STATS!U234&gt;0),"YES","")</f>
        <v/>
      </c>
      <c r="I238" s="150"/>
      <c r="K238" s="138" t="str">
        <f>IF(AND(STATS!C234="BOF",STATS!U234&gt;0),"YES","")</f>
        <v/>
      </c>
      <c r="L238" s="151"/>
      <c r="M238" s="194"/>
    </row>
    <row r="239" spans="1:13" x14ac:dyDescent="0.25">
      <c r="A239" s="139">
        <f>STATS!E235</f>
        <v>0</v>
      </c>
      <c r="B239" s="139">
        <f>STATS!G235</f>
        <v>0</v>
      </c>
      <c r="C239" s="136" t="str">
        <f>IF(AND(STATS!C235="SWS",STATS!S235&gt;0),"YES","")</f>
        <v/>
      </c>
      <c r="D239" s="136"/>
      <c r="E239" s="136" t="str">
        <f>IF(AND(STATS!C235="SWS",STATS!T235&gt;0),"YES","")</f>
        <v/>
      </c>
      <c r="F239" s="19"/>
      <c r="H239" s="137" t="str">
        <f>IF(AND(STATS!C235="BOD",STATS!U235&gt;0),"YES","")</f>
        <v/>
      </c>
      <c r="I239" s="150"/>
      <c r="K239" s="138" t="str">
        <f>IF(AND(STATS!C235="BOF",STATS!U235&gt;0),"YES","")</f>
        <v/>
      </c>
      <c r="L239" s="151"/>
      <c r="M239" s="194"/>
    </row>
    <row r="240" spans="1:13" x14ac:dyDescent="0.25">
      <c r="A240" s="139">
        <f>STATS!E236</f>
        <v>0</v>
      </c>
      <c r="B240" s="139">
        <f>STATS!G236</f>
        <v>0</v>
      </c>
      <c r="C240" s="136" t="str">
        <f>IF(AND(STATS!C236="SWS",STATS!S236&gt;0),"YES","")</f>
        <v/>
      </c>
      <c r="D240" s="136"/>
      <c r="E240" s="136" t="str">
        <f>IF(AND(STATS!C236="SWS",STATS!T236&gt;0),"YES","")</f>
        <v/>
      </c>
      <c r="F240" s="19"/>
      <c r="H240" s="137" t="str">
        <f>IF(AND(STATS!C236="BOD",STATS!U236&gt;0),"YES","")</f>
        <v/>
      </c>
      <c r="I240" s="150"/>
      <c r="K240" s="138" t="str">
        <f>IF(AND(STATS!C236="BOF",STATS!U236&gt;0),"YES","")</f>
        <v/>
      </c>
      <c r="L240" s="151"/>
      <c r="M240" s="194"/>
    </row>
    <row r="241" spans="1:13" x14ac:dyDescent="0.25">
      <c r="A241" s="139">
        <f>STATS!E237</f>
        <v>0</v>
      </c>
      <c r="B241" s="139">
        <f>STATS!G237</f>
        <v>0</v>
      </c>
      <c r="C241" s="136" t="str">
        <f>IF(AND(STATS!C237="SWS",STATS!S237&gt;0),"YES","")</f>
        <v/>
      </c>
      <c r="D241" s="136"/>
      <c r="E241" s="136" t="str">
        <f>IF(AND(STATS!C237="SWS",STATS!T237&gt;0),"YES","")</f>
        <v/>
      </c>
      <c r="F241" s="19"/>
      <c r="H241" s="137" t="str">
        <f>IF(AND(STATS!C237="BOD",STATS!U237&gt;0),"YES","")</f>
        <v/>
      </c>
      <c r="I241" s="150"/>
      <c r="K241" s="138" t="str">
        <f>IF(AND(STATS!C237="BOF",STATS!U237&gt;0),"YES","")</f>
        <v/>
      </c>
      <c r="L241" s="151"/>
      <c r="M241" s="194"/>
    </row>
    <row r="242" spans="1:13" x14ac:dyDescent="0.25">
      <c r="A242" s="139">
        <f>STATS!E238</f>
        <v>0</v>
      </c>
      <c r="B242" s="139">
        <f>STATS!G238</f>
        <v>0</v>
      </c>
      <c r="C242" s="136" t="str">
        <f>IF(AND(STATS!C238="SWS",STATS!S238&gt;0),"YES","")</f>
        <v/>
      </c>
      <c r="D242" s="136"/>
      <c r="E242" s="136" t="str">
        <f>IF(AND(STATS!C238="SWS",STATS!T238&gt;0),"YES","")</f>
        <v/>
      </c>
      <c r="F242" s="19"/>
      <c r="H242" s="137" t="str">
        <f>IF(AND(STATS!C238="BOD",STATS!U238&gt;0),"YES","")</f>
        <v/>
      </c>
      <c r="I242" s="150"/>
      <c r="K242" s="138" t="str">
        <f>IF(AND(STATS!C238="BOF",STATS!U238&gt;0),"YES","")</f>
        <v/>
      </c>
      <c r="L242" s="151"/>
      <c r="M242" s="194"/>
    </row>
    <row r="243" spans="1:13" x14ac:dyDescent="0.25">
      <c r="A243" s="139">
        <f>STATS!E239</f>
        <v>0</v>
      </c>
      <c r="B243" s="139">
        <f>STATS!G239</f>
        <v>0</v>
      </c>
      <c r="C243" s="136" t="str">
        <f>IF(AND(STATS!C239="SWS",STATS!S239&gt;0),"YES","")</f>
        <v/>
      </c>
      <c r="D243" s="136"/>
      <c r="E243" s="136" t="str">
        <f>IF(AND(STATS!C239="SWS",STATS!T239&gt;0),"YES","")</f>
        <v/>
      </c>
      <c r="F243" s="19"/>
      <c r="H243" s="137" t="str">
        <f>IF(AND(STATS!C239="BOD",STATS!U239&gt;0),"YES","")</f>
        <v/>
      </c>
      <c r="I243" s="150"/>
      <c r="K243" s="138" t="str">
        <f>IF(AND(STATS!C239="BOF",STATS!U239&gt;0),"YES","")</f>
        <v/>
      </c>
      <c r="L243" s="151"/>
      <c r="M243" s="194"/>
    </row>
    <row r="244" spans="1:13" x14ac:dyDescent="0.25">
      <c r="A244" s="139">
        <f>STATS!E240</f>
        <v>0</v>
      </c>
      <c r="B244" s="139">
        <f>STATS!G240</f>
        <v>0</v>
      </c>
      <c r="C244" s="136" t="str">
        <f>IF(AND(STATS!C240="SWS",STATS!S240&gt;0),"YES","")</f>
        <v/>
      </c>
      <c r="D244" s="136"/>
      <c r="E244" s="136" t="str">
        <f>IF(AND(STATS!C240="SWS",STATS!T240&gt;0),"YES","")</f>
        <v/>
      </c>
      <c r="F244" s="19"/>
      <c r="H244" s="137" t="str">
        <f>IF(AND(STATS!C240="BOD",STATS!U240&gt;0),"YES","")</f>
        <v/>
      </c>
      <c r="I244" s="150"/>
      <c r="K244" s="138" t="str">
        <f>IF(AND(STATS!C240="BOF",STATS!U240&gt;0),"YES","")</f>
        <v/>
      </c>
      <c r="L244" s="151"/>
      <c r="M244" s="194"/>
    </row>
    <row r="245" spans="1:13" x14ac:dyDescent="0.25">
      <c r="A245" s="139">
        <f>STATS!E241</f>
        <v>0</v>
      </c>
      <c r="B245" s="139">
        <f>STATS!G241</f>
        <v>0</v>
      </c>
      <c r="C245" s="136" t="str">
        <f>IF(AND(STATS!C241="SWS",STATS!S241&gt;0),"YES","")</f>
        <v/>
      </c>
      <c r="D245" s="136"/>
      <c r="E245" s="136" t="str">
        <f>IF(AND(STATS!C241="SWS",STATS!T241&gt;0),"YES","")</f>
        <v/>
      </c>
      <c r="F245" s="19"/>
      <c r="H245" s="137" t="str">
        <f>IF(AND(STATS!C241="BOD",STATS!U241&gt;0),"YES","")</f>
        <v/>
      </c>
      <c r="I245" s="150"/>
      <c r="K245" s="138" t="str">
        <f>IF(AND(STATS!C241="BOF",STATS!U241&gt;0),"YES","")</f>
        <v/>
      </c>
      <c r="L245" s="151"/>
      <c r="M245" s="194"/>
    </row>
    <row r="246" spans="1:13" x14ac:dyDescent="0.25">
      <c r="A246" s="139">
        <f>STATS!E242</f>
        <v>0</v>
      </c>
      <c r="B246" s="139">
        <f>STATS!G242</f>
        <v>0</v>
      </c>
      <c r="C246" s="136" t="str">
        <f>IF(AND(STATS!C242="SWS",STATS!S242&gt;0),"YES","")</f>
        <v/>
      </c>
      <c r="D246" s="136"/>
      <c r="E246" s="136" t="str">
        <f>IF(AND(STATS!C242="SWS",STATS!T242&gt;0),"YES","")</f>
        <v/>
      </c>
      <c r="F246" s="19"/>
      <c r="H246" s="137" t="str">
        <f>IF(AND(STATS!C242="BOD",STATS!U242&gt;0),"YES","")</f>
        <v/>
      </c>
      <c r="I246" s="150"/>
      <c r="K246" s="138" t="str">
        <f>IF(AND(STATS!C242="BOF",STATS!U242&gt;0),"YES","")</f>
        <v/>
      </c>
      <c r="L246" s="151"/>
      <c r="M246" s="194"/>
    </row>
    <row r="247" spans="1:13" x14ac:dyDescent="0.25">
      <c r="A247" s="139">
        <f>STATS!E243</f>
        <v>0</v>
      </c>
      <c r="B247" s="139">
        <f>STATS!G243</f>
        <v>0</v>
      </c>
      <c r="C247" s="136" t="str">
        <f>IF(AND(STATS!C243="SWS",STATS!S243&gt;0),"YES","")</f>
        <v/>
      </c>
      <c r="D247" s="136"/>
      <c r="E247" s="136" t="str">
        <f>IF(AND(STATS!C243="SWS",STATS!T243&gt;0),"YES","")</f>
        <v/>
      </c>
      <c r="F247" s="19"/>
      <c r="H247" s="137" t="str">
        <f>IF(AND(STATS!C243="BOD",STATS!U243&gt;0),"YES","")</f>
        <v/>
      </c>
      <c r="I247" s="150"/>
      <c r="K247" s="138" t="str">
        <f>IF(AND(STATS!C243="BOF",STATS!U243&gt;0),"YES","")</f>
        <v/>
      </c>
      <c r="L247" s="151"/>
      <c r="M247" s="194"/>
    </row>
    <row r="248" spans="1:13" x14ac:dyDescent="0.25">
      <c r="A248" s="139">
        <f>STATS!E244</f>
        <v>0</v>
      </c>
      <c r="B248" s="139">
        <f>STATS!G244</f>
        <v>0</v>
      </c>
      <c r="C248" s="136" t="str">
        <f>IF(AND(STATS!C244="SWS",STATS!S244&gt;0),"YES","")</f>
        <v/>
      </c>
      <c r="D248" s="136"/>
      <c r="E248" s="136" t="str">
        <f>IF(AND(STATS!C244="SWS",STATS!T244&gt;0),"YES","")</f>
        <v/>
      </c>
      <c r="F248" s="19"/>
      <c r="H248" s="137" t="str">
        <f>IF(AND(STATS!C244="BOD",STATS!U244&gt;0),"YES","")</f>
        <v/>
      </c>
      <c r="I248" s="150"/>
      <c r="K248" s="138" t="str">
        <f>IF(AND(STATS!C244="BOF",STATS!U244&gt;0),"YES","")</f>
        <v/>
      </c>
      <c r="L248" s="151"/>
      <c r="M248" s="194"/>
    </row>
    <row r="249" spans="1:13" x14ac:dyDescent="0.25">
      <c r="A249" s="139">
        <f>STATS!E245</f>
        <v>0</v>
      </c>
      <c r="B249" s="139">
        <f>STATS!G245</f>
        <v>0</v>
      </c>
      <c r="C249" s="136" t="str">
        <f>IF(AND(STATS!C245="SWS",STATS!S245&gt;0),"YES","")</f>
        <v/>
      </c>
      <c r="D249" s="136"/>
      <c r="E249" s="136" t="str">
        <f>IF(AND(STATS!C245="SWS",STATS!T245&gt;0),"YES","")</f>
        <v/>
      </c>
      <c r="F249" s="19"/>
      <c r="H249" s="137" t="str">
        <f>IF(AND(STATS!C245="BOD",STATS!U245&gt;0),"YES","")</f>
        <v/>
      </c>
      <c r="I249" s="150"/>
      <c r="K249" s="138" t="str">
        <f>IF(AND(STATS!C245="BOF",STATS!U245&gt;0),"YES","")</f>
        <v/>
      </c>
      <c r="L249" s="151"/>
      <c r="M249" s="194"/>
    </row>
    <row r="250" spans="1:13" x14ac:dyDescent="0.25">
      <c r="A250" s="139">
        <f>STATS!E246</f>
        <v>0</v>
      </c>
      <c r="B250" s="139">
        <f>STATS!G246</f>
        <v>0</v>
      </c>
      <c r="C250" s="136" t="str">
        <f>IF(AND(STATS!C246="SWS",STATS!S246&gt;0),"YES","")</f>
        <v/>
      </c>
      <c r="D250" s="136"/>
      <c r="E250" s="136" t="str">
        <f>IF(AND(STATS!C246="SWS",STATS!T246&gt;0),"YES","")</f>
        <v/>
      </c>
      <c r="F250" s="19"/>
      <c r="H250" s="137" t="str">
        <f>IF(AND(STATS!C246="BOD",STATS!U246&gt;0),"YES","")</f>
        <v/>
      </c>
      <c r="I250" s="150"/>
      <c r="K250" s="138" t="str">
        <f>IF(AND(STATS!C246="BOF",STATS!U246&gt;0),"YES","")</f>
        <v/>
      </c>
      <c r="L250" s="151"/>
      <c r="M250" s="194"/>
    </row>
    <row r="251" spans="1:13" x14ac:dyDescent="0.25">
      <c r="A251" s="139">
        <f>STATS!E247</f>
        <v>0</v>
      </c>
      <c r="B251" s="139">
        <f>STATS!G247</f>
        <v>0</v>
      </c>
      <c r="C251" s="136" t="str">
        <f>IF(AND(STATS!C247="SWS",STATS!S247&gt;0),"YES","")</f>
        <v/>
      </c>
      <c r="D251" s="136"/>
      <c r="E251" s="136" t="str">
        <f>IF(AND(STATS!C247="SWS",STATS!T247&gt;0),"YES","")</f>
        <v/>
      </c>
      <c r="F251" s="19"/>
      <c r="H251" s="137" t="str">
        <f>IF(AND(STATS!C247="BOD",STATS!U247&gt;0),"YES","")</f>
        <v/>
      </c>
      <c r="I251" s="150"/>
      <c r="K251" s="138" t="str">
        <f>IF(AND(STATS!C247="BOF",STATS!U247&gt;0),"YES","")</f>
        <v/>
      </c>
      <c r="L251" s="151"/>
      <c r="M251" s="194"/>
    </row>
    <row r="252" spans="1:13" x14ac:dyDescent="0.25">
      <c r="A252" s="139">
        <f>STATS!E248</f>
        <v>0</v>
      </c>
      <c r="B252" s="139">
        <f>STATS!G248</f>
        <v>0</v>
      </c>
      <c r="C252" s="136" t="str">
        <f>IF(AND(STATS!C248="SWS",STATS!S248&gt;0),"YES","")</f>
        <v/>
      </c>
      <c r="D252" s="136"/>
      <c r="E252" s="136" t="str">
        <f>IF(AND(STATS!C248="SWS",STATS!T248&gt;0),"YES","")</f>
        <v/>
      </c>
      <c r="F252" s="19"/>
      <c r="H252" s="137" t="str">
        <f>IF(AND(STATS!C248="BOD",STATS!U248&gt;0),"YES","")</f>
        <v/>
      </c>
      <c r="I252" s="150"/>
      <c r="K252" s="138" t="str">
        <f>IF(AND(STATS!C248="BOF",STATS!U248&gt;0),"YES","")</f>
        <v/>
      </c>
      <c r="L252" s="151"/>
      <c r="M252" s="194"/>
    </row>
    <row r="253" spans="1:13" x14ac:dyDescent="0.25">
      <c r="A253" s="139">
        <f>STATS!E249</f>
        <v>0</v>
      </c>
      <c r="B253" s="139">
        <f>STATS!G249</f>
        <v>0</v>
      </c>
      <c r="C253" s="136" t="str">
        <f>IF(AND(STATS!C249="SWS",STATS!S249&gt;0),"YES","")</f>
        <v/>
      </c>
      <c r="D253" s="136"/>
      <c r="E253" s="136" t="str">
        <f>IF(AND(STATS!C249="SWS",STATS!T249&gt;0),"YES","")</f>
        <v/>
      </c>
      <c r="F253" s="19"/>
      <c r="H253" s="137" t="str">
        <f>IF(AND(STATS!C249="BOD",STATS!U249&gt;0),"YES","")</f>
        <v/>
      </c>
      <c r="I253" s="150"/>
      <c r="K253" s="138" t="str">
        <f>IF(AND(STATS!C249="BOF",STATS!U249&gt;0),"YES","")</f>
        <v/>
      </c>
      <c r="L253" s="151"/>
      <c r="M253" s="194"/>
    </row>
    <row r="254" spans="1:13" x14ac:dyDescent="0.25">
      <c r="A254" s="139">
        <f>STATS!E250</f>
        <v>0</v>
      </c>
      <c r="B254" s="139">
        <f>STATS!G250</f>
        <v>0</v>
      </c>
      <c r="C254" s="136" t="str">
        <f>IF(AND(STATS!C250="SWS",STATS!S250&gt;0),"YES","")</f>
        <v/>
      </c>
      <c r="D254" s="136"/>
      <c r="E254" s="136" t="str">
        <f>IF(AND(STATS!C250="SWS",STATS!T250&gt;0),"YES","")</f>
        <v/>
      </c>
      <c r="F254" s="19"/>
      <c r="H254" s="137" t="str">
        <f>IF(AND(STATS!C250="BOD",STATS!U250&gt;0),"YES","")</f>
        <v/>
      </c>
      <c r="I254" s="150"/>
      <c r="K254" s="138" t="str">
        <f>IF(AND(STATS!C250="BOF",STATS!U250&gt;0),"YES","")</f>
        <v/>
      </c>
      <c r="L254" s="151"/>
      <c r="M254" s="194"/>
    </row>
    <row r="255" spans="1:13" x14ac:dyDescent="0.25">
      <c r="A255" s="139">
        <f>STATS!E251</f>
        <v>0</v>
      </c>
      <c r="B255" s="139">
        <f>STATS!G251</f>
        <v>0</v>
      </c>
      <c r="C255" s="136" t="str">
        <f>IF(AND(STATS!C251="SWS",STATS!S251&gt;0),"YES","")</f>
        <v/>
      </c>
      <c r="D255" s="136"/>
      <c r="E255" s="136" t="str">
        <f>IF(AND(STATS!C251="SWS",STATS!T251&gt;0),"YES","")</f>
        <v/>
      </c>
      <c r="F255" s="19"/>
      <c r="H255" s="137" t="str">
        <f>IF(AND(STATS!C251="BOD",STATS!U251&gt;0),"YES","")</f>
        <v/>
      </c>
      <c r="I255" s="150"/>
      <c r="K255" s="138" t="str">
        <f>IF(AND(STATS!C251="BOF",STATS!U251&gt;0),"YES","")</f>
        <v/>
      </c>
      <c r="L255" s="151"/>
      <c r="M255" s="194"/>
    </row>
    <row r="256" spans="1:13" x14ac:dyDescent="0.25">
      <c r="A256" s="139">
        <f>STATS!E252</f>
        <v>0</v>
      </c>
      <c r="B256" s="139">
        <f>STATS!G252</f>
        <v>0</v>
      </c>
      <c r="C256" s="136" t="str">
        <f>IF(AND(STATS!C252="SWS",STATS!S252&gt;0),"YES","")</f>
        <v/>
      </c>
      <c r="D256" s="136"/>
      <c r="E256" s="136" t="str">
        <f>IF(AND(STATS!C252="SWS",STATS!T252&gt;0),"YES","")</f>
        <v/>
      </c>
      <c r="F256" s="19"/>
      <c r="H256" s="137" t="str">
        <f>IF(AND(STATS!C252="BOD",STATS!U252&gt;0),"YES","")</f>
        <v/>
      </c>
      <c r="I256" s="150"/>
      <c r="K256" s="138" t="str">
        <f>IF(AND(STATS!C252="BOF",STATS!U252&gt;0),"YES","")</f>
        <v/>
      </c>
      <c r="L256" s="151"/>
      <c r="M256" s="194"/>
    </row>
    <row r="257" spans="1:13" x14ac:dyDescent="0.25">
      <c r="A257" s="139">
        <f>STATS!E253</f>
        <v>0</v>
      </c>
      <c r="B257" s="139">
        <f>STATS!G253</f>
        <v>0</v>
      </c>
      <c r="C257" s="136" t="str">
        <f>IF(AND(STATS!C253="SWS",STATS!S253&gt;0),"YES","")</f>
        <v/>
      </c>
      <c r="D257" s="136"/>
      <c r="E257" s="136" t="str">
        <f>IF(AND(STATS!C253="SWS",STATS!T253&gt;0),"YES","")</f>
        <v/>
      </c>
      <c r="F257" s="19"/>
      <c r="H257" s="137" t="str">
        <f>IF(AND(STATS!C253="BOD",STATS!U253&gt;0),"YES","")</f>
        <v/>
      </c>
      <c r="I257" s="150"/>
      <c r="K257" s="138" t="str">
        <f>IF(AND(STATS!C253="BOF",STATS!U253&gt;0),"YES","")</f>
        <v/>
      </c>
      <c r="L257" s="151"/>
      <c r="M257" s="194"/>
    </row>
    <row r="258" spans="1:13" x14ac:dyDescent="0.25">
      <c r="A258" s="139">
        <f>STATS!E254</f>
        <v>0</v>
      </c>
      <c r="B258" s="139">
        <f>STATS!G254</f>
        <v>0</v>
      </c>
      <c r="C258" s="136" t="str">
        <f>IF(AND(STATS!C254="SWS",STATS!S254&gt;0),"YES","")</f>
        <v/>
      </c>
      <c r="D258" s="136"/>
      <c r="E258" s="136" t="str">
        <f>IF(AND(STATS!C254="SWS",STATS!T254&gt;0),"YES","")</f>
        <v/>
      </c>
      <c r="F258" s="19"/>
      <c r="H258" s="137" t="str">
        <f>IF(AND(STATS!C254="BOD",STATS!U254&gt;0),"YES","")</f>
        <v/>
      </c>
      <c r="I258" s="150"/>
      <c r="K258" s="138" t="str">
        <f>IF(AND(STATS!C254="BOF",STATS!U254&gt;0),"YES","")</f>
        <v/>
      </c>
      <c r="L258" s="151"/>
      <c r="M258" s="194"/>
    </row>
    <row r="259" spans="1:13" x14ac:dyDescent="0.25">
      <c r="A259" s="139">
        <f>STATS!E255</f>
        <v>0</v>
      </c>
      <c r="B259" s="139">
        <f>STATS!G255</f>
        <v>0</v>
      </c>
      <c r="C259" s="136" t="str">
        <f>IF(AND(STATS!C255="SWS",STATS!S255&gt;0),"YES","")</f>
        <v/>
      </c>
      <c r="D259" s="136"/>
      <c r="E259" s="136" t="str">
        <f>IF(AND(STATS!C255="SWS",STATS!T255&gt;0),"YES","")</f>
        <v/>
      </c>
      <c r="F259" s="19"/>
      <c r="H259" s="137" t="str">
        <f>IF(AND(STATS!C255="BOD",STATS!U255&gt;0),"YES","")</f>
        <v/>
      </c>
      <c r="I259" s="150"/>
      <c r="K259" s="138" t="str">
        <f>IF(AND(STATS!C255="BOF",STATS!U255&gt;0),"YES","")</f>
        <v/>
      </c>
      <c r="L259" s="151"/>
      <c r="M259" s="194"/>
    </row>
    <row r="260" spans="1:13" x14ac:dyDescent="0.25">
      <c r="A260" s="139">
        <f>STATS!E256</f>
        <v>0</v>
      </c>
      <c r="B260" s="139">
        <f>STATS!G256</f>
        <v>0</v>
      </c>
      <c r="C260" s="136" t="str">
        <f>IF(AND(STATS!C256="SWS",STATS!S256&gt;0),"YES","")</f>
        <v/>
      </c>
      <c r="D260" s="136"/>
      <c r="E260" s="136" t="str">
        <f>IF(AND(STATS!C256="SWS",STATS!T256&gt;0),"YES","")</f>
        <v/>
      </c>
      <c r="F260" s="19"/>
      <c r="H260" s="137" t="str">
        <f>IF(AND(STATS!C256="BOD",STATS!U256&gt;0),"YES","")</f>
        <v/>
      </c>
      <c r="I260" s="150"/>
      <c r="K260" s="138" t="str">
        <f>IF(AND(STATS!C256="BOF",STATS!U256&gt;0),"YES","")</f>
        <v/>
      </c>
      <c r="L260" s="151"/>
      <c r="M260" s="194"/>
    </row>
    <row r="261" spans="1:13" x14ac:dyDescent="0.25">
      <c r="A261" s="139">
        <f>STATS!E257</f>
        <v>0</v>
      </c>
      <c r="B261" s="139">
        <f>STATS!G257</f>
        <v>0</v>
      </c>
      <c r="C261" s="136" t="str">
        <f>IF(AND(STATS!C257="SWS",STATS!S257&gt;0),"YES","")</f>
        <v/>
      </c>
      <c r="D261" s="136"/>
      <c r="E261" s="136" t="str">
        <f>IF(AND(STATS!C257="SWS",STATS!T257&gt;0),"YES","")</f>
        <v/>
      </c>
      <c r="F261" s="19"/>
      <c r="H261" s="137" t="str">
        <f>IF(AND(STATS!C257="BOD",STATS!U257&gt;0),"YES","")</f>
        <v/>
      </c>
      <c r="I261" s="150"/>
      <c r="K261" s="138" t="str">
        <f>IF(AND(STATS!C257="BOF",STATS!U257&gt;0),"YES","")</f>
        <v/>
      </c>
      <c r="L261" s="151"/>
      <c r="M261" s="194"/>
    </row>
    <row r="262" spans="1:13" x14ac:dyDescent="0.25">
      <c r="A262" s="139">
        <f>STATS!E258</f>
        <v>0</v>
      </c>
      <c r="B262" s="139">
        <f>STATS!G258</f>
        <v>0</v>
      </c>
      <c r="C262" s="136" t="str">
        <f>IF(AND(STATS!C258="SWS",STATS!S258&gt;0),"YES","")</f>
        <v/>
      </c>
      <c r="D262" s="136"/>
      <c r="E262" s="136" t="str">
        <f>IF(AND(STATS!C258="SWS",STATS!T258&gt;0),"YES","")</f>
        <v/>
      </c>
      <c r="F262" s="19"/>
      <c r="H262" s="137" t="str">
        <f>IF(AND(STATS!C258="BOD",STATS!U258&gt;0),"YES","")</f>
        <v/>
      </c>
      <c r="I262" s="150"/>
      <c r="K262" s="138" t="str">
        <f>IF(AND(STATS!C258="BOF",STATS!U258&gt;0),"YES","")</f>
        <v/>
      </c>
      <c r="L262" s="151"/>
      <c r="M262" s="194"/>
    </row>
    <row r="263" spans="1:13" x14ac:dyDescent="0.25">
      <c r="A263" s="139">
        <f>STATS!E259</f>
        <v>0</v>
      </c>
      <c r="B263" s="139">
        <f>STATS!G259</f>
        <v>0</v>
      </c>
      <c r="C263" s="136" t="str">
        <f>IF(AND(STATS!C259="SWS",STATS!S259&gt;0),"YES","")</f>
        <v/>
      </c>
      <c r="D263" s="136"/>
      <c r="E263" s="136" t="str">
        <f>IF(AND(STATS!C259="SWS",STATS!T259&gt;0),"YES","")</f>
        <v/>
      </c>
      <c r="F263" s="19"/>
      <c r="H263" s="137" t="str">
        <f>IF(AND(STATS!C259="BOD",STATS!U259&gt;0),"YES","")</f>
        <v/>
      </c>
      <c r="I263" s="150"/>
      <c r="K263" s="138" t="str">
        <f>IF(AND(STATS!C259="BOF",STATS!U259&gt;0),"YES","")</f>
        <v/>
      </c>
      <c r="L263" s="151"/>
      <c r="M263" s="194"/>
    </row>
    <row r="264" spans="1:13" x14ac:dyDescent="0.25">
      <c r="A264" s="139">
        <f>STATS!E260</f>
        <v>0</v>
      </c>
      <c r="B264" s="139">
        <f>STATS!G260</f>
        <v>0</v>
      </c>
      <c r="C264" s="136" t="str">
        <f>IF(AND(STATS!C260="SWS",STATS!S260&gt;0),"YES","")</f>
        <v/>
      </c>
      <c r="D264" s="136"/>
      <c r="E264" s="136" t="str">
        <f>IF(AND(STATS!C260="SWS",STATS!T260&gt;0),"YES","")</f>
        <v/>
      </c>
      <c r="F264" s="19"/>
      <c r="H264" s="137" t="str">
        <f>IF(AND(STATS!C260="BOD",STATS!U260&gt;0),"YES","")</f>
        <v/>
      </c>
      <c r="I264" s="150"/>
      <c r="K264" s="138" t="str">
        <f>IF(AND(STATS!C260="BOF",STATS!U260&gt;0),"YES","")</f>
        <v/>
      </c>
      <c r="L264" s="151"/>
      <c r="M264" s="194"/>
    </row>
    <row r="265" spans="1:13" x14ac:dyDescent="0.25">
      <c r="A265" s="139">
        <f>STATS!E261</f>
        <v>0</v>
      </c>
      <c r="B265" s="139">
        <f>STATS!G261</f>
        <v>0</v>
      </c>
      <c r="C265" s="136" t="str">
        <f>IF(AND(STATS!C261="SWS",STATS!S261&gt;0),"YES","")</f>
        <v/>
      </c>
      <c r="D265" s="136"/>
      <c r="E265" s="136" t="str">
        <f>IF(AND(STATS!C261="SWS",STATS!T261&gt;0),"YES","")</f>
        <v/>
      </c>
      <c r="F265" s="19"/>
      <c r="H265" s="137" t="str">
        <f>IF(AND(STATS!C261="BOD",STATS!U261&gt;0),"YES","")</f>
        <v/>
      </c>
      <c r="I265" s="150"/>
      <c r="K265" s="138" t="str">
        <f>IF(AND(STATS!C261="BOF",STATS!U261&gt;0),"YES","")</f>
        <v/>
      </c>
      <c r="L265" s="151"/>
      <c r="M265" s="194"/>
    </row>
    <row r="266" spans="1:13" x14ac:dyDescent="0.25">
      <c r="A266" s="139">
        <f>STATS!E262</f>
        <v>0</v>
      </c>
      <c r="B266" s="139">
        <f>STATS!G262</f>
        <v>0</v>
      </c>
      <c r="C266" s="136" t="str">
        <f>IF(AND(STATS!C262="SWS",STATS!S262&gt;0),"YES","")</f>
        <v/>
      </c>
      <c r="D266" s="136"/>
      <c r="E266" s="136" t="str">
        <f>IF(AND(STATS!C262="SWS",STATS!T262&gt;0),"YES","")</f>
        <v/>
      </c>
      <c r="F266" s="19"/>
      <c r="H266" s="137" t="str">
        <f>IF(AND(STATS!C262="BOD",STATS!U262&gt;0),"YES","")</f>
        <v/>
      </c>
      <c r="I266" s="150"/>
      <c r="K266" s="138" t="str">
        <f>IF(AND(STATS!C262="BOF",STATS!U262&gt;0),"YES","")</f>
        <v/>
      </c>
      <c r="L266" s="151"/>
      <c r="M266" s="194"/>
    </row>
  </sheetData>
  <autoFilter ref="C1:L189" xr:uid="{00000000-0009-0000-0000-000008000000}"/>
  <mergeCells count="3">
    <mergeCell ref="C4:E4"/>
    <mergeCell ref="H4:I4"/>
    <mergeCell ref="K4:L4"/>
  </mergeCells>
  <dataValidations count="1">
    <dataValidation type="list" allowBlank="1" showInputMessage="1" showErrorMessage="1" sqref="L9:L266 F9:F266 I9:I266" xr:uid="{00000000-0002-0000-0800-000000000000}">
      <formula1>"Y, N"</formula1>
    </dataValidation>
  </dataValidations>
  <pageMargins left="0.7" right="0.7" top="0.75" bottom="0.75" header="0.3" footer="0.3"/>
  <pageSetup scale="51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BD7C8-395C-4FD6-8CFE-EB6CB724DB38}">
  <dimension ref="A1:W420"/>
  <sheetViews>
    <sheetView zoomScale="90" zoomScaleNormal="90" workbookViewId="0">
      <pane ySplit="3" topLeftCell="A4" activePane="bottomLeft" state="frozen"/>
      <selection activeCell="D1" sqref="D1"/>
      <selection pane="bottomLeft" activeCell="Q1" sqref="Q1"/>
    </sheetView>
  </sheetViews>
  <sheetFormatPr defaultRowHeight="15" x14ac:dyDescent="0.25"/>
  <cols>
    <col min="1" max="1" width="18.85546875" customWidth="1"/>
    <col min="2" max="2" width="12.140625" customWidth="1"/>
    <col min="3" max="3" width="11.7109375" bestFit="1" customWidth="1"/>
    <col min="4" max="4" width="14.85546875" bestFit="1" customWidth="1"/>
    <col min="5" max="5" width="24" customWidth="1"/>
    <col min="6" max="7" width="14.28515625" customWidth="1"/>
    <col min="8" max="8" width="12.28515625" customWidth="1"/>
    <col min="9" max="9" width="19" customWidth="1"/>
    <col min="11" max="11" width="9.140625" style="177"/>
    <col min="12" max="13" width="9.140625" style="315"/>
    <col min="14" max="14" width="9.140625" style="177"/>
  </cols>
  <sheetData>
    <row r="1" spans="1:23" s="158" customFormat="1" ht="15.75" x14ac:dyDescent="0.25">
      <c r="A1" s="176" t="s">
        <v>182</v>
      </c>
      <c r="B1" s="176" t="s">
        <v>183</v>
      </c>
      <c r="C1" s="176" t="s">
        <v>184</v>
      </c>
      <c r="D1" s="176" t="s">
        <v>185</v>
      </c>
      <c r="E1" s="176" t="s">
        <v>186</v>
      </c>
      <c r="F1" s="176" t="s">
        <v>187</v>
      </c>
      <c r="G1" s="176" t="s">
        <v>188</v>
      </c>
      <c r="H1" s="176" t="s">
        <v>204</v>
      </c>
      <c r="I1" s="176" t="s">
        <v>189</v>
      </c>
      <c r="K1" s="316" t="s">
        <v>190</v>
      </c>
      <c r="L1" s="176" t="s">
        <v>191</v>
      </c>
      <c r="M1" s="176" t="s">
        <v>193</v>
      </c>
      <c r="N1" s="316" t="s">
        <v>198</v>
      </c>
      <c r="O1" s="157"/>
      <c r="P1" s="157" t="s">
        <v>199</v>
      </c>
    </row>
    <row r="2" spans="1:23" s="175" customFormat="1" ht="12.75" x14ac:dyDescent="0.2">
      <c r="A2" s="178"/>
      <c r="B2" s="178"/>
      <c r="C2" s="178"/>
      <c r="D2" s="178"/>
      <c r="E2" s="178"/>
      <c r="F2" s="178"/>
      <c r="G2" s="178"/>
      <c r="H2" s="178"/>
      <c r="I2" s="178"/>
      <c r="K2" s="317"/>
      <c r="L2" s="178"/>
      <c r="M2" s="178"/>
      <c r="N2" s="317"/>
    </row>
    <row r="3" spans="1:23" ht="46.5" x14ac:dyDescent="0.35">
      <c r="G3" s="182" t="s">
        <v>194</v>
      </c>
      <c r="H3" s="182">
        <f>SUM(H4:H483)</f>
        <v>30868.289999999997</v>
      </c>
      <c r="K3" s="179" t="s">
        <v>287</v>
      </c>
      <c r="L3" s="183">
        <f>COUNTIF(L4:L488,"OYNG")</f>
        <v>349</v>
      </c>
      <c r="M3" s="183">
        <f>(SUMIF(L4:L387,"OYNG",H4:H483)-S3)</f>
        <v>27526.289999999997</v>
      </c>
      <c r="N3" s="318"/>
      <c r="O3" s="197"/>
      <c r="P3" s="197"/>
      <c r="R3" s="313" t="s">
        <v>1993</v>
      </c>
      <c r="S3" s="312">
        <v>3342</v>
      </c>
      <c r="T3" s="312"/>
      <c r="U3" s="312"/>
    </row>
    <row r="4" spans="1:23" s="177" customFormat="1" x14ac:dyDescent="0.25">
      <c r="A4" s="92">
        <v>45</v>
      </c>
      <c r="B4" s="221">
        <v>45719</v>
      </c>
      <c r="C4" s="222">
        <v>0.69513888888888886</v>
      </c>
      <c r="D4" s="222">
        <v>0.7055555555555556</v>
      </c>
      <c r="E4" s="99">
        <v>14</v>
      </c>
      <c r="F4" s="99">
        <v>43.196666999999998</v>
      </c>
      <c r="G4" s="99">
        <v>-116.026948</v>
      </c>
      <c r="H4" s="99">
        <v>0.1</v>
      </c>
      <c r="I4" s="223" t="s">
        <v>285</v>
      </c>
      <c r="K4" s="199" t="s">
        <v>288</v>
      </c>
      <c r="L4" s="99" t="s">
        <v>304</v>
      </c>
      <c r="M4" s="99">
        <v>0.1</v>
      </c>
      <c r="N4" s="200" t="str">
        <f t="shared" ref="N4" si="0">IF(M4&gt;4999.9,"G",IF(M4&gt;999.9,"F",IF(M4&gt;299.9,"E",IF(M4&gt;99.9,"D",IF(M4&gt;9.9,"C",IF(M4&gt;0.25,"B",IF(M4&gt;0,"A","")))))))</f>
        <v>A</v>
      </c>
    </row>
    <row r="5" spans="1:23" s="177" customFormat="1" x14ac:dyDescent="0.25">
      <c r="A5" s="92">
        <v>48</v>
      </c>
      <c r="B5" s="221">
        <v>45719</v>
      </c>
      <c r="C5" s="222">
        <v>0.57777777777777772</v>
      </c>
      <c r="D5" s="222">
        <v>0.58472222222222225</v>
      </c>
      <c r="E5" s="99">
        <v>1</v>
      </c>
      <c r="F5" s="99">
        <v>43.268989699999999</v>
      </c>
      <c r="G5" s="99">
        <v>-116.1586167</v>
      </c>
      <c r="H5" s="99">
        <v>1</v>
      </c>
      <c r="I5" s="223" t="s">
        <v>285</v>
      </c>
      <c r="K5" s="199" t="s">
        <v>289</v>
      </c>
      <c r="L5" s="99" t="s">
        <v>304</v>
      </c>
      <c r="M5" s="99">
        <v>1</v>
      </c>
      <c r="N5" s="200" t="str">
        <f t="shared" ref="N5:N61" si="1">IF(M5&gt;4999.9,"G",IF(M5&gt;999.9,"F",IF(M5&gt;299.9,"E",IF(M5&gt;99.9,"D",IF(M5&gt;9.9,"C",IF(M5&gt;0.25,"B",IF(M5&gt;0,"A","")))))))</f>
        <v>B</v>
      </c>
      <c r="O5" s="198" t="s">
        <v>55</v>
      </c>
      <c r="P5" s="199">
        <f>COUNTIFS(L:L,"OYNG",N:N,"A")</f>
        <v>199</v>
      </c>
    </row>
    <row r="6" spans="1:23" s="177" customFormat="1" x14ac:dyDescent="0.25">
      <c r="A6" s="225">
        <v>51</v>
      </c>
      <c r="B6" s="226">
        <v>45721</v>
      </c>
      <c r="C6" s="227">
        <v>0.67847222222222225</v>
      </c>
      <c r="D6" s="227">
        <v>0.73124999999999996</v>
      </c>
      <c r="E6" s="224">
        <v>5</v>
      </c>
      <c r="F6" s="224">
        <v>43.275618000000001</v>
      </c>
      <c r="G6" s="224">
        <v>-116.100739</v>
      </c>
      <c r="H6" s="224">
        <v>0.25</v>
      </c>
      <c r="I6" s="223" t="s">
        <v>285</v>
      </c>
      <c r="K6" s="199" t="s">
        <v>290</v>
      </c>
      <c r="L6" s="99" t="s">
        <v>304</v>
      </c>
      <c r="M6" s="99">
        <v>0.25</v>
      </c>
      <c r="N6" s="200" t="str">
        <f t="shared" si="1"/>
        <v>A</v>
      </c>
      <c r="O6" s="198" t="s">
        <v>60</v>
      </c>
      <c r="P6" s="199">
        <f>COUNTIFS(L:L,"OYNG",N:N,"B")</f>
        <v>130</v>
      </c>
    </row>
    <row r="7" spans="1:23" s="177" customFormat="1" x14ac:dyDescent="0.25">
      <c r="A7" s="225">
        <v>53</v>
      </c>
      <c r="B7" s="226">
        <v>45721</v>
      </c>
      <c r="C7" s="227">
        <v>0.56180555555555556</v>
      </c>
      <c r="D7" s="227">
        <v>0.56597222222222221</v>
      </c>
      <c r="E7" s="224">
        <v>5</v>
      </c>
      <c r="F7" s="224">
        <v>43.268230699999997</v>
      </c>
      <c r="G7" s="224">
        <v>-116.09800130000001</v>
      </c>
      <c r="H7" s="224">
        <v>0.25</v>
      </c>
      <c r="I7" s="223" t="s">
        <v>285</v>
      </c>
      <c r="K7" s="199" t="s">
        <v>291</v>
      </c>
      <c r="L7" s="99" t="s">
        <v>304</v>
      </c>
      <c r="M7" s="99">
        <v>0.25</v>
      </c>
      <c r="N7" s="200" t="str">
        <f t="shared" si="1"/>
        <v>A</v>
      </c>
      <c r="O7" s="198" t="s">
        <v>56</v>
      </c>
      <c r="P7" s="199">
        <f>COUNTIFS(L:L,"OYNG",N:N,"C")</f>
        <v>9</v>
      </c>
    </row>
    <row r="8" spans="1:23" s="177" customFormat="1" x14ac:dyDescent="0.25">
      <c r="A8" s="225">
        <v>61</v>
      </c>
      <c r="B8" s="226">
        <v>45724</v>
      </c>
      <c r="C8" s="227">
        <v>0.47361111111111109</v>
      </c>
      <c r="D8" s="227">
        <v>0.48194444444444445</v>
      </c>
      <c r="E8" s="224">
        <v>5</v>
      </c>
      <c r="F8" s="224">
        <v>43.273159</v>
      </c>
      <c r="G8" s="224">
        <v>-116.098409</v>
      </c>
      <c r="H8" s="224">
        <v>0.1</v>
      </c>
      <c r="I8" s="223" t="s">
        <v>285</v>
      </c>
      <c r="K8" s="199" t="s">
        <v>292</v>
      </c>
      <c r="L8" s="99" t="s">
        <v>304</v>
      </c>
      <c r="M8" s="99">
        <v>0.1</v>
      </c>
      <c r="N8" s="200" t="str">
        <f t="shared" si="1"/>
        <v>A</v>
      </c>
      <c r="O8" s="198" t="s">
        <v>57</v>
      </c>
      <c r="P8" s="199">
        <f>COUNTIFS(L:L,"OYNG",N:N,"D")</f>
        <v>4</v>
      </c>
    </row>
    <row r="9" spans="1:23" s="177" customFormat="1" x14ac:dyDescent="0.25">
      <c r="A9" s="92">
        <v>62</v>
      </c>
      <c r="B9" s="221">
        <v>45724</v>
      </c>
      <c r="C9" s="222">
        <v>0.48680555555555555</v>
      </c>
      <c r="D9" s="222">
        <v>0.53611111111111109</v>
      </c>
      <c r="E9" s="99">
        <v>5</v>
      </c>
      <c r="F9" s="99">
        <v>43.276155000000003</v>
      </c>
      <c r="G9" s="99">
        <v>-116.10036100000001</v>
      </c>
      <c r="H9" s="99">
        <v>0.1</v>
      </c>
      <c r="I9" s="223" t="s">
        <v>285</v>
      </c>
      <c r="K9" s="199" t="s">
        <v>293</v>
      </c>
      <c r="L9" s="99" t="s">
        <v>304</v>
      </c>
      <c r="M9" s="99">
        <v>0.1</v>
      </c>
      <c r="N9" s="200" t="str">
        <f t="shared" si="1"/>
        <v>A</v>
      </c>
      <c r="O9" s="198" t="s">
        <v>52</v>
      </c>
      <c r="P9" s="199">
        <f>COUNTIFS(L:L,"OYNG",N:N,"E")</f>
        <v>6</v>
      </c>
    </row>
    <row r="10" spans="1:23" s="177" customFormat="1" x14ac:dyDescent="0.25">
      <c r="A10" s="225">
        <v>66</v>
      </c>
      <c r="B10" s="226">
        <v>45725</v>
      </c>
      <c r="C10" s="227">
        <v>0.50972222222222219</v>
      </c>
      <c r="D10" s="227">
        <v>0.51458333333333328</v>
      </c>
      <c r="E10" s="224">
        <v>5</v>
      </c>
      <c r="F10" s="224">
        <v>43.2760259</v>
      </c>
      <c r="G10" s="224">
        <v>-116.097652</v>
      </c>
      <c r="H10" s="224">
        <v>0.25</v>
      </c>
      <c r="I10" s="223" t="s">
        <v>285</v>
      </c>
      <c r="K10" s="199" t="s">
        <v>294</v>
      </c>
      <c r="L10" s="99" t="s">
        <v>304</v>
      </c>
      <c r="M10" s="99">
        <v>0.25</v>
      </c>
      <c r="N10" s="200" t="str">
        <f t="shared" si="1"/>
        <v>A</v>
      </c>
      <c r="O10" s="198" t="s">
        <v>64</v>
      </c>
      <c r="P10" s="199">
        <f>COUNTIFS(L:L,"OYNG",N:N,"F")</f>
        <v>0</v>
      </c>
    </row>
    <row r="11" spans="1:23" s="177" customFormat="1" x14ac:dyDescent="0.25">
      <c r="A11" s="92">
        <v>68</v>
      </c>
      <c r="B11" s="221">
        <v>45725</v>
      </c>
      <c r="C11" s="222">
        <v>0.52500000000000002</v>
      </c>
      <c r="D11" s="222">
        <v>0.53611111111111109</v>
      </c>
      <c r="E11" s="99">
        <v>5</v>
      </c>
      <c r="F11" s="99">
        <v>43.275620699999997</v>
      </c>
      <c r="G11" s="99">
        <v>-116.097658</v>
      </c>
      <c r="H11" s="99">
        <v>0.25</v>
      </c>
      <c r="I11" s="223" t="s">
        <v>285</v>
      </c>
      <c r="K11" s="199" t="s">
        <v>295</v>
      </c>
      <c r="L11" s="99" t="s">
        <v>304</v>
      </c>
      <c r="M11" s="99">
        <v>0.25</v>
      </c>
      <c r="N11" s="200" t="str">
        <f t="shared" si="1"/>
        <v>A</v>
      </c>
      <c r="O11" s="198" t="s">
        <v>61</v>
      </c>
      <c r="P11" s="199">
        <f>COUNTIFS(L:L,"OYNG",N:N,"G")</f>
        <v>1</v>
      </c>
    </row>
    <row r="12" spans="1:23" s="177" customFormat="1" x14ac:dyDescent="0.25">
      <c r="A12" s="92">
        <v>69</v>
      </c>
      <c r="B12" s="221">
        <v>45725</v>
      </c>
      <c r="C12" s="222">
        <v>0.54236111111111107</v>
      </c>
      <c r="D12" s="222">
        <v>0.54652777777777772</v>
      </c>
      <c r="E12" s="99">
        <v>5</v>
      </c>
      <c r="F12" s="99">
        <v>43.274146100000003</v>
      </c>
      <c r="G12" s="99">
        <v>-116.0979263</v>
      </c>
      <c r="H12" s="99">
        <v>0.25</v>
      </c>
      <c r="I12" s="223" t="s">
        <v>285</v>
      </c>
      <c r="K12" s="199" t="s">
        <v>296</v>
      </c>
      <c r="L12" s="99" t="s">
        <v>304</v>
      </c>
      <c r="M12" s="99">
        <v>0.25</v>
      </c>
      <c r="N12" s="200" t="str">
        <f t="shared" si="1"/>
        <v>A</v>
      </c>
    </row>
    <row r="13" spans="1:23" s="239" customFormat="1" ht="15.75" customHeight="1" x14ac:dyDescent="0.25">
      <c r="A13" s="234">
        <v>70</v>
      </c>
      <c r="B13" s="235">
        <v>45725</v>
      </c>
      <c r="C13" s="236">
        <v>0.55694444444444446</v>
      </c>
      <c r="D13" s="236">
        <v>0.55972222222222223</v>
      </c>
      <c r="E13" s="237">
        <v>5</v>
      </c>
      <c r="F13" s="237">
        <v>43.275620699999997</v>
      </c>
      <c r="G13" s="237">
        <v>-116.097658</v>
      </c>
      <c r="H13" s="237">
        <v>0.25</v>
      </c>
      <c r="I13" s="238" t="s">
        <v>285</v>
      </c>
      <c r="K13" s="240" t="s">
        <v>297</v>
      </c>
      <c r="L13" s="233" t="s">
        <v>304</v>
      </c>
      <c r="M13" s="233">
        <v>0.25</v>
      </c>
      <c r="N13" s="241" t="str">
        <f t="shared" si="1"/>
        <v>A</v>
      </c>
      <c r="O13" s="434" t="s">
        <v>192</v>
      </c>
      <c r="P13" s="434"/>
      <c r="Q13" s="434"/>
      <c r="R13" s="434"/>
      <c r="S13" s="434"/>
      <c r="T13" s="434"/>
      <c r="U13" s="434"/>
      <c r="V13" s="434"/>
      <c r="W13" s="434"/>
    </row>
    <row r="14" spans="1:23" s="239" customFormat="1" x14ac:dyDescent="0.25">
      <c r="A14" s="234">
        <v>99</v>
      </c>
      <c r="B14" s="235">
        <v>45735</v>
      </c>
      <c r="C14" s="236">
        <v>0.61250000000000004</v>
      </c>
      <c r="D14" s="236">
        <v>0.61597222222222225</v>
      </c>
      <c r="E14" s="237">
        <v>5</v>
      </c>
      <c r="F14" s="237">
        <v>43.276170100000002</v>
      </c>
      <c r="G14" s="237">
        <v>-116.0976745</v>
      </c>
      <c r="H14" s="237">
        <v>0.25</v>
      </c>
      <c r="I14" s="238" t="s">
        <v>285</v>
      </c>
      <c r="K14" s="240" t="s">
        <v>298</v>
      </c>
      <c r="L14" s="233" t="s">
        <v>304</v>
      </c>
      <c r="M14" s="233">
        <v>0.25</v>
      </c>
      <c r="N14" s="241" t="str">
        <f t="shared" si="1"/>
        <v>A</v>
      </c>
      <c r="O14" s="434"/>
      <c r="P14" s="434"/>
      <c r="Q14" s="434"/>
      <c r="R14" s="434"/>
      <c r="S14" s="434"/>
      <c r="T14" s="434"/>
      <c r="U14" s="434"/>
      <c r="V14" s="434"/>
      <c r="W14" s="434"/>
    </row>
    <row r="15" spans="1:23" s="239" customFormat="1" x14ac:dyDescent="0.25">
      <c r="A15" s="234">
        <v>104</v>
      </c>
      <c r="B15" s="235">
        <v>45736</v>
      </c>
      <c r="C15" s="236">
        <v>0.45</v>
      </c>
      <c r="D15" s="236">
        <v>0.4548611111111111</v>
      </c>
      <c r="E15" s="237">
        <v>5</v>
      </c>
      <c r="F15" s="237">
        <v>43.275576999999998</v>
      </c>
      <c r="G15" s="237">
        <v>-116.09896500000001</v>
      </c>
      <c r="H15" s="237">
        <v>0.25</v>
      </c>
      <c r="I15" s="238" t="s">
        <v>285</v>
      </c>
      <c r="K15" s="240" t="s">
        <v>299</v>
      </c>
      <c r="L15" s="233" t="s">
        <v>304</v>
      </c>
      <c r="M15" s="233">
        <v>0.25</v>
      </c>
      <c r="N15" s="241" t="str">
        <f t="shared" si="1"/>
        <v>A</v>
      </c>
    </row>
    <row r="16" spans="1:23" s="248" customFormat="1" x14ac:dyDescent="0.25">
      <c r="A16" s="242">
        <v>110</v>
      </c>
      <c r="B16" s="243">
        <v>45737</v>
      </c>
      <c r="C16" s="244">
        <v>0.65347222222222223</v>
      </c>
      <c r="D16" s="244">
        <v>0.66597222222222219</v>
      </c>
      <c r="E16" s="245" t="s">
        <v>286</v>
      </c>
      <c r="F16" s="245">
        <v>43.168790000000001</v>
      </c>
      <c r="G16" s="245">
        <v>-116.10159</v>
      </c>
      <c r="H16" s="246">
        <v>0.25</v>
      </c>
      <c r="I16" s="247" t="s">
        <v>285</v>
      </c>
      <c r="K16" s="249" t="s">
        <v>300</v>
      </c>
      <c r="L16" s="250" t="s">
        <v>304</v>
      </c>
      <c r="M16" s="250">
        <v>0.25</v>
      </c>
      <c r="N16" s="251" t="str">
        <f t="shared" si="1"/>
        <v>A</v>
      </c>
      <c r="O16" s="435" t="s">
        <v>208</v>
      </c>
      <c r="P16" s="435"/>
      <c r="Q16" s="435"/>
      <c r="R16" s="435"/>
      <c r="S16" s="435"/>
      <c r="T16" s="435"/>
    </row>
    <row r="17" spans="1:20" s="239" customFormat="1" x14ac:dyDescent="0.25">
      <c r="A17" s="234">
        <v>116</v>
      </c>
      <c r="B17" s="235">
        <v>45739</v>
      </c>
      <c r="C17" s="236">
        <v>0.57777777777777772</v>
      </c>
      <c r="D17" s="236">
        <v>0.58194444444444449</v>
      </c>
      <c r="E17" s="237">
        <v>10</v>
      </c>
      <c r="F17" s="237">
        <v>43.249040000000001</v>
      </c>
      <c r="G17" s="237">
        <v>-116.04221</v>
      </c>
      <c r="H17" s="237">
        <v>0.25</v>
      </c>
      <c r="I17" s="238" t="s">
        <v>285</v>
      </c>
      <c r="K17" s="240" t="s">
        <v>301</v>
      </c>
      <c r="L17" s="233" t="s">
        <v>304</v>
      </c>
      <c r="M17" s="233">
        <v>0.25</v>
      </c>
      <c r="N17" s="241" t="str">
        <f t="shared" si="1"/>
        <v>A</v>
      </c>
      <c r="O17" s="435"/>
      <c r="P17" s="435"/>
      <c r="Q17" s="435"/>
      <c r="R17" s="435"/>
      <c r="S17" s="435"/>
      <c r="T17" s="435"/>
    </row>
    <row r="18" spans="1:20" s="239" customFormat="1" x14ac:dyDescent="0.25">
      <c r="A18" s="252">
        <v>117</v>
      </c>
      <c r="B18" s="253">
        <v>45739</v>
      </c>
      <c r="C18" s="254">
        <v>0.59027777777777779</v>
      </c>
      <c r="D18" s="254">
        <v>0.59305555555555556</v>
      </c>
      <c r="E18" s="233">
        <v>10</v>
      </c>
      <c r="F18" s="233">
        <v>43.238430000000001</v>
      </c>
      <c r="G18" s="233">
        <v>-116.03962</v>
      </c>
      <c r="H18" s="233">
        <v>0.25</v>
      </c>
      <c r="I18" s="238" t="s">
        <v>285</v>
      </c>
      <c r="K18" s="240" t="s">
        <v>302</v>
      </c>
      <c r="L18" s="233" t="s">
        <v>304</v>
      </c>
      <c r="M18" s="233">
        <v>0.25</v>
      </c>
      <c r="N18" s="241" t="str">
        <f t="shared" si="1"/>
        <v>A</v>
      </c>
      <c r="O18" s="435"/>
      <c r="P18" s="435"/>
      <c r="Q18" s="435"/>
      <c r="R18" s="435"/>
      <c r="S18" s="435"/>
      <c r="T18" s="435"/>
    </row>
    <row r="19" spans="1:20" s="239" customFormat="1" x14ac:dyDescent="0.25">
      <c r="A19" s="252">
        <v>127</v>
      </c>
      <c r="B19" s="253">
        <v>45744</v>
      </c>
      <c r="C19" s="254">
        <v>0.59861111111111109</v>
      </c>
      <c r="D19" s="254">
        <v>0.60347222222222219</v>
      </c>
      <c r="E19" s="233">
        <v>5</v>
      </c>
      <c r="F19" s="233">
        <v>43.271448200000002</v>
      </c>
      <c r="G19" s="233">
        <v>-116.1017985</v>
      </c>
      <c r="H19" s="233">
        <v>0.25</v>
      </c>
      <c r="I19" s="238" t="s">
        <v>285</v>
      </c>
      <c r="K19" s="240" t="s">
        <v>303</v>
      </c>
      <c r="L19" s="233" t="s">
        <v>304</v>
      </c>
      <c r="M19" s="233">
        <v>0.25</v>
      </c>
      <c r="N19" s="241" t="str">
        <f t="shared" si="1"/>
        <v>A</v>
      </c>
    </row>
    <row r="20" spans="1:20" s="177" customFormat="1" x14ac:dyDescent="0.25">
      <c r="A20" s="208">
        <v>140</v>
      </c>
      <c r="B20" s="209">
        <v>45752</v>
      </c>
      <c r="C20" s="210">
        <v>0.57152777777777775</v>
      </c>
      <c r="D20" s="210">
        <v>0.58333333333333337</v>
      </c>
      <c r="E20" s="211" t="s">
        <v>350</v>
      </c>
      <c r="F20" s="211">
        <v>43.197523099999998</v>
      </c>
      <c r="G20" s="211">
        <v>-116.03473390000001</v>
      </c>
      <c r="H20" s="211">
        <v>0.25</v>
      </c>
      <c r="I20" s="212" t="s">
        <v>285</v>
      </c>
      <c r="K20" s="199" t="s">
        <v>358</v>
      </c>
      <c r="L20" s="99" t="s">
        <v>304</v>
      </c>
      <c r="M20" s="99">
        <v>0.25</v>
      </c>
      <c r="N20" s="200" t="str">
        <f t="shared" si="1"/>
        <v>A</v>
      </c>
    </row>
    <row r="21" spans="1:20" s="261" customFormat="1" x14ac:dyDescent="0.25">
      <c r="A21" s="256">
        <v>146</v>
      </c>
      <c r="B21" s="257">
        <v>45757</v>
      </c>
      <c r="C21" s="258">
        <v>0.78611111111111109</v>
      </c>
      <c r="D21" s="258">
        <v>0.80277777777777781</v>
      </c>
      <c r="E21" s="259">
        <v>21</v>
      </c>
      <c r="F21" s="259">
        <v>43.160770499999998</v>
      </c>
      <c r="G21" s="259">
        <v>-116.1005064</v>
      </c>
      <c r="H21" s="259">
        <v>0.5</v>
      </c>
      <c r="I21" s="260" t="s">
        <v>285</v>
      </c>
      <c r="K21" s="262" t="s">
        <v>359</v>
      </c>
      <c r="L21" s="263" t="s">
        <v>304</v>
      </c>
      <c r="M21" s="263">
        <v>0.5</v>
      </c>
      <c r="N21" s="264" t="str">
        <f t="shared" si="1"/>
        <v>B</v>
      </c>
    </row>
    <row r="22" spans="1:20" s="177" customFormat="1" x14ac:dyDescent="0.25">
      <c r="A22" s="265">
        <v>153</v>
      </c>
      <c r="B22" s="266">
        <v>45760</v>
      </c>
      <c r="C22" s="267">
        <v>0.52916666666666667</v>
      </c>
      <c r="D22" s="267">
        <v>0.5444444444444444</v>
      </c>
      <c r="E22" s="268">
        <v>1</v>
      </c>
      <c r="F22" s="268">
        <v>43.268357399999999</v>
      </c>
      <c r="G22" s="268">
        <v>-116.19032300000001</v>
      </c>
      <c r="H22" s="268">
        <v>0.1</v>
      </c>
      <c r="I22" s="212" t="s">
        <v>285</v>
      </c>
      <c r="K22" s="199" t="s">
        <v>360</v>
      </c>
      <c r="L22" s="99" t="s">
        <v>304</v>
      </c>
      <c r="M22" s="99">
        <v>0.1</v>
      </c>
      <c r="N22" s="200" t="str">
        <f t="shared" si="1"/>
        <v>A</v>
      </c>
    </row>
    <row r="23" spans="1:20" s="177" customFormat="1" x14ac:dyDescent="0.25">
      <c r="A23" s="265">
        <v>170</v>
      </c>
      <c r="B23" s="266">
        <v>45771</v>
      </c>
      <c r="C23" s="267">
        <v>0.51249999999999996</v>
      </c>
      <c r="D23" s="267">
        <v>0.5131944444444444</v>
      </c>
      <c r="E23" s="268">
        <v>14</v>
      </c>
      <c r="F23" s="268">
        <v>43.197300599999998</v>
      </c>
      <c r="G23" s="268">
        <v>-116.0256402</v>
      </c>
      <c r="H23" s="268">
        <v>0.5</v>
      </c>
      <c r="I23" s="212" t="s">
        <v>285</v>
      </c>
      <c r="K23" s="199" t="s">
        <v>361</v>
      </c>
      <c r="L23" s="99" t="s">
        <v>304</v>
      </c>
      <c r="M23" s="99">
        <v>0.5</v>
      </c>
      <c r="N23" s="200" t="str">
        <f t="shared" si="1"/>
        <v>B</v>
      </c>
    </row>
    <row r="24" spans="1:20" s="177" customFormat="1" x14ac:dyDescent="0.25">
      <c r="A24" s="265">
        <v>171</v>
      </c>
      <c r="B24" s="266">
        <v>45771</v>
      </c>
      <c r="C24" s="267">
        <v>0.51458333333333328</v>
      </c>
      <c r="D24" s="267">
        <v>0.52152777777777781</v>
      </c>
      <c r="E24" s="268">
        <v>26</v>
      </c>
      <c r="F24" s="268">
        <v>43.151249</v>
      </c>
      <c r="G24" s="268">
        <v>-116.14906259999999</v>
      </c>
      <c r="H24" s="268">
        <v>0.25</v>
      </c>
      <c r="I24" s="212" t="s">
        <v>285</v>
      </c>
      <c r="K24" s="199" t="s">
        <v>362</v>
      </c>
      <c r="L24" s="99" t="s">
        <v>304</v>
      </c>
      <c r="M24" s="99">
        <v>0.25</v>
      </c>
      <c r="N24" s="200" t="str">
        <f t="shared" si="1"/>
        <v>A</v>
      </c>
    </row>
    <row r="25" spans="1:20" s="177" customFormat="1" x14ac:dyDescent="0.25">
      <c r="A25" s="208">
        <v>173</v>
      </c>
      <c r="B25" s="209">
        <v>45771</v>
      </c>
      <c r="C25" s="210">
        <v>0.5854166666666667</v>
      </c>
      <c r="D25" s="210">
        <v>0.59166666666666667</v>
      </c>
      <c r="E25" s="211">
        <v>14</v>
      </c>
      <c r="F25" s="211">
        <v>43.197288899999997</v>
      </c>
      <c r="G25" s="211">
        <v>-116.0315375</v>
      </c>
      <c r="H25" s="211">
        <v>1</v>
      </c>
      <c r="I25" s="212" t="s">
        <v>285</v>
      </c>
      <c r="K25" s="199" t="s">
        <v>363</v>
      </c>
      <c r="L25" s="99" t="s">
        <v>304</v>
      </c>
      <c r="M25" s="99">
        <v>1</v>
      </c>
      <c r="N25" s="200" t="str">
        <f t="shared" si="1"/>
        <v>B</v>
      </c>
    </row>
    <row r="26" spans="1:20" s="177" customFormat="1" x14ac:dyDescent="0.25">
      <c r="A26" s="265">
        <v>177</v>
      </c>
      <c r="B26" s="266">
        <v>45772</v>
      </c>
      <c r="C26" s="267">
        <v>0.59513888888888888</v>
      </c>
      <c r="D26" s="267">
        <v>0.59930555555555554</v>
      </c>
      <c r="E26" s="268">
        <v>5</v>
      </c>
      <c r="F26" s="268">
        <v>43.266598299999998</v>
      </c>
      <c r="G26" s="268">
        <v>-116.0976804</v>
      </c>
      <c r="H26" s="268">
        <v>0.5</v>
      </c>
      <c r="I26" s="212" t="s">
        <v>285</v>
      </c>
      <c r="K26" s="199" t="s">
        <v>364</v>
      </c>
      <c r="L26" s="99" t="s">
        <v>304</v>
      </c>
      <c r="M26" s="99">
        <v>0.5</v>
      </c>
      <c r="N26" s="200" t="str">
        <f t="shared" si="1"/>
        <v>B</v>
      </c>
    </row>
    <row r="27" spans="1:20" s="177" customFormat="1" x14ac:dyDescent="0.25">
      <c r="A27" s="208">
        <v>178</v>
      </c>
      <c r="B27" s="209">
        <v>45772</v>
      </c>
      <c r="C27" s="210">
        <v>0.62222222222222223</v>
      </c>
      <c r="D27" s="210">
        <v>0.62708333333333333</v>
      </c>
      <c r="E27" s="211">
        <v>5</v>
      </c>
      <c r="F27" s="211">
        <v>43.269967600000001</v>
      </c>
      <c r="G27" s="211">
        <v>-116.1024611</v>
      </c>
      <c r="H27" s="211">
        <v>0.25</v>
      </c>
      <c r="I27" s="212" t="s">
        <v>285</v>
      </c>
      <c r="K27" s="199" t="s">
        <v>365</v>
      </c>
      <c r="L27" s="99" t="s">
        <v>304</v>
      </c>
      <c r="M27" s="99">
        <v>0.25</v>
      </c>
      <c r="N27" s="200" t="str">
        <f t="shared" si="1"/>
        <v>A</v>
      </c>
    </row>
    <row r="28" spans="1:20" s="177" customFormat="1" x14ac:dyDescent="0.25">
      <c r="A28" s="208">
        <v>179</v>
      </c>
      <c r="B28" s="209">
        <v>45772</v>
      </c>
      <c r="C28" s="210">
        <v>0.69097222222222221</v>
      </c>
      <c r="D28" s="210">
        <v>0.6958333333333333</v>
      </c>
      <c r="E28" s="211">
        <v>4</v>
      </c>
      <c r="F28" s="211">
        <v>43.26896</v>
      </c>
      <c r="G28" s="211">
        <v>-116.1025745</v>
      </c>
      <c r="H28" s="211">
        <v>0.25</v>
      </c>
      <c r="I28" s="212" t="s">
        <v>285</v>
      </c>
      <c r="K28" s="199" t="s">
        <v>366</v>
      </c>
      <c r="L28" s="99" t="s">
        <v>304</v>
      </c>
      <c r="M28" s="99">
        <v>0.25</v>
      </c>
      <c r="N28" s="200" t="str">
        <f t="shared" si="1"/>
        <v>A</v>
      </c>
    </row>
    <row r="29" spans="1:20" s="177" customFormat="1" x14ac:dyDescent="0.25">
      <c r="A29" s="265">
        <v>183</v>
      </c>
      <c r="B29" s="266">
        <v>45775</v>
      </c>
      <c r="C29" s="267">
        <v>0.70972222222222225</v>
      </c>
      <c r="D29" s="267">
        <v>0.71180555555555558</v>
      </c>
      <c r="E29" s="268">
        <v>10</v>
      </c>
      <c r="F29" s="268">
        <v>43.234537600000003</v>
      </c>
      <c r="G29" s="268">
        <v>-116.0580542</v>
      </c>
      <c r="H29" s="268">
        <v>0.25</v>
      </c>
      <c r="I29" s="212" t="s">
        <v>285</v>
      </c>
      <c r="K29" s="199" t="s">
        <v>367</v>
      </c>
      <c r="L29" s="99" t="s">
        <v>304</v>
      </c>
      <c r="M29" s="99">
        <v>0.25</v>
      </c>
      <c r="N29" s="200" t="str">
        <f t="shared" si="1"/>
        <v>A</v>
      </c>
    </row>
    <row r="30" spans="1:20" s="274" customFormat="1" x14ac:dyDescent="0.25">
      <c r="A30" s="269">
        <v>187</v>
      </c>
      <c r="B30" s="270">
        <v>45777</v>
      </c>
      <c r="C30" s="271">
        <v>0.9506944444444444</v>
      </c>
      <c r="D30" s="271">
        <v>0.97291666666666665</v>
      </c>
      <c r="E30" s="272">
        <v>21</v>
      </c>
      <c r="F30" s="272">
        <v>43.161826099999999</v>
      </c>
      <c r="G30" s="272">
        <v>-116.0984735</v>
      </c>
      <c r="H30" s="272">
        <v>1</v>
      </c>
      <c r="I30" s="273" t="s">
        <v>285</v>
      </c>
      <c r="K30" s="275" t="s">
        <v>368</v>
      </c>
      <c r="L30" s="276" t="s">
        <v>304</v>
      </c>
      <c r="M30" s="277">
        <v>1</v>
      </c>
      <c r="N30" s="278" t="str">
        <f t="shared" si="1"/>
        <v>B</v>
      </c>
    </row>
    <row r="31" spans="1:20" s="177" customFormat="1" x14ac:dyDescent="0.25">
      <c r="A31" s="265">
        <v>188</v>
      </c>
      <c r="B31" s="266">
        <v>45777</v>
      </c>
      <c r="C31" s="267">
        <v>0.98750000000000004</v>
      </c>
      <c r="D31" s="267">
        <v>0.99305555555555558</v>
      </c>
      <c r="E31" s="268">
        <v>22</v>
      </c>
      <c r="F31" s="268">
        <v>43.154007100000001</v>
      </c>
      <c r="G31" s="268">
        <v>-116.096773</v>
      </c>
      <c r="H31" s="268">
        <v>0.25</v>
      </c>
      <c r="I31" s="212" t="s">
        <v>285</v>
      </c>
      <c r="K31" s="199" t="s">
        <v>369</v>
      </c>
      <c r="L31" s="99" t="s">
        <v>304</v>
      </c>
      <c r="M31" s="99">
        <v>0.25</v>
      </c>
      <c r="N31" s="200" t="str">
        <f t="shared" si="1"/>
        <v>A</v>
      </c>
    </row>
    <row r="32" spans="1:20" s="177" customFormat="1" x14ac:dyDescent="0.25">
      <c r="A32" s="279">
        <v>189</v>
      </c>
      <c r="B32" s="280">
        <v>45778</v>
      </c>
      <c r="C32" s="281">
        <v>2.0833333333333332E-2</v>
      </c>
      <c r="D32" s="281">
        <v>3.125E-2</v>
      </c>
      <c r="E32" s="282">
        <v>21</v>
      </c>
      <c r="F32" s="282">
        <v>43.161952700000001</v>
      </c>
      <c r="G32" s="282">
        <v>-116.10083349999999</v>
      </c>
      <c r="H32" s="282">
        <v>0.1</v>
      </c>
      <c r="I32" s="283" t="s">
        <v>285</v>
      </c>
      <c r="K32" s="199" t="s">
        <v>671</v>
      </c>
      <c r="L32" s="99" t="s">
        <v>304</v>
      </c>
      <c r="M32" s="99">
        <v>0.1</v>
      </c>
      <c r="N32" s="200" t="str">
        <f t="shared" si="1"/>
        <v>A</v>
      </c>
    </row>
    <row r="33" spans="1:14" s="177" customFormat="1" x14ac:dyDescent="0.25">
      <c r="A33" s="279">
        <v>196</v>
      </c>
      <c r="B33" s="280">
        <v>45779</v>
      </c>
      <c r="C33" s="281">
        <v>0.81111111111111112</v>
      </c>
      <c r="D33" s="281">
        <v>0.83125000000000004</v>
      </c>
      <c r="E33" s="282">
        <v>28</v>
      </c>
      <c r="F33" s="282">
        <v>43.170261099999998</v>
      </c>
      <c r="G33" s="282">
        <v>-116.1402768</v>
      </c>
      <c r="H33" s="282">
        <v>1</v>
      </c>
      <c r="I33" s="283" t="s">
        <v>285</v>
      </c>
      <c r="K33" s="199" t="s">
        <v>672</v>
      </c>
      <c r="L33" s="99" t="s">
        <v>304</v>
      </c>
      <c r="M33" s="99">
        <v>1</v>
      </c>
      <c r="N33" s="200" t="str">
        <f t="shared" si="1"/>
        <v>B</v>
      </c>
    </row>
    <row r="34" spans="1:14" s="177" customFormat="1" x14ac:dyDescent="0.25">
      <c r="A34" s="279">
        <v>197</v>
      </c>
      <c r="B34" s="280">
        <v>45779</v>
      </c>
      <c r="C34" s="281">
        <v>0.83472222222222225</v>
      </c>
      <c r="D34" s="281">
        <v>0.83819444444444446</v>
      </c>
      <c r="E34" s="282" t="s">
        <v>603</v>
      </c>
      <c r="F34" s="282">
        <v>43.1775716</v>
      </c>
      <c r="G34" s="282">
        <v>-116.1365076</v>
      </c>
      <c r="H34" s="282">
        <v>0.25</v>
      </c>
      <c r="I34" s="283" t="s">
        <v>285</v>
      </c>
      <c r="K34" s="199" t="s">
        <v>673</v>
      </c>
      <c r="L34" s="99" t="s">
        <v>304</v>
      </c>
      <c r="M34" s="99">
        <v>0.25</v>
      </c>
      <c r="N34" s="200" t="str">
        <f t="shared" si="1"/>
        <v>A</v>
      </c>
    </row>
    <row r="35" spans="1:14" s="177" customFormat="1" x14ac:dyDescent="0.25">
      <c r="A35" s="279">
        <v>203</v>
      </c>
      <c r="B35" s="280">
        <v>45780</v>
      </c>
      <c r="C35" s="281">
        <v>0.68055555555555558</v>
      </c>
      <c r="D35" s="281">
        <v>0.69027777777777777</v>
      </c>
      <c r="E35" s="282">
        <v>14</v>
      </c>
      <c r="F35" s="282">
        <v>43.197499999999998</v>
      </c>
      <c r="G35" s="282">
        <v>-116.03163000000001</v>
      </c>
      <c r="H35" s="282">
        <v>0.25</v>
      </c>
      <c r="I35" s="283" t="s">
        <v>285</v>
      </c>
      <c r="K35" s="199" t="s">
        <v>674</v>
      </c>
      <c r="L35" s="99" t="s">
        <v>304</v>
      </c>
      <c r="M35" s="99">
        <v>0.25</v>
      </c>
      <c r="N35" s="200" t="str">
        <f t="shared" si="1"/>
        <v>A</v>
      </c>
    </row>
    <row r="36" spans="1:14" s="177" customFormat="1" x14ac:dyDescent="0.25">
      <c r="A36" s="279">
        <v>208</v>
      </c>
      <c r="B36" s="280">
        <v>45783</v>
      </c>
      <c r="C36" s="281">
        <v>0.5229166666666667</v>
      </c>
      <c r="D36" s="281">
        <v>0.52638888888888891</v>
      </c>
      <c r="E36" s="282">
        <v>6</v>
      </c>
      <c r="F36" s="282">
        <v>43.2651696</v>
      </c>
      <c r="G36" s="282">
        <v>-116.0788616</v>
      </c>
      <c r="H36" s="282">
        <v>0.25</v>
      </c>
      <c r="I36" s="283" t="s">
        <v>285</v>
      </c>
      <c r="K36" s="199" t="s">
        <v>675</v>
      </c>
      <c r="L36" s="99" t="s">
        <v>304</v>
      </c>
      <c r="M36" s="99">
        <v>0.25</v>
      </c>
      <c r="N36" s="200" t="str">
        <f t="shared" si="1"/>
        <v>A</v>
      </c>
    </row>
    <row r="37" spans="1:14" s="177" customFormat="1" x14ac:dyDescent="0.25">
      <c r="A37" s="279">
        <v>212</v>
      </c>
      <c r="B37" s="280">
        <v>45783</v>
      </c>
      <c r="C37" s="281">
        <v>0.68888888888888888</v>
      </c>
      <c r="D37" s="281">
        <v>0.69166666666666665</v>
      </c>
      <c r="E37" s="282">
        <v>6</v>
      </c>
      <c r="F37" s="282">
        <v>43.257350000000002</v>
      </c>
      <c r="G37" s="282">
        <v>-116.0784128</v>
      </c>
      <c r="H37" s="282">
        <v>0.25</v>
      </c>
      <c r="I37" s="283" t="s">
        <v>285</v>
      </c>
      <c r="K37" s="199" t="s">
        <v>676</v>
      </c>
      <c r="L37" s="99" t="s">
        <v>304</v>
      </c>
      <c r="M37" s="99">
        <v>0.25</v>
      </c>
      <c r="N37" s="200" t="str">
        <f t="shared" si="1"/>
        <v>A</v>
      </c>
    </row>
    <row r="38" spans="1:14" s="177" customFormat="1" x14ac:dyDescent="0.25">
      <c r="A38" s="279">
        <v>214</v>
      </c>
      <c r="B38" s="280">
        <v>45783</v>
      </c>
      <c r="C38" s="281">
        <v>0.79374999999999996</v>
      </c>
      <c r="D38" s="281">
        <v>0.79652777777777772</v>
      </c>
      <c r="E38" s="282" t="s">
        <v>604</v>
      </c>
      <c r="F38" s="282">
        <v>43.194594299999999</v>
      </c>
      <c r="G38" s="282">
        <v>-116.0270263</v>
      </c>
      <c r="H38" s="282">
        <v>0.25</v>
      </c>
      <c r="I38" s="283" t="s">
        <v>285</v>
      </c>
      <c r="K38" s="199" t="s">
        <v>677</v>
      </c>
      <c r="L38" s="99" t="s">
        <v>304</v>
      </c>
      <c r="M38" s="99">
        <v>0.25</v>
      </c>
      <c r="N38" s="200" t="str">
        <f t="shared" si="1"/>
        <v>A</v>
      </c>
    </row>
    <row r="39" spans="1:14" s="177" customFormat="1" x14ac:dyDescent="0.25">
      <c r="A39" s="279">
        <v>217</v>
      </c>
      <c r="B39" s="280">
        <v>45783</v>
      </c>
      <c r="C39" s="281">
        <v>0.96597222222222223</v>
      </c>
      <c r="D39" s="281">
        <v>0.96875</v>
      </c>
      <c r="E39" s="282">
        <v>6</v>
      </c>
      <c r="F39" s="282">
        <v>43.264006899999998</v>
      </c>
      <c r="G39" s="282">
        <v>-116.07871900000001</v>
      </c>
      <c r="H39" s="282">
        <v>0.25</v>
      </c>
      <c r="I39" s="283" t="s">
        <v>285</v>
      </c>
      <c r="K39" s="199" t="s">
        <v>678</v>
      </c>
      <c r="L39" s="99" t="s">
        <v>304</v>
      </c>
      <c r="M39" s="99">
        <v>0.25</v>
      </c>
      <c r="N39" s="200" t="str">
        <f t="shared" si="1"/>
        <v>A</v>
      </c>
    </row>
    <row r="40" spans="1:14" s="177" customFormat="1" x14ac:dyDescent="0.25">
      <c r="A40" s="279">
        <v>219</v>
      </c>
      <c r="B40" s="280">
        <v>45784</v>
      </c>
      <c r="C40" s="281">
        <v>0.47986111111111113</v>
      </c>
      <c r="D40" s="281">
        <v>0.48958333333333331</v>
      </c>
      <c r="E40" s="282">
        <v>6</v>
      </c>
      <c r="F40" s="282">
        <v>43.263470099999999</v>
      </c>
      <c r="G40" s="282">
        <v>-116.083631</v>
      </c>
      <c r="H40" s="282">
        <v>0.5</v>
      </c>
      <c r="I40" s="283" t="s">
        <v>285</v>
      </c>
      <c r="K40" s="199" t="s">
        <v>679</v>
      </c>
      <c r="L40" s="99" t="s">
        <v>304</v>
      </c>
      <c r="M40" s="99">
        <v>0.5</v>
      </c>
      <c r="N40" s="200" t="str">
        <f t="shared" si="1"/>
        <v>B</v>
      </c>
    </row>
    <row r="41" spans="1:14" s="177" customFormat="1" x14ac:dyDescent="0.25">
      <c r="A41" s="279">
        <v>222</v>
      </c>
      <c r="B41" s="280">
        <v>45784</v>
      </c>
      <c r="C41" s="281">
        <v>0.56874999999999998</v>
      </c>
      <c r="D41" s="281">
        <v>0.5708333333333333</v>
      </c>
      <c r="E41" s="282">
        <v>6</v>
      </c>
      <c r="F41" s="282">
        <v>43.263422300000002</v>
      </c>
      <c r="G41" s="282">
        <v>-116.0832867</v>
      </c>
      <c r="H41" s="282">
        <v>0.25</v>
      </c>
      <c r="I41" s="283" t="s">
        <v>285</v>
      </c>
      <c r="K41" s="199" t="s">
        <v>680</v>
      </c>
      <c r="L41" s="99" t="s">
        <v>304</v>
      </c>
      <c r="M41" s="99">
        <v>0.25</v>
      </c>
      <c r="N41" s="200" t="str">
        <f t="shared" si="1"/>
        <v>A</v>
      </c>
    </row>
    <row r="42" spans="1:14" s="177" customFormat="1" x14ac:dyDescent="0.25">
      <c r="A42" s="279">
        <v>223</v>
      </c>
      <c r="B42" s="280">
        <v>45784</v>
      </c>
      <c r="C42" s="281">
        <v>0.6069444444444444</v>
      </c>
      <c r="D42" s="281">
        <v>0.61736111111111114</v>
      </c>
      <c r="E42" s="282">
        <v>6</v>
      </c>
      <c r="F42" s="282">
        <v>43.257225400000003</v>
      </c>
      <c r="G42" s="282">
        <v>-116.0864474</v>
      </c>
      <c r="H42" s="282">
        <v>0.25</v>
      </c>
      <c r="I42" s="283" t="s">
        <v>285</v>
      </c>
      <c r="K42" s="199" t="s">
        <v>681</v>
      </c>
      <c r="L42" s="99" t="s">
        <v>304</v>
      </c>
      <c r="M42" s="99">
        <v>0.25</v>
      </c>
      <c r="N42" s="200" t="str">
        <f t="shared" si="1"/>
        <v>A</v>
      </c>
    </row>
    <row r="43" spans="1:14" s="177" customFormat="1" x14ac:dyDescent="0.25">
      <c r="A43" s="279">
        <v>224</v>
      </c>
      <c r="B43" s="280">
        <v>45784</v>
      </c>
      <c r="C43" s="281">
        <v>0.67013888888888884</v>
      </c>
      <c r="D43" s="281">
        <v>0.67777777777777781</v>
      </c>
      <c r="E43" s="282">
        <v>6</v>
      </c>
      <c r="F43" s="282">
        <v>43.266261999999998</v>
      </c>
      <c r="G43" s="282">
        <v>-116.07810600000001</v>
      </c>
      <c r="H43" s="282">
        <v>0.25</v>
      </c>
      <c r="I43" s="283" t="s">
        <v>285</v>
      </c>
      <c r="K43" s="199" t="s">
        <v>682</v>
      </c>
      <c r="L43" s="99" t="s">
        <v>304</v>
      </c>
      <c r="M43" s="99">
        <v>0.25</v>
      </c>
      <c r="N43" s="200" t="str">
        <f t="shared" si="1"/>
        <v>A</v>
      </c>
    </row>
    <row r="44" spans="1:14" s="177" customFormat="1" x14ac:dyDescent="0.25">
      <c r="A44" s="279">
        <v>225</v>
      </c>
      <c r="B44" s="280">
        <v>45784</v>
      </c>
      <c r="C44" s="281">
        <v>0.69236111111111109</v>
      </c>
      <c r="D44" s="281">
        <v>0.69722222222222219</v>
      </c>
      <c r="E44" s="282">
        <v>6</v>
      </c>
      <c r="F44" s="282">
        <v>43.260274000000003</v>
      </c>
      <c r="G44" s="282">
        <v>-116.082533</v>
      </c>
      <c r="H44" s="282">
        <v>0.25</v>
      </c>
      <c r="I44" s="283" t="s">
        <v>285</v>
      </c>
      <c r="K44" s="199" t="s">
        <v>683</v>
      </c>
      <c r="L44" s="99" t="s">
        <v>304</v>
      </c>
      <c r="M44" s="99">
        <v>0.25</v>
      </c>
      <c r="N44" s="200" t="str">
        <f t="shared" si="1"/>
        <v>A</v>
      </c>
    </row>
    <row r="45" spans="1:14" s="177" customFormat="1" x14ac:dyDescent="0.25">
      <c r="A45" s="279">
        <v>226</v>
      </c>
      <c r="B45" s="280">
        <v>45784</v>
      </c>
      <c r="C45" s="281">
        <v>0.7055555555555556</v>
      </c>
      <c r="D45" s="281">
        <v>0.70833333333333337</v>
      </c>
      <c r="E45" s="282">
        <v>6</v>
      </c>
      <c r="F45" s="282">
        <v>43.256146000000001</v>
      </c>
      <c r="G45" s="282">
        <v>-116.07870200000001</v>
      </c>
      <c r="H45" s="282">
        <v>0.25</v>
      </c>
      <c r="I45" s="283" t="s">
        <v>285</v>
      </c>
      <c r="K45" s="199" t="s">
        <v>684</v>
      </c>
      <c r="L45" s="99" t="s">
        <v>304</v>
      </c>
      <c r="M45" s="99">
        <v>0.25</v>
      </c>
      <c r="N45" s="200" t="str">
        <f t="shared" si="1"/>
        <v>A</v>
      </c>
    </row>
    <row r="46" spans="1:14" s="177" customFormat="1" x14ac:dyDescent="0.25">
      <c r="A46" s="279">
        <v>230</v>
      </c>
      <c r="B46" s="280">
        <v>45787</v>
      </c>
      <c r="C46" s="281">
        <v>0.39166666666666666</v>
      </c>
      <c r="D46" s="281">
        <v>0.39513888888888887</v>
      </c>
      <c r="E46" s="282">
        <v>5</v>
      </c>
      <c r="F46" s="282">
        <v>43.2724501</v>
      </c>
      <c r="G46" s="282">
        <v>-116.0975323</v>
      </c>
      <c r="H46" s="282">
        <v>0.25</v>
      </c>
      <c r="I46" s="283" t="s">
        <v>285</v>
      </c>
      <c r="K46" s="199" t="s">
        <v>685</v>
      </c>
      <c r="L46" s="99" t="s">
        <v>304</v>
      </c>
      <c r="M46" s="99">
        <v>0.25</v>
      </c>
      <c r="N46" s="200" t="str">
        <f t="shared" si="1"/>
        <v>A</v>
      </c>
    </row>
    <row r="47" spans="1:14" s="177" customFormat="1" x14ac:dyDescent="0.25">
      <c r="A47" s="279">
        <v>231</v>
      </c>
      <c r="B47" s="280">
        <v>45787</v>
      </c>
      <c r="C47" s="281">
        <v>0.42430555555555555</v>
      </c>
      <c r="D47" s="281">
        <v>0.43333333333333335</v>
      </c>
      <c r="E47" s="282">
        <v>5</v>
      </c>
      <c r="F47" s="282">
        <v>43.2623338</v>
      </c>
      <c r="G47" s="282">
        <v>-116.09700410000001</v>
      </c>
      <c r="H47" s="282">
        <v>0.25</v>
      </c>
      <c r="I47" s="283" t="s">
        <v>285</v>
      </c>
      <c r="K47" s="199" t="s">
        <v>686</v>
      </c>
      <c r="L47" s="99" t="s">
        <v>304</v>
      </c>
      <c r="M47" s="99">
        <v>0.25</v>
      </c>
      <c r="N47" s="200" t="str">
        <f t="shared" si="1"/>
        <v>A</v>
      </c>
    </row>
    <row r="48" spans="1:14" s="177" customFormat="1" x14ac:dyDescent="0.25">
      <c r="A48" s="279">
        <v>232</v>
      </c>
      <c r="B48" s="280">
        <v>45787</v>
      </c>
      <c r="C48" s="281">
        <v>0.47152777777777777</v>
      </c>
      <c r="D48" s="281">
        <v>0.47569444444444442</v>
      </c>
      <c r="E48" s="282">
        <v>5</v>
      </c>
      <c r="F48" s="282">
        <v>43.267829800000001</v>
      </c>
      <c r="G48" s="282">
        <v>-116.0974157</v>
      </c>
      <c r="H48" s="282">
        <v>1</v>
      </c>
      <c r="I48" s="283" t="s">
        <v>285</v>
      </c>
      <c r="K48" s="199" t="s">
        <v>687</v>
      </c>
      <c r="L48" s="99" t="s">
        <v>304</v>
      </c>
      <c r="M48" s="99">
        <v>1</v>
      </c>
      <c r="N48" s="200" t="str">
        <f t="shared" si="1"/>
        <v>B</v>
      </c>
    </row>
    <row r="49" spans="1:14" s="177" customFormat="1" x14ac:dyDescent="0.25">
      <c r="A49" s="279">
        <v>234</v>
      </c>
      <c r="B49" s="280">
        <v>45787</v>
      </c>
      <c r="C49" s="281">
        <v>0.56736111111111109</v>
      </c>
      <c r="D49" s="281">
        <v>0.5708333333333333</v>
      </c>
      <c r="E49" s="282">
        <v>5</v>
      </c>
      <c r="F49" s="282">
        <v>43.197483400000003</v>
      </c>
      <c r="G49" s="282">
        <v>-116.0321744</v>
      </c>
      <c r="H49" s="282">
        <v>0.25</v>
      </c>
      <c r="I49" s="283" t="s">
        <v>285</v>
      </c>
      <c r="K49" s="199" t="s">
        <v>688</v>
      </c>
      <c r="L49" s="99" t="s">
        <v>304</v>
      </c>
      <c r="M49" s="99">
        <v>0.25</v>
      </c>
      <c r="N49" s="200" t="str">
        <f t="shared" si="1"/>
        <v>A</v>
      </c>
    </row>
    <row r="50" spans="1:14" s="177" customFormat="1" x14ac:dyDescent="0.25">
      <c r="A50" s="279">
        <v>236</v>
      </c>
      <c r="B50" s="280">
        <v>45787</v>
      </c>
      <c r="C50" s="281">
        <v>0.58958333333333335</v>
      </c>
      <c r="D50" s="281">
        <v>0.59305555555555556</v>
      </c>
      <c r="E50" s="282">
        <v>5</v>
      </c>
      <c r="F50" s="282">
        <v>43.273787599999999</v>
      </c>
      <c r="G50" s="282">
        <v>-116.0992871</v>
      </c>
      <c r="H50" s="282">
        <v>0.25</v>
      </c>
      <c r="I50" s="283" t="s">
        <v>285</v>
      </c>
      <c r="K50" s="199" t="s">
        <v>689</v>
      </c>
      <c r="L50" s="99" t="s">
        <v>304</v>
      </c>
      <c r="M50" s="99">
        <v>0.25</v>
      </c>
      <c r="N50" s="200" t="str">
        <f t="shared" si="1"/>
        <v>A</v>
      </c>
    </row>
    <row r="51" spans="1:14" s="177" customFormat="1" x14ac:dyDescent="0.25">
      <c r="A51" s="279">
        <v>237</v>
      </c>
      <c r="B51" s="280">
        <v>45787</v>
      </c>
      <c r="C51" s="281">
        <v>0.60833333333333328</v>
      </c>
      <c r="D51" s="281">
        <v>0.61736111111111114</v>
      </c>
      <c r="E51" s="282">
        <v>5</v>
      </c>
      <c r="F51" s="282">
        <v>43.270265600000002</v>
      </c>
      <c r="G51" s="282">
        <v>-116.0968499</v>
      </c>
      <c r="H51" s="282">
        <v>0.25</v>
      </c>
      <c r="I51" s="283" t="s">
        <v>285</v>
      </c>
      <c r="K51" s="199" t="s">
        <v>690</v>
      </c>
      <c r="L51" s="99" t="s">
        <v>304</v>
      </c>
      <c r="M51" s="99">
        <v>0.25</v>
      </c>
      <c r="N51" s="200" t="str">
        <f t="shared" si="1"/>
        <v>A</v>
      </c>
    </row>
    <row r="52" spans="1:14" s="177" customFormat="1" x14ac:dyDescent="0.25">
      <c r="A52" s="279">
        <v>238</v>
      </c>
      <c r="B52" s="280">
        <v>45787</v>
      </c>
      <c r="C52" s="281">
        <v>0.62916666666666665</v>
      </c>
      <c r="D52" s="281">
        <v>0.63749999999999996</v>
      </c>
      <c r="E52" s="282">
        <v>5</v>
      </c>
      <c r="F52" s="282">
        <v>43.273287600000003</v>
      </c>
      <c r="G52" s="282">
        <v>-116.10211649999999</v>
      </c>
      <c r="H52" s="282">
        <v>1</v>
      </c>
      <c r="I52" s="283" t="s">
        <v>285</v>
      </c>
      <c r="K52" s="199" t="s">
        <v>691</v>
      </c>
      <c r="L52" s="99" t="s">
        <v>304</v>
      </c>
      <c r="M52" s="99">
        <v>1</v>
      </c>
      <c r="N52" s="200" t="str">
        <f t="shared" si="1"/>
        <v>B</v>
      </c>
    </row>
    <row r="53" spans="1:14" s="177" customFormat="1" x14ac:dyDescent="0.25">
      <c r="A53" s="279">
        <v>239</v>
      </c>
      <c r="B53" s="280">
        <v>45787</v>
      </c>
      <c r="C53" s="281">
        <v>0.65208333333333335</v>
      </c>
      <c r="D53" s="281">
        <v>0.65416666666666667</v>
      </c>
      <c r="E53" s="282">
        <v>5</v>
      </c>
      <c r="F53" s="282">
        <v>43.2735354</v>
      </c>
      <c r="G53" s="282">
        <v>-116.09698640000001</v>
      </c>
      <c r="H53" s="282">
        <v>0.25</v>
      </c>
      <c r="I53" s="283" t="s">
        <v>285</v>
      </c>
      <c r="K53" s="199" t="s">
        <v>692</v>
      </c>
      <c r="L53" s="99" t="s">
        <v>304</v>
      </c>
      <c r="M53" s="99">
        <v>0.25</v>
      </c>
      <c r="N53" s="200" t="str">
        <f t="shared" si="1"/>
        <v>A</v>
      </c>
    </row>
    <row r="54" spans="1:14" s="177" customFormat="1" x14ac:dyDescent="0.25">
      <c r="A54" s="279">
        <v>240</v>
      </c>
      <c r="B54" s="280">
        <v>45787</v>
      </c>
      <c r="C54" s="281">
        <v>0.71319444444444446</v>
      </c>
      <c r="D54" s="281">
        <v>0.71527777777777779</v>
      </c>
      <c r="E54" s="282">
        <v>5</v>
      </c>
      <c r="F54" s="282">
        <v>43.274608999999998</v>
      </c>
      <c r="G54" s="282">
        <v>-116.0983877</v>
      </c>
      <c r="H54" s="282">
        <v>0.25</v>
      </c>
      <c r="I54" s="283" t="s">
        <v>285</v>
      </c>
      <c r="K54" s="199" t="s">
        <v>693</v>
      </c>
      <c r="L54" s="99" t="s">
        <v>304</v>
      </c>
      <c r="M54" s="99">
        <v>0.25</v>
      </c>
      <c r="N54" s="200" t="str">
        <f t="shared" si="1"/>
        <v>A</v>
      </c>
    </row>
    <row r="55" spans="1:14" s="177" customFormat="1" x14ac:dyDescent="0.25">
      <c r="A55" s="279">
        <v>241</v>
      </c>
      <c r="B55" s="280">
        <v>45787</v>
      </c>
      <c r="C55" s="281">
        <v>0.72499999999999998</v>
      </c>
      <c r="D55" s="281">
        <v>0.73055555555555551</v>
      </c>
      <c r="E55" s="282">
        <v>5</v>
      </c>
      <c r="F55" s="282">
        <v>43.274359799999999</v>
      </c>
      <c r="G55" s="282">
        <v>-116.1010533</v>
      </c>
      <c r="H55" s="282">
        <v>0.5</v>
      </c>
      <c r="I55" s="283" t="s">
        <v>285</v>
      </c>
      <c r="K55" s="199" t="s">
        <v>694</v>
      </c>
      <c r="L55" s="99" t="s">
        <v>304</v>
      </c>
      <c r="M55" s="99">
        <v>0.5</v>
      </c>
      <c r="N55" s="200" t="str">
        <f t="shared" si="1"/>
        <v>B</v>
      </c>
    </row>
    <row r="56" spans="1:14" s="177" customFormat="1" x14ac:dyDescent="0.25">
      <c r="A56" s="279">
        <v>242</v>
      </c>
      <c r="B56" s="280">
        <v>45787</v>
      </c>
      <c r="C56" s="281">
        <v>0.77638888888888891</v>
      </c>
      <c r="D56" s="281">
        <v>0.78333333333333333</v>
      </c>
      <c r="E56" s="282">
        <v>5</v>
      </c>
      <c r="F56" s="282">
        <v>43.276030800000001</v>
      </c>
      <c r="G56" s="282">
        <v>-116.09713429999999</v>
      </c>
      <c r="H56" s="282">
        <v>0.25</v>
      </c>
      <c r="I56" s="283" t="s">
        <v>285</v>
      </c>
      <c r="K56" s="199" t="s">
        <v>695</v>
      </c>
      <c r="L56" s="99" t="s">
        <v>304</v>
      </c>
      <c r="M56" s="99">
        <v>0.25</v>
      </c>
      <c r="N56" s="200" t="str">
        <f t="shared" si="1"/>
        <v>A</v>
      </c>
    </row>
    <row r="57" spans="1:14" s="177" customFormat="1" x14ac:dyDescent="0.25">
      <c r="A57" s="279">
        <v>243</v>
      </c>
      <c r="B57" s="280">
        <v>45787</v>
      </c>
      <c r="C57" s="281">
        <v>0.8125</v>
      </c>
      <c r="D57" s="281">
        <v>0.81805555555555554</v>
      </c>
      <c r="E57" s="282">
        <v>5</v>
      </c>
      <c r="F57" s="282">
        <v>43.273422099999998</v>
      </c>
      <c r="G57" s="282">
        <v>-116.1000895</v>
      </c>
      <c r="H57" s="282">
        <v>0.25</v>
      </c>
      <c r="I57" s="283" t="s">
        <v>285</v>
      </c>
      <c r="K57" s="199" t="s">
        <v>696</v>
      </c>
      <c r="L57" s="99" t="s">
        <v>304</v>
      </c>
      <c r="M57" s="99">
        <v>0.25</v>
      </c>
      <c r="N57" s="200" t="str">
        <f t="shared" si="1"/>
        <v>A</v>
      </c>
    </row>
    <row r="58" spans="1:14" s="177" customFormat="1" x14ac:dyDescent="0.25">
      <c r="A58" s="279">
        <v>246</v>
      </c>
      <c r="B58" s="280">
        <v>45787</v>
      </c>
      <c r="C58" s="281">
        <v>0.9194444444444444</v>
      </c>
      <c r="D58" s="281">
        <v>0.92361111111111116</v>
      </c>
      <c r="E58" s="282">
        <v>5</v>
      </c>
      <c r="F58" s="282">
        <v>43.274764599999997</v>
      </c>
      <c r="G58" s="282">
        <v>-116.10099889999999</v>
      </c>
      <c r="H58" s="282">
        <v>0.25</v>
      </c>
      <c r="I58" s="283" t="s">
        <v>285</v>
      </c>
      <c r="K58" s="199" t="s">
        <v>697</v>
      </c>
      <c r="L58" s="99" t="s">
        <v>304</v>
      </c>
      <c r="M58" s="99">
        <v>0.25</v>
      </c>
      <c r="N58" s="200" t="str">
        <f t="shared" si="1"/>
        <v>A</v>
      </c>
    </row>
    <row r="59" spans="1:14" s="177" customFormat="1" x14ac:dyDescent="0.25">
      <c r="A59" s="279">
        <v>247</v>
      </c>
      <c r="B59" s="280">
        <v>45788</v>
      </c>
      <c r="C59" s="281">
        <v>8.3333333333333332E-3</v>
      </c>
      <c r="D59" s="281">
        <v>1.8055555555555554E-2</v>
      </c>
      <c r="E59" s="282">
        <v>5</v>
      </c>
      <c r="F59" s="282">
        <v>43.27675</v>
      </c>
      <c r="G59" s="282">
        <v>-116.09859</v>
      </c>
      <c r="H59" s="282">
        <v>0.5</v>
      </c>
      <c r="I59" s="283" t="s">
        <v>285</v>
      </c>
      <c r="K59" s="199" t="s">
        <v>698</v>
      </c>
      <c r="L59" s="99" t="s">
        <v>304</v>
      </c>
      <c r="M59" s="99">
        <v>0.5</v>
      </c>
      <c r="N59" s="200" t="str">
        <f t="shared" si="1"/>
        <v>B</v>
      </c>
    </row>
    <row r="60" spans="1:14" s="177" customFormat="1" x14ac:dyDescent="0.25">
      <c r="A60" s="284">
        <v>249</v>
      </c>
      <c r="B60" s="285">
        <v>45789</v>
      </c>
      <c r="C60" s="286">
        <v>0.54374999999999996</v>
      </c>
      <c r="D60" s="286">
        <v>0.56319444444444444</v>
      </c>
      <c r="E60" s="287">
        <v>6</v>
      </c>
      <c r="F60" s="287">
        <v>43.253779999999999</v>
      </c>
      <c r="G60" s="287">
        <v>-116.0778876</v>
      </c>
      <c r="H60" s="287">
        <v>3</v>
      </c>
      <c r="I60" s="283" t="s">
        <v>285</v>
      </c>
      <c r="K60" s="199" t="s">
        <v>699</v>
      </c>
      <c r="L60" s="99" t="s">
        <v>304</v>
      </c>
      <c r="M60" s="99">
        <v>3</v>
      </c>
      <c r="N60" s="200" t="str">
        <f t="shared" si="1"/>
        <v>B</v>
      </c>
    </row>
    <row r="61" spans="1:14" s="177" customFormat="1" x14ac:dyDescent="0.25">
      <c r="A61" s="284">
        <v>250</v>
      </c>
      <c r="B61" s="285">
        <v>45789</v>
      </c>
      <c r="C61" s="286">
        <v>0.58472222222222225</v>
      </c>
      <c r="D61" s="286">
        <v>0.59375</v>
      </c>
      <c r="E61" s="287">
        <v>6</v>
      </c>
      <c r="F61" s="287">
        <v>43.265304299999997</v>
      </c>
      <c r="G61" s="287">
        <v>-116.07545880000001</v>
      </c>
      <c r="H61" s="287">
        <v>0.25</v>
      </c>
      <c r="I61" s="283" t="s">
        <v>285</v>
      </c>
      <c r="K61" s="199" t="s">
        <v>700</v>
      </c>
      <c r="L61" s="99" t="s">
        <v>304</v>
      </c>
      <c r="M61" s="99">
        <v>0.25</v>
      </c>
      <c r="N61" s="200" t="str">
        <f t="shared" si="1"/>
        <v>A</v>
      </c>
    </row>
    <row r="62" spans="1:14" s="177" customFormat="1" x14ac:dyDescent="0.25">
      <c r="A62" s="284">
        <v>251</v>
      </c>
      <c r="B62" s="285">
        <v>45789</v>
      </c>
      <c r="C62" s="286">
        <v>0.60833333333333328</v>
      </c>
      <c r="D62" s="286">
        <v>0.61111111111111116</v>
      </c>
      <c r="E62" s="287">
        <v>6</v>
      </c>
      <c r="F62" s="287">
        <v>43.263711000000001</v>
      </c>
      <c r="G62" s="287">
        <v>-116.0766411</v>
      </c>
      <c r="H62" s="287">
        <v>0.25</v>
      </c>
      <c r="I62" s="283" t="s">
        <v>285</v>
      </c>
      <c r="K62" s="199" t="s">
        <v>701</v>
      </c>
      <c r="L62" s="99" t="s">
        <v>304</v>
      </c>
      <c r="M62" s="99">
        <v>0.25</v>
      </c>
      <c r="N62" s="200" t="str">
        <f t="shared" ref="N62:N114" si="2">IF(M62&gt;4999.9,"G",IF(M62&gt;999.9,"F",IF(M62&gt;299.9,"E",IF(M62&gt;99.9,"D",IF(M62&gt;9.9,"C",IF(M62&gt;0.25,"B",IF(M62&gt;0,"A","")))))))</f>
        <v>A</v>
      </c>
    </row>
    <row r="63" spans="1:14" s="177" customFormat="1" x14ac:dyDescent="0.25">
      <c r="A63" s="284">
        <v>252</v>
      </c>
      <c r="B63" s="285">
        <v>45789</v>
      </c>
      <c r="C63" s="286">
        <v>0.64027777777777772</v>
      </c>
      <c r="D63" s="286">
        <v>0.64375000000000004</v>
      </c>
      <c r="E63" s="287">
        <v>6</v>
      </c>
      <c r="F63" s="287">
        <v>43.261159900000003</v>
      </c>
      <c r="G63" s="287">
        <v>-116.0762977</v>
      </c>
      <c r="H63" s="287">
        <v>0.5</v>
      </c>
      <c r="I63" s="283" t="s">
        <v>285</v>
      </c>
      <c r="K63" s="199" t="s">
        <v>702</v>
      </c>
      <c r="L63" s="99" t="s">
        <v>304</v>
      </c>
      <c r="M63" s="99">
        <v>0.5</v>
      </c>
      <c r="N63" s="200" t="str">
        <f t="shared" si="2"/>
        <v>B</v>
      </c>
    </row>
    <row r="64" spans="1:14" s="177" customFormat="1" x14ac:dyDescent="0.25">
      <c r="A64" s="284">
        <v>257</v>
      </c>
      <c r="B64" s="285">
        <v>45790</v>
      </c>
      <c r="C64" s="286">
        <v>0.45347222222222222</v>
      </c>
      <c r="D64" s="286">
        <v>0.45763888888888887</v>
      </c>
      <c r="E64" s="287">
        <v>6</v>
      </c>
      <c r="F64" s="287">
        <v>43.263071400000001</v>
      </c>
      <c r="G64" s="287">
        <v>-116.0799652</v>
      </c>
      <c r="H64" s="282">
        <v>2</v>
      </c>
      <c r="I64" s="283" t="s">
        <v>285</v>
      </c>
      <c r="K64" s="199" t="s">
        <v>703</v>
      </c>
      <c r="L64" s="99" t="s">
        <v>304</v>
      </c>
      <c r="M64" s="99">
        <v>2</v>
      </c>
      <c r="N64" s="200" t="str">
        <f t="shared" si="2"/>
        <v>B</v>
      </c>
    </row>
    <row r="65" spans="1:14" s="177" customFormat="1" x14ac:dyDescent="0.25">
      <c r="A65" s="284">
        <v>258</v>
      </c>
      <c r="B65" s="285">
        <v>45790</v>
      </c>
      <c r="C65" s="286">
        <v>0.50347222222222221</v>
      </c>
      <c r="D65" s="286">
        <v>0.50347222222222221</v>
      </c>
      <c r="E65" s="287">
        <v>6</v>
      </c>
      <c r="F65" s="287">
        <v>43.259380999999998</v>
      </c>
      <c r="G65" s="287">
        <v>-116.080144</v>
      </c>
      <c r="H65" s="282">
        <v>2</v>
      </c>
      <c r="I65" s="283" t="s">
        <v>285</v>
      </c>
      <c r="K65" s="199" t="s">
        <v>704</v>
      </c>
      <c r="L65" s="99" t="s">
        <v>304</v>
      </c>
      <c r="M65" s="99">
        <v>2</v>
      </c>
      <c r="N65" s="200" t="str">
        <f t="shared" si="2"/>
        <v>B</v>
      </c>
    </row>
    <row r="66" spans="1:14" s="177" customFormat="1" x14ac:dyDescent="0.25">
      <c r="A66" s="284">
        <v>260</v>
      </c>
      <c r="B66" s="285">
        <v>45790</v>
      </c>
      <c r="C66" s="286">
        <v>0.55625000000000002</v>
      </c>
      <c r="D66" s="286">
        <v>0.56041666666666667</v>
      </c>
      <c r="E66" s="287">
        <v>6</v>
      </c>
      <c r="F66" s="287">
        <v>43.263938000000003</v>
      </c>
      <c r="G66" s="287">
        <v>-116.07576280000001</v>
      </c>
      <c r="H66" s="282">
        <v>3</v>
      </c>
      <c r="I66" s="283" t="s">
        <v>285</v>
      </c>
      <c r="K66" s="199" t="s">
        <v>705</v>
      </c>
      <c r="L66" s="99" t="s">
        <v>304</v>
      </c>
      <c r="M66" s="99">
        <v>3</v>
      </c>
      <c r="N66" s="200" t="str">
        <f t="shared" si="2"/>
        <v>B</v>
      </c>
    </row>
    <row r="67" spans="1:14" s="177" customFormat="1" x14ac:dyDescent="0.25">
      <c r="A67" s="284">
        <v>261</v>
      </c>
      <c r="B67" s="285">
        <v>45790</v>
      </c>
      <c r="C67" s="286">
        <v>0.59236111111111112</v>
      </c>
      <c r="D67" s="286">
        <v>0.6</v>
      </c>
      <c r="E67" s="287">
        <v>6</v>
      </c>
      <c r="F67" s="287">
        <v>43.257116199999999</v>
      </c>
      <c r="G67" s="287">
        <v>-116.0784543</v>
      </c>
      <c r="H67" s="282">
        <v>2</v>
      </c>
      <c r="I67" s="283" t="s">
        <v>285</v>
      </c>
      <c r="K67" s="199" t="s">
        <v>706</v>
      </c>
      <c r="L67" s="99" t="s">
        <v>304</v>
      </c>
      <c r="M67" s="99">
        <v>2</v>
      </c>
      <c r="N67" s="200" t="str">
        <f t="shared" si="2"/>
        <v>B</v>
      </c>
    </row>
    <row r="68" spans="1:14" s="177" customFormat="1" x14ac:dyDescent="0.25">
      <c r="A68" s="284">
        <v>262</v>
      </c>
      <c r="B68" s="285">
        <v>45790</v>
      </c>
      <c r="C68" s="286">
        <v>0.62708333333333333</v>
      </c>
      <c r="D68" s="286">
        <v>0.63402777777777775</v>
      </c>
      <c r="E68" s="287">
        <v>6</v>
      </c>
      <c r="F68" s="287">
        <v>43.265940700000002</v>
      </c>
      <c r="G68" s="287">
        <v>-116.0784434</v>
      </c>
      <c r="H68" s="282">
        <v>2</v>
      </c>
      <c r="I68" s="283" t="s">
        <v>285</v>
      </c>
      <c r="K68" s="199" t="s">
        <v>707</v>
      </c>
      <c r="L68" s="99" t="s">
        <v>304</v>
      </c>
      <c r="M68" s="99">
        <v>2</v>
      </c>
      <c r="N68" s="200" t="str">
        <f t="shared" si="2"/>
        <v>B</v>
      </c>
    </row>
    <row r="69" spans="1:14" s="177" customFormat="1" x14ac:dyDescent="0.25">
      <c r="A69" s="284">
        <v>263</v>
      </c>
      <c r="B69" s="285">
        <v>45790</v>
      </c>
      <c r="C69" s="286">
        <v>0.6479166666666667</v>
      </c>
      <c r="D69" s="286">
        <v>0.65</v>
      </c>
      <c r="E69" s="287">
        <v>6</v>
      </c>
      <c r="F69" s="287">
        <v>43.266098</v>
      </c>
      <c r="G69" s="287">
        <v>-116.0778495</v>
      </c>
      <c r="H69" s="282">
        <v>0.25</v>
      </c>
      <c r="I69" s="283" t="s">
        <v>285</v>
      </c>
      <c r="K69" s="199" t="s">
        <v>708</v>
      </c>
      <c r="L69" s="99" t="s">
        <v>304</v>
      </c>
      <c r="M69" s="99">
        <v>0.25</v>
      </c>
      <c r="N69" s="200" t="str">
        <f t="shared" si="2"/>
        <v>A</v>
      </c>
    </row>
    <row r="70" spans="1:14" s="177" customFormat="1" x14ac:dyDescent="0.25">
      <c r="A70" s="284">
        <v>264</v>
      </c>
      <c r="B70" s="285">
        <v>45790</v>
      </c>
      <c r="C70" s="286">
        <v>0.72083333333333333</v>
      </c>
      <c r="D70" s="286">
        <v>0.72499999999999998</v>
      </c>
      <c r="E70" s="287">
        <v>6</v>
      </c>
      <c r="F70" s="287">
        <v>43.265660199999999</v>
      </c>
      <c r="G70" s="287">
        <v>-116.0839785</v>
      </c>
      <c r="H70" s="282">
        <v>0.25</v>
      </c>
      <c r="I70" s="283" t="s">
        <v>285</v>
      </c>
      <c r="K70" s="199" t="s">
        <v>709</v>
      </c>
      <c r="L70" s="99" t="s">
        <v>304</v>
      </c>
      <c r="M70" s="99">
        <v>0.25</v>
      </c>
      <c r="N70" s="200" t="str">
        <f t="shared" si="2"/>
        <v>A</v>
      </c>
    </row>
    <row r="71" spans="1:14" s="177" customFormat="1" x14ac:dyDescent="0.25">
      <c r="A71" s="284">
        <v>265</v>
      </c>
      <c r="B71" s="285">
        <v>45790</v>
      </c>
      <c r="C71" s="286">
        <v>0.74305555555555558</v>
      </c>
      <c r="D71" s="286">
        <v>0.74513888888888891</v>
      </c>
      <c r="E71" s="287">
        <v>6</v>
      </c>
      <c r="F71" s="287">
        <v>43.264121199999998</v>
      </c>
      <c r="G71" s="287">
        <v>-116.0839785</v>
      </c>
      <c r="H71" s="282">
        <v>0.25</v>
      </c>
      <c r="I71" s="283" t="s">
        <v>285</v>
      </c>
      <c r="K71" s="199" t="s">
        <v>710</v>
      </c>
      <c r="L71" s="99" t="s">
        <v>304</v>
      </c>
      <c r="M71" s="99">
        <v>0.25800000000000001</v>
      </c>
      <c r="N71" s="200" t="str">
        <f t="shared" si="2"/>
        <v>B</v>
      </c>
    </row>
    <row r="72" spans="1:14" s="177" customFormat="1" x14ac:dyDescent="0.25">
      <c r="A72" s="284">
        <v>270</v>
      </c>
      <c r="B72" s="285">
        <v>45793</v>
      </c>
      <c r="C72" s="286">
        <v>0.7416666666666667</v>
      </c>
      <c r="D72" s="286">
        <v>0.76527777777777772</v>
      </c>
      <c r="E72" s="287">
        <v>6</v>
      </c>
      <c r="F72" s="287">
        <v>43.258126500000003</v>
      </c>
      <c r="G72" s="287">
        <v>-116.0820355</v>
      </c>
      <c r="H72" s="282">
        <v>1.5</v>
      </c>
      <c r="I72" s="283" t="s">
        <v>285</v>
      </c>
      <c r="K72" s="199" t="s">
        <v>711</v>
      </c>
      <c r="L72" s="99" t="s">
        <v>304</v>
      </c>
      <c r="M72" s="99">
        <v>1.5</v>
      </c>
      <c r="N72" s="200" t="str">
        <f t="shared" si="2"/>
        <v>B</v>
      </c>
    </row>
    <row r="73" spans="1:14" s="177" customFormat="1" x14ac:dyDescent="0.25">
      <c r="A73" s="284">
        <v>271</v>
      </c>
      <c r="B73" s="285">
        <v>45793</v>
      </c>
      <c r="C73" s="286">
        <v>0.78819444444444442</v>
      </c>
      <c r="D73" s="286">
        <v>0.80694444444444446</v>
      </c>
      <c r="E73" s="287">
        <v>6</v>
      </c>
      <c r="F73" s="287">
        <v>43.253132399999998</v>
      </c>
      <c r="G73" s="287">
        <v>-116.0869644</v>
      </c>
      <c r="H73" s="282">
        <v>5.5</v>
      </c>
      <c r="I73" s="283" t="s">
        <v>285</v>
      </c>
      <c r="K73" s="199" t="s">
        <v>712</v>
      </c>
      <c r="L73" s="99" t="s">
        <v>304</v>
      </c>
      <c r="M73" s="99">
        <v>5.5</v>
      </c>
      <c r="N73" s="200" t="str">
        <f t="shared" si="2"/>
        <v>B</v>
      </c>
    </row>
    <row r="74" spans="1:14" s="177" customFormat="1" x14ac:dyDescent="0.25">
      <c r="A74" s="284">
        <v>273</v>
      </c>
      <c r="B74" s="285">
        <v>45793</v>
      </c>
      <c r="C74" s="286">
        <v>0.84930555555555554</v>
      </c>
      <c r="D74" s="286">
        <v>0.85902777777777772</v>
      </c>
      <c r="E74" s="287">
        <v>6</v>
      </c>
      <c r="F74" s="287">
        <v>43.254039300000002</v>
      </c>
      <c r="G74" s="287">
        <v>-116.08664280000001</v>
      </c>
      <c r="H74" s="282">
        <v>1</v>
      </c>
      <c r="I74" s="283" t="s">
        <v>285</v>
      </c>
      <c r="K74" s="199" t="s">
        <v>713</v>
      </c>
      <c r="L74" s="99" t="s">
        <v>304</v>
      </c>
      <c r="M74" s="99">
        <v>1</v>
      </c>
      <c r="N74" s="200" t="str">
        <f t="shared" si="2"/>
        <v>B</v>
      </c>
    </row>
    <row r="75" spans="1:14" s="177" customFormat="1" x14ac:dyDescent="0.25">
      <c r="A75" s="284">
        <v>274</v>
      </c>
      <c r="B75" s="285">
        <v>45793</v>
      </c>
      <c r="C75" s="286">
        <v>0.87986111111111109</v>
      </c>
      <c r="D75" s="286">
        <v>0.88263888888888886</v>
      </c>
      <c r="E75" s="287">
        <v>6</v>
      </c>
      <c r="F75" s="287">
        <v>43.2569613</v>
      </c>
      <c r="G75" s="287">
        <v>-116.08494829999999</v>
      </c>
      <c r="H75" s="282">
        <v>0.5</v>
      </c>
      <c r="I75" s="283" t="s">
        <v>285</v>
      </c>
      <c r="K75" s="199" t="s">
        <v>714</v>
      </c>
      <c r="L75" s="99" t="s">
        <v>304</v>
      </c>
      <c r="M75" s="99">
        <v>0.5</v>
      </c>
      <c r="N75" s="200" t="str">
        <f t="shared" si="2"/>
        <v>B</v>
      </c>
    </row>
    <row r="76" spans="1:14" s="177" customFormat="1" x14ac:dyDescent="0.25">
      <c r="A76" s="284">
        <v>276</v>
      </c>
      <c r="B76" s="285">
        <v>45793</v>
      </c>
      <c r="C76" s="286">
        <v>0.99236111111111114</v>
      </c>
      <c r="D76" s="286">
        <v>0.99652777777777779</v>
      </c>
      <c r="E76" s="287">
        <v>21</v>
      </c>
      <c r="F76" s="287">
        <v>43.156343399999997</v>
      </c>
      <c r="G76" s="287">
        <v>-116.08052259999999</v>
      </c>
      <c r="H76" s="282">
        <v>0.25</v>
      </c>
      <c r="I76" s="283" t="s">
        <v>285</v>
      </c>
      <c r="K76" s="199" t="s">
        <v>715</v>
      </c>
      <c r="L76" s="99" t="s">
        <v>304</v>
      </c>
      <c r="M76" s="99">
        <v>0.25</v>
      </c>
      <c r="N76" s="200" t="str">
        <f t="shared" si="2"/>
        <v>A</v>
      </c>
    </row>
    <row r="77" spans="1:14" s="177" customFormat="1" x14ac:dyDescent="0.25">
      <c r="A77" s="284">
        <v>279</v>
      </c>
      <c r="B77" s="285">
        <v>45793</v>
      </c>
      <c r="C77" s="286">
        <v>0.38194444444444442</v>
      </c>
      <c r="D77" s="286">
        <v>0.38333333333333336</v>
      </c>
      <c r="E77" s="287">
        <v>6</v>
      </c>
      <c r="F77" s="287">
        <v>43.262196500000002</v>
      </c>
      <c r="G77" s="287">
        <v>-116.0820239</v>
      </c>
      <c r="H77" s="282">
        <v>0.25</v>
      </c>
      <c r="I77" s="283" t="s">
        <v>285</v>
      </c>
      <c r="K77" s="199" t="s">
        <v>716</v>
      </c>
      <c r="L77" s="99" t="s">
        <v>304</v>
      </c>
      <c r="M77" s="99">
        <v>0.25</v>
      </c>
      <c r="N77" s="200" t="str">
        <f t="shared" si="2"/>
        <v>A</v>
      </c>
    </row>
    <row r="78" spans="1:14" s="177" customFormat="1" x14ac:dyDescent="0.25">
      <c r="A78" s="284">
        <v>280</v>
      </c>
      <c r="B78" s="285">
        <v>45793</v>
      </c>
      <c r="C78" s="286">
        <v>0.45208333333333334</v>
      </c>
      <c r="D78" s="286">
        <v>0.45416666666666666</v>
      </c>
      <c r="E78" s="287">
        <v>6</v>
      </c>
      <c r="F78" s="287">
        <v>43.260759700000001</v>
      </c>
      <c r="G78" s="287">
        <v>-116.0769198</v>
      </c>
      <c r="H78" s="282">
        <v>0.25</v>
      </c>
      <c r="I78" s="283" t="s">
        <v>285</v>
      </c>
      <c r="K78" s="199" t="s">
        <v>717</v>
      </c>
      <c r="L78" s="99" t="s">
        <v>304</v>
      </c>
      <c r="M78" s="99">
        <v>0.25</v>
      </c>
      <c r="N78" s="200" t="str">
        <f t="shared" si="2"/>
        <v>A</v>
      </c>
    </row>
    <row r="79" spans="1:14" s="177" customFormat="1" x14ac:dyDescent="0.25">
      <c r="A79" s="284">
        <v>281</v>
      </c>
      <c r="B79" s="285">
        <v>45793</v>
      </c>
      <c r="C79" s="286">
        <v>0.4777777777777778</v>
      </c>
      <c r="D79" s="286">
        <v>0.47916666666666669</v>
      </c>
      <c r="E79" s="287">
        <v>6</v>
      </c>
      <c r="F79" s="287">
        <v>43.2549074</v>
      </c>
      <c r="G79" s="287">
        <v>-116.0803591</v>
      </c>
      <c r="H79" s="282">
        <v>0.25</v>
      </c>
      <c r="I79" s="283" t="s">
        <v>285</v>
      </c>
      <c r="K79" s="199" t="s">
        <v>718</v>
      </c>
      <c r="L79" s="99" t="s">
        <v>304</v>
      </c>
      <c r="M79" s="99">
        <v>0.25</v>
      </c>
      <c r="N79" s="200" t="str">
        <f t="shared" si="2"/>
        <v>A</v>
      </c>
    </row>
    <row r="80" spans="1:14" s="177" customFormat="1" x14ac:dyDescent="0.25">
      <c r="A80" s="284">
        <v>282</v>
      </c>
      <c r="B80" s="285">
        <v>45793</v>
      </c>
      <c r="C80" s="286">
        <v>0.49166666666666664</v>
      </c>
      <c r="D80" s="286">
        <v>0.49444444444444446</v>
      </c>
      <c r="E80" s="287">
        <v>6</v>
      </c>
      <c r="F80" s="287">
        <v>43.2641201</v>
      </c>
      <c r="G80" s="287">
        <v>-116.07600650000001</v>
      </c>
      <c r="H80" s="282">
        <v>0.25</v>
      </c>
      <c r="I80" s="283" t="s">
        <v>285</v>
      </c>
      <c r="K80" s="199" t="s">
        <v>719</v>
      </c>
      <c r="L80" s="99" t="s">
        <v>304</v>
      </c>
      <c r="M80" s="99">
        <v>0.25</v>
      </c>
      <c r="N80" s="200" t="str">
        <f t="shared" si="2"/>
        <v>A</v>
      </c>
    </row>
    <row r="81" spans="1:14" s="177" customFormat="1" x14ac:dyDescent="0.25">
      <c r="A81" s="284">
        <v>283</v>
      </c>
      <c r="B81" s="285">
        <v>45793</v>
      </c>
      <c r="C81" s="286">
        <v>0.50972222222222219</v>
      </c>
      <c r="D81" s="286">
        <v>0.51458333333333328</v>
      </c>
      <c r="E81" s="287">
        <v>6</v>
      </c>
      <c r="F81" s="287">
        <v>43.258917099999998</v>
      </c>
      <c r="G81" s="287">
        <v>-116.0784507</v>
      </c>
      <c r="H81" s="282">
        <v>0.25</v>
      </c>
      <c r="I81" s="283" t="s">
        <v>285</v>
      </c>
      <c r="K81" s="199" t="s">
        <v>720</v>
      </c>
      <c r="L81" s="99" t="s">
        <v>304</v>
      </c>
      <c r="M81" s="99">
        <v>0.25</v>
      </c>
      <c r="N81" s="200" t="str">
        <f t="shared" si="2"/>
        <v>A</v>
      </c>
    </row>
    <row r="82" spans="1:14" s="177" customFormat="1" x14ac:dyDescent="0.25">
      <c r="A82" s="284">
        <v>284</v>
      </c>
      <c r="B82" s="285">
        <v>45793</v>
      </c>
      <c r="C82" s="286">
        <v>0.52708333333333335</v>
      </c>
      <c r="D82" s="286">
        <v>0.52916666666666667</v>
      </c>
      <c r="E82" s="287">
        <v>6</v>
      </c>
      <c r="F82" s="287">
        <v>43.256769900000002</v>
      </c>
      <c r="G82" s="287">
        <v>-116.07904980000001</v>
      </c>
      <c r="H82" s="282">
        <v>0.25</v>
      </c>
      <c r="I82" s="283" t="s">
        <v>285</v>
      </c>
      <c r="K82" s="199" t="s">
        <v>721</v>
      </c>
      <c r="L82" s="99" t="s">
        <v>304</v>
      </c>
      <c r="M82" s="99">
        <v>0.25</v>
      </c>
      <c r="N82" s="200" t="str">
        <f t="shared" si="2"/>
        <v>A</v>
      </c>
    </row>
    <row r="83" spans="1:14" s="177" customFormat="1" x14ac:dyDescent="0.25">
      <c r="A83" s="284">
        <v>286</v>
      </c>
      <c r="B83" s="285">
        <v>45793</v>
      </c>
      <c r="C83" s="286">
        <v>0.69861111111111107</v>
      </c>
      <c r="D83" s="286">
        <v>0.7006944444444444</v>
      </c>
      <c r="E83" s="287">
        <v>6</v>
      </c>
      <c r="F83" s="287">
        <v>43.270240000000001</v>
      </c>
      <c r="G83" s="287">
        <v>-116.07455</v>
      </c>
      <c r="H83" s="282">
        <v>0.25</v>
      </c>
      <c r="I83" s="283" t="s">
        <v>285</v>
      </c>
      <c r="K83" s="199" t="s">
        <v>722</v>
      </c>
      <c r="L83" s="99" t="s">
        <v>304</v>
      </c>
      <c r="M83" s="99">
        <v>0.25</v>
      </c>
      <c r="N83" s="200" t="str">
        <f t="shared" si="2"/>
        <v>A</v>
      </c>
    </row>
    <row r="84" spans="1:14" s="177" customFormat="1" x14ac:dyDescent="0.25">
      <c r="A84" s="284">
        <v>287</v>
      </c>
      <c r="B84" s="285">
        <v>45793</v>
      </c>
      <c r="C84" s="286">
        <v>0.71111111111111114</v>
      </c>
      <c r="D84" s="286">
        <v>0.71180555555555558</v>
      </c>
      <c r="E84" s="287">
        <v>6</v>
      </c>
      <c r="F84" s="287">
        <v>43.265120000000003</v>
      </c>
      <c r="G84" s="287">
        <v>-116.07545</v>
      </c>
      <c r="H84" s="282">
        <v>0.25</v>
      </c>
      <c r="I84" s="283" t="s">
        <v>285</v>
      </c>
      <c r="K84" s="199" t="s">
        <v>723</v>
      </c>
      <c r="L84" s="99" t="s">
        <v>304</v>
      </c>
      <c r="M84" s="99">
        <v>0.25</v>
      </c>
      <c r="N84" s="200" t="str">
        <f t="shared" si="2"/>
        <v>A</v>
      </c>
    </row>
    <row r="85" spans="1:14" s="177" customFormat="1" x14ac:dyDescent="0.25">
      <c r="A85" s="284">
        <v>288</v>
      </c>
      <c r="B85" s="285">
        <v>45793</v>
      </c>
      <c r="C85" s="286">
        <v>0.72361111111111109</v>
      </c>
      <c r="D85" s="286">
        <v>0.72638888888888886</v>
      </c>
      <c r="E85" s="287">
        <v>6</v>
      </c>
      <c r="F85" s="287">
        <v>43.263869999999997</v>
      </c>
      <c r="G85" s="287">
        <v>-116.07639</v>
      </c>
      <c r="H85" s="282">
        <v>0.25</v>
      </c>
      <c r="I85" s="283" t="s">
        <v>285</v>
      </c>
      <c r="K85" s="199" t="s">
        <v>724</v>
      </c>
      <c r="L85" s="99" t="s">
        <v>304</v>
      </c>
      <c r="M85" s="99">
        <v>0.25</v>
      </c>
      <c r="N85" s="200" t="str">
        <f t="shared" si="2"/>
        <v>A</v>
      </c>
    </row>
    <row r="86" spans="1:14" s="177" customFormat="1" x14ac:dyDescent="0.25">
      <c r="A86" s="284">
        <v>289</v>
      </c>
      <c r="B86" s="285">
        <v>45793</v>
      </c>
      <c r="C86" s="286">
        <v>0.73472222222222228</v>
      </c>
      <c r="D86" s="286">
        <v>0.73750000000000004</v>
      </c>
      <c r="E86" s="287">
        <v>6</v>
      </c>
      <c r="F86" s="287">
        <v>43.264659999999999</v>
      </c>
      <c r="G86" s="287">
        <v>-116.07543</v>
      </c>
      <c r="H86" s="282">
        <v>0.25</v>
      </c>
      <c r="I86" s="283" t="s">
        <v>285</v>
      </c>
      <c r="K86" s="199" t="s">
        <v>725</v>
      </c>
      <c r="L86" s="99" t="s">
        <v>304</v>
      </c>
      <c r="M86" s="99">
        <v>0.25</v>
      </c>
      <c r="N86" s="200" t="str">
        <f t="shared" si="2"/>
        <v>A</v>
      </c>
    </row>
    <row r="87" spans="1:14" s="177" customFormat="1" x14ac:dyDescent="0.25">
      <c r="A87" s="284">
        <v>290</v>
      </c>
      <c r="B87" s="285">
        <v>45793</v>
      </c>
      <c r="C87" s="286">
        <v>0.76666666666666672</v>
      </c>
      <c r="D87" s="286">
        <v>0.77500000000000002</v>
      </c>
      <c r="E87" s="287">
        <v>6</v>
      </c>
      <c r="F87" s="287">
        <v>43.264299999999999</v>
      </c>
      <c r="G87" s="287">
        <v>-116.07496</v>
      </c>
      <c r="H87" s="282">
        <v>0.5</v>
      </c>
      <c r="I87" s="283" t="s">
        <v>285</v>
      </c>
      <c r="K87" s="199" t="s">
        <v>726</v>
      </c>
      <c r="L87" s="99" t="s">
        <v>304</v>
      </c>
      <c r="M87" s="99">
        <v>0.5</v>
      </c>
      <c r="N87" s="200" t="str">
        <f t="shared" si="2"/>
        <v>B</v>
      </c>
    </row>
    <row r="88" spans="1:14" s="177" customFormat="1" x14ac:dyDescent="0.25">
      <c r="A88" s="284">
        <v>291</v>
      </c>
      <c r="B88" s="285">
        <v>45793</v>
      </c>
      <c r="C88" s="286">
        <v>0.79583333333333328</v>
      </c>
      <c r="D88" s="286">
        <v>0.8</v>
      </c>
      <c r="E88" s="287">
        <v>6</v>
      </c>
      <c r="F88" s="287">
        <v>43.259279999999997</v>
      </c>
      <c r="G88" s="287">
        <v>-116.07814999999999</v>
      </c>
      <c r="H88" s="282">
        <v>0.25</v>
      </c>
      <c r="I88" s="283" t="s">
        <v>285</v>
      </c>
      <c r="K88" s="199" t="s">
        <v>727</v>
      </c>
      <c r="L88" s="99" t="s">
        <v>304</v>
      </c>
      <c r="M88" s="99">
        <v>0.25</v>
      </c>
      <c r="N88" s="200" t="str">
        <f t="shared" si="2"/>
        <v>A</v>
      </c>
    </row>
    <row r="89" spans="1:14" s="177" customFormat="1" x14ac:dyDescent="0.25">
      <c r="A89" s="284">
        <v>292</v>
      </c>
      <c r="B89" s="285">
        <v>45793</v>
      </c>
      <c r="C89" s="286">
        <v>0.81944444444444442</v>
      </c>
      <c r="D89" s="286">
        <v>0.82291666666666663</v>
      </c>
      <c r="E89" s="287">
        <v>6</v>
      </c>
      <c r="F89" s="287">
        <v>43.265819999999998</v>
      </c>
      <c r="G89" s="287">
        <v>-116.07522</v>
      </c>
      <c r="H89" s="282">
        <v>0.25</v>
      </c>
      <c r="I89" s="283" t="s">
        <v>285</v>
      </c>
      <c r="K89" s="199" t="s">
        <v>728</v>
      </c>
      <c r="L89" s="99" t="s">
        <v>304</v>
      </c>
      <c r="M89" s="99">
        <v>0.25</v>
      </c>
      <c r="N89" s="200" t="str">
        <f t="shared" si="2"/>
        <v>A</v>
      </c>
    </row>
    <row r="90" spans="1:14" s="177" customFormat="1" x14ac:dyDescent="0.25">
      <c r="A90" s="284">
        <v>293</v>
      </c>
      <c r="B90" s="285">
        <v>45793</v>
      </c>
      <c r="C90" s="286">
        <v>0.84583333333333333</v>
      </c>
      <c r="D90" s="286">
        <v>0.84722222222222221</v>
      </c>
      <c r="E90" s="287">
        <v>6</v>
      </c>
      <c r="F90" s="287">
        <v>43.261679999999998</v>
      </c>
      <c r="G90" s="287">
        <v>-116.077</v>
      </c>
      <c r="H90" s="282">
        <v>0.25</v>
      </c>
      <c r="I90" s="283" t="s">
        <v>285</v>
      </c>
      <c r="K90" s="199" t="s">
        <v>729</v>
      </c>
      <c r="L90" s="99" t="s">
        <v>304</v>
      </c>
      <c r="M90" s="99">
        <v>0.25</v>
      </c>
      <c r="N90" s="200" t="str">
        <f t="shared" si="2"/>
        <v>A</v>
      </c>
    </row>
    <row r="91" spans="1:14" s="177" customFormat="1" x14ac:dyDescent="0.25">
      <c r="A91" s="284">
        <v>303</v>
      </c>
      <c r="B91" s="285">
        <v>45796</v>
      </c>
      <c r="C91" s="286">
        <v>0.67708333333333337</v>
      </c>
      <c r="D91" s="286">
        <v>0.68194444444444446</v>
      </c>
      <c r="E91" s="287">
        <v>26</v>
      </c>
      <c r="F91" s="287">
        <v>43.150309999999998</v>
      </c>
      <c r="G91" s="287">
        <v>-116.147899</v>
      </c>
      <c r="H91" s="282">
        <v>0.25</v>
      </c>
      <c r="I91" s="283" t="s">
        <v>285</v>
      </c>
      <c r="K91" s="199" t="s">
        <v>730</v>
      </c>
      <c r="L91" s="99" t="s">
        <v>304</v>
      </c>
      <c r="M91" s="99">
        <v>0.25</v>
      </c>
      <c r="N91" s="200" t="str">
        <f t="shared" si="2"/>
        <v>A</v>
      </c>
    </row>
    <row r="92" spans="1:14" s="177" customFormat="1" x14ac:dyDescent="0.25">
      <c r="A92" s="284">
        <v>305</v>
      </c>
      <c r="B92" s="285">
        <v>45797</v>
      </c>
      <c r="C92" s="286">
        <v>0.56805555555555554</v>
      </c>
      <c r="D92" s="286">
        <v>0.61875000000000002</v>
      </c>
      <c r="E92" s="287">
        <v>26</v>
      </c>
      <c r="F92" s="287">
        <v>43.159863799999997</v>
      </c>
      <c r="G92" s="287">
        <v>-116.12407519999999</v>
      </c>
      <c r="H92" s="282">
        <v>10</v>
      </c>
      <c r="I92" s="283" t="s">
        <v>285</v>
      </c>
      <c r="K92" s="199" t="s">
        <v>731</v>
      </c>
      <c r="L92" s="99" t="s">
        <v>304</v>
      </c>
      <c r="M92" s="99">
        <v>10</v>
      </c>
      <c r="N92" s="200" t="str">
        <f t="shared" si="2"/>
        <v>C</v>
      </c>
    </row>
    <row r="93" spans="1:14" s="177" customFormat="1" x14ac:dyDescent="0.25">
      <c r="A93" s="284">
        <v>307</v>
      </c>
      <c r="B93" s="285">
        <v>45797</v>
      </c>
      <c r="C93" s="286">
        <v>0.64097222222222228</v>
      </c>
      <c r="D93" s="286">
        <v>0.64375000000000004</v>
      </c>
      <c r="E93" s="287">
        <v>26</v>
      </c>
      <c r="F93" s="287">
        <v>43.164800900000003</v>
      </c>
      <c r="G93" s="287">
        <v>-116.13743789999999</v>
      </c>
      <c r="H93" s="282">
        <v>0.25</v>
      </c>
      <c r="I93" s="283" t="s">
        <v>285</v>
      </c>
      <c r="K93" s="199" t="s">
        <v>732</v>
      </c>
      <c r="L93" s="99" t="s">
        <v>304</v>
      </c>
      <c r="M93" s="99">
        <v>0.25</v>
      </c>
      <c r="N93" s="200" t="str">
        <f t="shared" si="2"/>
        <v>A</v>
      </c>
    </row>
    <row r="94" spans="1:14" s="177" customFormat="1" x14ac:dyDescent="0.25">
      <c r="A94" s="284">
        <v>308</v>
      </c>
      <c r="B94" s="285">
        <v>45797</v>
      </c>
      <c r="C94" s="286">
        <v>0.64722222222222225</v>
      </c>
      <c r="D94" s="286">
        <v>0.65347222222222223</v>
      </c>
      <c r="E94" s="287">
        <v>26</v>
      </c>
      <c r="F94" s="287">
        <v>43.154759900000002</v>
      </c>
      <c r="G94" s="287">
        <v>-116.1385385</v>
      </c>
      <c r="H94" s="282">
        <v>0.25</v>
      </c>
      <c r="I94" s="283" t="s">
        <v>285</v>
      </c>
      <c r="K94" s="199" t="s">
        <v>733</v>
      </c>
      <c r="L94" s="99" t="s">
        <v>304</v>
      </c>
      <c r="M94" s="99">
        <v>0.25</v>
      </c>
      <c r="N94" s="200" t="str">
        <f t="shared" si="2"/>
        <v>A</v>
      </c>
    </row>
    <row r="95" spans="1:14" s="177" customFormat="1" x14ac:dyDescent="0.25">
      <c r="A95" s="284">
        <v>311</v>
      </c>
      <c r="B95" s="285">
        <v>45798</v>
      </c>
      <c r="C95" s="286">
        <v>0.88402777777777775</v>
      </c>
      <c r="D95" s="286">
        <v>0.88749999999999996</v>
      </c>
      <c r="E95" s="287">
        <v>1</v>
      </c>
      <c r="F95" s="287">
        <v>43.257102699999997</v>
      </c>
      <c r="G95" s="287">
        <v>-116.1758068</v>
      </c>
      <c r="H95" s="282">
        <v>0.25</v>
      </c>
      <c r="I95" s="283" t="s">
        <v>285</v>
      </c>
      <c r="K95" s="199" t="s">
        <v>734</v>
      </c>
      <c r="L95" s="99" t="s">
        <v>304</v>
      </c>
      <c r="M95" s="99">
        <v>0.25</v>
      </c>
      <c r="N95" s="200" t="str">
        <f t="shared" si="2"/>
        <v>A</v>
      </c>
    </row>
    <row r="96" spans="1:14" s="177" customFormat="1" x14ac:dyDescent="0.25">
      <c r="A96" s="284">
        <v>313</v>
      </c>
      <c r="B96" s="285">
        <v>45799</v>
      </c>
      <c r="C96" s="286">
        <v>4.4444444444444446E-2</v>
      </c>
      <c r="D96" s="286">
        <v>4.583333333333333E-2</v>
      </c>
      <c r="E96" s="287">
        <v>1</v>
      </c>
      <c r="F96" s="287">
        <v>43.260550100000003</v>
      </c>
      <c r="G96" s="287">
        <v>-116.1718669</v>
      </c>
      <c r="H96" s="282">
        <v>0.25</v>
      </c>
      <c r="I96" s="283" t="s">
        <v>285</v>
      </c>
      <c r="K96" s="199" t="s">
        <v>735</v>
      </c>
      <c r="L96" s="99" t="s">
        <v>304</v>
      </c>
      <c r="M96" s="99">
        <v>0.25</v>
      </c>
      <c r="N96" s="200" t="str">
        <f t="shared" si="2"/>
        <v>A</v>
      </c>
    </row>
    <row r="97" spans="1:14" s="177" customFormat="1" x14ac:dyDescent="0.25">
      <c r="A97" s="284">
        <v>318</v>
      </c>
      <c r="B97" s="285">
        <v>45805</v>
      </c>
      <c r="C97" s="286">
        <v>0.50277777777777777</v>
      </c>
      <c r="D97" s="286">
        <v>0.50486111111111109</v>
      </c>
      <c r="E97" s="287" t="s">
        <v>604</v>
      </c>
      <c r="F97" s="287">
        <v>43.195259299999996</v>
      </c>
      <c r="G97" s="287">
        <v>-116.02792650000001</v>
      </c>
      <c r="H97" s="282">
        <v>0.25</v>
      </c>
      <c r="I97" s="283" t="s">
        <v>285</v>
      </c>
      <c r="K97" s="199" t="s">
        <v>736</v>
      </c>
      <c r="L97" s="99" t="s">
        <v>304</v>
      </c>
      <c r="M97" s="99">
        <v>0.25</v>
      </c>
      <c r="N97" s="200" t="str">
        <f t="shared" si="2"/>
        <v>A</v>
      </c>
    </row>
    <row r="98" spans="1:14" s="177" customFormat="1" x14ac:dyDescent="0.25">
      <c r="A98" s="284">
        <v>319</v>
      </c>
      <c r="B98" s="285">
        <v>45805</v>
      </c>
      <c r="C98" s="286">
        <v>0.52986111111111112</v>
      </c>
      <c r="D98" s="286">
        <v>0.53125</v>
      </c>
      <c r="E98" s="287" t="s">
        <v>604</v>
      </c>
      <c r="F98" s="287">
        <v>43.195259299999996</v>
      </c>
      <c r="G98" s="287">
        <v>-116.02792650000001</v>
      </c>
      <c r="H98" s="282">
        <v>0.25</v>
      </c>
      <c r="I98" s="283" t="s">
        <v>285</v>
      </c>
      <c r="K98" s="199" t="s">
        <v>737</v>
      </c>
      <c r="L98" s="99" t="s">
        <v>304</v>
      </c>
      <c r="M98" s="99">
        <v>0.25</v>
      </c>
      <c r="N98" s="200" t="str">
        <f t="shared" si="2"/>
        <v>A</v>
      </c>
    </row>
    <row r="99" spans="1:14" s="177" customFormat="1" x14ac:dyDescent="0.25">
      <c r="A99" s="284">
        <v>320</v>
      </c>
      <c r="B99" s="285">
        <v>45805</v>
      </c>
      <c r="C99" s="286">
        <v>0.55069444444444449</v>
      </c>
      <c r="D99" s="286">
        <v>0.55277777777777781</v>
      </c>
      <c r="E99" s="287" t="s">
        <v>604</v>
      </c>
      <c r="F99" s="287">
        <v>43.195391600000001</v>
      </c>
      <c r="G99" s="287">
        <v>-116.0286629</v>
      </c>
      <c r="H99" s="282">
        <v>0.25</v>
      </c>
      <c r="I99" s="283" t="s">
        <v>285</v>
      </c>
      <c r="K99" s="199" t="s">
        <v>738</v>
      </c>
      <c r="L99" s="99" t="s">
        <v>304</v>
      </c>
      <c r="M99" s="99">
        <v>0.25</v>
      </c>
      <c r="N99" s="200" t="str">
        <f t="shared" si="2"/>
        <v>A</v>
      </c>
    </row>
    <row r="100" spans="1:14" s="177" customFormat="1" x14ac:dyDescent="0.25">
      <c r="A100" s="284">
        <v>322</v>
      </c>
      <c r="B100" s="285">
        <v>45805</v>
      </c>
      <c r="C100" s="286">
        <v>0.56388888888888888</v>
      </c>
      <c r="D100" s="286">
        <v>0.56527777777777777</v>
      </c>
      <c r="E100" s="287" t="s">
        <v>604</v>
      </c>
      <c r="F100" s="287">
        <v>43.195447999999999</v>
      </c>
      <c r="G100" s="287">
        <v>-116.0278866</v>
      </c>
      <c r="H100" s="282">
        <v>0.25</v>
      </c>
      <c r="I100" s="283" t="s">
        <v>285</v>
      </c>
      <c r="K100" s="199" t="s">
        <v>739</v>
      </c>
      <c r="L100" s="99" t="s">
        <v>304</v>
      </c>
      <c r="M100" s="99">
        <v>0.25</v>
      </c>
      <c r="N100" s="200" t="str">
        <f t="shared" si="2"/>
        <v>A</v>
      </c>
    </row>
    <row r="101" spans="1:14" s="177" customFormat="1" x14ac:dyDescent="0.25">
      <c r="A101" s="284">
        <v>323</v>
      </c>
      <c r="B101" s="285">
        <v>45805</v>
      </c>
      <c r="C101" s="286">
        <v>0.57430555555555551</v>
      </c>
      <c r="D101" s="286">
        <v>0.57708333333333328</v>
      </c>
      <c r="E101" s="287" t="s">
        <v>604</v>
      </c>
      <c r="F101" s="287">
        <v>43.195401199999999</v>
      </c>
      <c r="G101" s="287">
        <v>-116.0266197</v>
      </c>
      <c r="H101" s="282">
        <v>0.25</v>
      </c>
      <c r="I101" s="283" t="s">
        <v>285</v>
      </c>
      <c r="K101" s="199" t="s">
        <v>740</v>
      </c>
      <c r="L101" s="99" t="s">
        <v>304</v>
      </c>
      <c r="M101" s="99">
        <v>0.25</v>
      </c>
      <c r="N101" s="200" t="str">
        <f t="shared" si="2"/>
        <v>A</v>
      </c>
    </row>
    <row r="102" spans="1:14" s="177" customFormat="1" x14ac:dyDescent="0.25">
      <c r="A102" s="284">
        <v>324</v>
      </c>
      <c r="B102" s="285">
        <v>45805</v>
      </c>
      <c r="C102" s="286">
        <v>0.6958333333333333</v>
      </c>
      <c r="D102" s="286">
        <v>0.69861111111111107</v>
      </c>
      <c r="E102" s="287">
        <v>14</v>
      </c>
      <c r="F102" s="287">
        <v>43.194840499999998</v>
      </c>
      <c r="G102" s="287">
        <v>-116.0284501</v>
      </c>
      <c r="H102" s="282">
        <v>0.25</v>
      </c>
      <c r="I102" s="283" t="s">
        <v>285</v>
      </c>
      <c r="K102" s="199" t="s">
        <v>741</v>
      </c>
      <c r="L102" s="99" t="s">
        <v>304</v>
      </c>
      <c r="M102" s="99">
        <v>0.25</v>
      </c>
      <c r="N102" s="200" t="str">
        <f t="shared" si="2"/>
        <v>A</v>
      </c>
    </row>
    <row r="103" spans="1:14" s="177" customFormat="1" x14ac:dyDescent="0.25">
      <c r="A103" s="284">
        <v>325</v>
      </c>
      <c r="B103" s="285">
        <v>45805</v>
      </c>
      <c r="C103" s="286">
        <v>0.70694444444444449</v>
      </c>
      <c r="D103" s="286">
        <v>0.71736111111111112</v>
      </c>
      <c r="E103" s="287">
        <v>14</v>
      </c>
      <c r="F103" s="287">
        <v>43.194926199999998</v>
      </c>
      <c r="G103" s="287">
        <v>-116.0279441</v>
      </c>
      <c r="H103" s="282">
        <v>1</v>
      </c>
      <c r="I103" s="283" t="s">
        <v>285</v>
      </c>
      <c r="K103" s="199" t="s">
        <v>742</v>
      </c>
      <c r="L103" s="99" t="s">
        <v>304</v>
      </c>
      <c r="M103" s="99">
        <v>1</v>
      </c>
      <c r="N103" s="200" t="str">
        <f t="shared" si="2"/>
        <v>B</v>
      </c>
    </row>
    <row r="104" spans="1:14" s="177" customFormat="1" x14ac:dyDescent="0.25">
      <c r="A104" s="284">
        <v>327</v>
      </c>
      <c r="B104" s="285">
        <v>45805</v>
      </c>
      <c r="C104" s="286">
        <v>0.72916666666666663</v>
      </c>
      <c r="D104" s="286">
        <v>0.73402777777777772</v>
      </c>
      <c r="E104" s="287">
        <v>14</v>
      </c>
      <c r="F104" s="287">
        <v>43.195273</v>
      </c>
      <c r="G104" s="287">
        <v>-116.0280678</v>
      </c>
      <c r="H104" s="282">
        <v>0.5</v>
      </c>
      <c r="I104" s="283" t="s">
        <v>285</v>
      </c>
      <c r="K104" s="199" t="s">
        <v>743</v>
      </c>
      <c r="L104" s="99" t="s">
        <v>304</v>
      </c>
      <c r="M104" s="99">
        <v>0.5</v>
      </c>
      <c r="N104" s="200" t="str">
        <f t="shared" si="2"/>
        <v>B</v>
      </c>
    </row>
    <row r="105" spans="1:14" s="177" customFormat="1" x14ac:dyDescent="0.25">
      <c r="A105" s="284">
        <v>328</v>
      </c>
      <c r="B105" s="285">
        <v>45805</v>
      </c>
      <c r="C105" s="286">
        <v>0.72916666666666663</v>
      </c>
      <c r="D105" s="286">
        <v>0.73402777777777772</v>
      </c>
      <c r="E105" s="287">
        <v>14</v>
      </c>
      <c r="F105" s="287">
        <v>43.194391299999999</v>
      </c>
      <c r="G105" s="287">
        <v>-116.02856800000001</v>
      </c>
      <c r="H105" s="282">
        <v>1</v>
      </c>
      <c r="I105" s="283" t="s">
        <v>285</v>
      </c>
      <c r="K105" s="199" t="s">
        <v>744</v>
      </c>
      <c r="L105" s="99" t="s">
        <v>304</v>
      </c>
      <c r="M105" s="99">
        <v>1</v>
      </c>
      <c r="N105" s="200" t="str">
        <f t="shared" si="2"/>
        <v>B</v>
      </c>
    </row>
    <row r="106" spans="1:14" s="177" customFormat="1" x14ac:dyDescent="0.25">
      <c r="A106" s="284">
        <v>329</v>
      </c>
      <c r="B106" s="285">
        <v>45806</v>
      </c>
      <c r="C106" s="286">
        <v>0.3659722222222222</v>
      </c>
      <c r="D106" s="286">
        <v>0.39166666666666666</v>
      </c>
      <c r="E106" s="287" t="s">
        <v>604</v>
      </c>
      <c r="F106" s="287">
        <v>43.196470599999998</v>
      </c>
      <c r="G106" s="287">
        <v>-116.0380736</v>
      </c>
      <c r="H106" s="282">
        <v>0.5</v>
      </c>
      <c r="I106" s="283" t="s">
        <v>285</v>
      </c>
      <c r="K106" s="199" t="s">
        <v>745</v>
      </c>
      <c r="L106" s="99" t="s">
        <v>304</v>
      </c>
      <c r="M106" s="99">
        <v>0.5</v>
      </c>
      <c r="N106" s="200" t="str">
        <f t="shared" si="2"/>
        <v>B</v>
      </c>
    </row>
    <row r="107" spans="1:14" s="177" customFormat="1" x14ac:dyDescent="0.25">
      <c r="A107" s="284">
        <v>332</v>
      </c>
      <c r="B107" s="285">
        <v>45806</v>
      </c>
      <c r="C107" s="286">
        <v>0.43888888888888888</v>
      </c>
      <c r="D107" s="286">
        <v>0.43958333333333333</v>
      </c>
      <c r="E107" s="287" t="s">
        <v>604</v>
      </c>
      <c r="F107" s="287">
        <v>43.195256800000003</v>
      </c>
      <c r="G107" s="287">
        <v>-116.0265727</v>
      </c>
      <c r="H107" s="282">
        <v>0.25</v>
      </c>
      <c r="I107" s="283" t="s">
        <v>285</v>
      </c>
      <c r="K107" s="199" t="s">
        <v>746</v>
      </c>
      <c r="L107" s="99" t="s">
        <v>304</v>
      </c>
      <c r="M107" s="99">
        <v>0.25</v>
      </c>
      <c r="N107" s="200" t="str">
        <f t="shared" si="2"/>
        <v>A</v>
      </c>
    </row>
    <row r="108" spans="1:14" s="177" customFormat="1" x14ac:dyDescent="0.25">
      <c r="A108" s="284">
        <v>333</v>
      </c>
      <c r="B108" s="285">
        <v>45806</v>
      </c>
      <c r="C108" s="286">
        <v>0.44097222222222221</v>
      </c>
      <c r="D108" s="286">
        <v>0.4597222222222222</v>
      </c>
      <c r="E108" s="287" t="s">
        <v>604</v>
      </c>
      <c r="F108" s="287">
        <v>43.196798100000002</v>
      </c>
      <c r="G108" s="287">
        <v>-116.0373915</v>
      </c>
      <c r="H108" s="282">
        <v>1</v>
      </c>
      <c r="I108" s="283" t="s">
        <v>285</v>
      </c>
      <c r="K108" s="199" t="s">
        <v>747</v>
      </c>
      <c r="L108" s="99" t="s">
        <v>304</v>
      </c>
      <c r="M108" s="99">
        <v>1</v>
      </c>
      <c r="N108" s="200" t="str">
        <f t="shared" si="2"/>
        <v>B</v>
      </c>
    </row>
    <row r="109" spans="1:14" s="177" customFormat="1" x14ac:dyDescent="0.25">
      <c r="A109" s="284">
        <v>334</v>
      </c>
      <c r="B109" s="285">
        <v>45806</v>
      </c>
      <c r="C109" s="286">
        <v>0.48333333333333334</v>
      </c>
      <c r="D109" s="286">
        <v>0.5708333333333333</v>
      </c>
      <c r="E109" s="287">
        <v>5</v>
      </c>
      <c r="F109" s="287">
        <v>43.266071599999997</v>
      </c>
      <c r="G109" s="287">
        <v>-116.09940090000001</v>
      </c>
      <c r="H109" s="282">
        <v>7.5</v>
      </c>
      <c r="I109" s="283" t="s">
        <v>285</v>
      </c>
      <c r="K109" s="199" t="s">
        <v>748</v>
      </c>
      <c r="L109" s="99" t="s">
        <v>304</v>
      </c>
      <c r="M109" s="99">
        <v>7.5</v>
      </c>
      <c r="N109" s="200" t="str">
        <f t="shared" si="2"/>
        <v>B</v>
      </c>
    </row>
    <row r="110" spans="1:14" s="177" customFormat="1" x14ac:dyDescent="0.25">
      <c r="A110" s="284">
        <v>337</v>
      </c>
      <c r="B110" s="285">
        <v>45806</v>
      </c>
      <c r="C110" s="286">
        <v>0.59166666666666667</v>
      </c>
      <c r="D110" s="286">
        <v>0.60486111111111107</v>
      </c>
      <c r="E110" s="287">
        <v>5</v>
      </c>
      <c r="F110" s="287">
        <v>43.264941399999998</v>
      </c>
      <c r="G110" s="287">
        <v>-116.0976802</v>
      </c>
      <c r="H110" s="282">
        <v>0.25</v>
      </c>
      <c r="I110" s="283" t="s">
        <v>285</v>
      </c>
      <c r="K110" s="199" t="s">
        <v>749</v>
      </c>
      <c r="L110" s="99" t="s">
        <v>304</v>
      </c>
      <c r="M110" s="99">
        <v>0.25</v>
      </c>
      <c r="N110" s="200" t="str">
        <f t="shared" si="2"/>
        <v>A</v>
      </c>
    </row>
    <row r="111" spans="1:14" s="177" customFormat="1" x14ac:dyDescent="0.25">
      <c r="A111" s="284">
        <v>340</v>
      </c>
      <c r="B111" s="285">
        <v>45807</v>
      </c>
      <c r="C111" s="286">
        <v>0.59097222222222223</v>
      </c>
      <c r="D111" s="286">
        <v>0.76875000000000004</v>
      </c>
      <c r="E111" s="287" t="s">
        <v>605</v>
      </c>
      <c r="F111" s="287">
        <v>43.271966900000002</v>
      </c>
      <c r="G111" s="287">
        <v>-116.0967754</v>
      </c>
      <c r="H111" s="282">
        <v>346</v>
      </c>
      <c r="I111" s="283" t="s">
        <v>285</v>
      </c>
      <c r="K111" s="199" t="s">
        <v>750</v>
      </c>
      <c r="L111" s="99" t="s">
        <v>304</v>
      </c>
      <c r="M111" s="99">
        <v>346</v>
      </c>
      <c r="N111" s="200" t="str">
        <f t="shared" si="2"/>
        <v>E</v>
      </c>
    </row>
    <row r="112" spans="1:14" s="177" customFormat="1" x14ac:dyDescent="0.25">
      <c r="A112" s="284">
        <v>342</v>
      </c>
      <c r="B112" s="285">
        <v>45807</v>
      </c>
      <c r="C112" s="286">
        <v>0.88749999999999996</v>
      </c>
      <c r="D112" s="286">
        <v>0.91041666666666665</v>
      </c>
      <c r="E112" s="287">
        <v>6</v>
      </c>
      <c r="F112" s="287">
        <v>43.2684602</v>
      </c>
      <c r="G112" s="287">
        <v>-116.0804632</v>
      </c>
      <c r="H112" s="282">
        <v>0.25</v>
      </c>
      <c r="I112" s="283" t="s">
        <v>285</v>
      </c>
      <c r="K112" s="199" t="s">
        <v>751</v>
      </c>
      <c r="L112" s="99" t="s">
        <v>304</v>
      </c>
      <c r="M112" s="99">
        <v>0.25</v>
      </c>
      <c r="N112" s="200" t="str">
        <f t="shared" si="2"/>
        <v>A</v>
      </c>
    </row>
    <row r="113" spans="1:14" s="177" customFormat="1" x14ac:dyDescent="0.25">
      <c r="A113" s="284">
        <v>346</v>
      </c>
      <c r="B113" s="285">
        <v>45808</v>
      </c>
      <c r="C113" s="286">
        <v>0.42291666666666666</v>
      </c>
      <c r="D113" s="286">
        <v>0.43194444444444446</v>
      </c>
      <c r="E113" s="287">
        <v>16</v>
      </c>
      <c r="F113" s="287">
        <v>43.182395</v>
      </c>
      <c r="G113" s="287">
        <v>-116.019899</v>
      </c>
      <c r="H113" s="282">
        <v>2</v>
      </c>
      <c r="I113" s="283" t="s">
        <v>285</v>
      </c>
      <c r="K113" s="199" t="s">
        <v>752</v>
      </c>
      <c r="L113" s="99" t="s">
        <v>304</v>
      </c>
      <c r="M113" s="99">
        <v>2</v>
      </c>
      <c r="N113" s="200" t="str">
        <f t="shared" si="2"/>
        <v>B</v>
      </c>
    </row>
    <row r="114" spans="1:14" s="177" customFormat="1" x14ac:dyDescent="0.25">
      <c r="A114" s="284">
        <v>347</v>
      </c>
      <c r="B114" s="285">
        <v>45808</v>
      </c>
      <c r="C114" s="286">
        <v>0.4465277777777778</v>
      </c>
      <c r="D114" s="286">
        <v>0.44930555555555557</v>
      </c>
      <c r="E114" s="287">
        <v>16</v>
      </c>
      <c r="F114" s="287">
        <v>43.182395</v>
      </c>
      <c r="G114" s="287">
        <v>-116.019899</v>
      </c>
      <c r="H114" s="282">
        <v>0.25</v>
      </c>
      <c r="I114" s="283" t="s">
        <v>285</v>
      </c>
      <c r="K114" s="199" t="s">
        <v>753</v>
      </c>
      <c r="L114" s="99" t="s">
        <v>304</v>
      </c>
      <c r="M114" s="99">
        <v>0.25</v>
      </c>
      <c r="N114" s="200" t="str">
        <f t="shared" si="2"/>
        <v>A</v>
      </c>
    </row>
    <row r="115" spans="1:14" s="177" customFormat="1" x14ac:dyDescent="0.25">
      <c r="A115" s="284">
        <v>348</v>
      </c>
      <c r="B115" s="285">
        <v>45808</v>
      </c>
      <c r="C115" s="286">
        <v>0.46875</v>
      </c>
      <c r="D115" s="286">
        <v>0.4861111111111111</v>
      </c>
      <c r="E115" s="287">
        <v>16</v>
      </c>
      <c r="F115" s="287">
        <v>43.182395</v>
      </c>
      <c r="G115" s="287">
        <v>-116.019899</v>
      </c>
      <c r="H115" s="282">
        <v>2</v>
      </c>
      <c r="I115" s="283" t="s">
        <v>285</v>
      </c>
      <c r="K115" s="199" t="s">
        <v>754</v>
      </c>
      <c r="L115" s="99" t="s">
        <v>304</v>
      </c>
      <c r="M115" s="99">
        <v>2</v>
      </c>
      <c r="N115" s="200" t="str">
        <f t="shared" ref="N115:N128" si="3">IF(M115&gt;4999.9,"G",IF(M115&gt;999.9,"F",IF(M115&gt;299.9,"E",IF(M115&gt;99.9,"D",IF(M115&gt;9.9,"C",IF(M115&gt;0.25,"B",IF(M115&gt;0,"A","")))))))</f>
        <v>B</v>
      </c>
    </row>
    <row r="116" spans="1:14" s="177" customFormat="1" x14ac:dyDescent="0.25">
      <c r="A116" s="284">
        <v>350</v>
      </c>
      <c r="B116" s="285">
        <v>45808</v>
      </c>
      <c r="C116" s="288" t="s">
        <v>606</v>
      </c>
      <c r="D116" s="286">
        <v>0.50416666666666665</v>
      </c>
      <c r="E116" s="287">
        <v>16</v>
      </c>
      <c r="F116" s="287">
        <v>43.183084999999998</v>
      </c>
      <c r="G116" s="287">
        <v>-116.023678</v>
      </c>
      <c r="H116" s="282">
        <v>1</v>
      </c>
      <c r="I116" s="283" t="s">
        <v>285</v>
      </c>
      <c r="K116" s="199" t="s">
        <v>755</v>
      </c>
      <c r="L116" s="99" t="s">
        <v>304</v>
      </c>
      <c r="M116" s="99">
        <v>1</v>
      </c>
      <c r="N116" s="200" t="str">
        <f t="shared" si="3"/>
        <v>B</v>
      </c>
    </row>
    <row r="117" spans="1:14" s="177" customFormat="1" x14ac:dyDescent="0.25">
      <c r="A117" s="284">
        <v>351</v>
      </c>
      <c r="B117" s="285">
        <v>45808</v>
      </c>
      <c r="C117" s="286">
        <v>0.5131944444444444</v>
      </c>
      <c r="D117" s="286">
        <v>0.52638888888888891</v>
      </c>
      <c r="E117" s="287">
        <v>16</v>
      </c>
      <c r="F117" s="287">
        <v>43.183084999999998</v>
      </c>
      <c r="G117" s="287">
        <v>-116.023678</v>
      </c>
      <c r="H117" s="282">
        <v>1</v>
      </c>
      <c r="I117" s="283" t="s">
        <v>285</v>
      </c>
      <c r="K117" s="199" t="s">
        <v>756</v>
      </c>
      <c r="L117" s="99" t="s">
        <v>304</v>
      </c>
      <c r="M117" s="99">
        <v>1</v>
      </c>
      <c r="N117" s="200" t="str">
        <f t="shared" si="3"/>
        <v>B</v>
      </c>
    </row>
    <row r="118" spans="1:14" s="177" customFormat="1" x14ac:dyDescent="0.25">
      <c r="A118" s="284">
        <v>352</v>
      </c>
      <c r="B118" s="285">
        <v>45808</v>
      </c>
      <c r="C118" s="286">
        <v>0.55763888888888891</v>
      </c>
      <c r="D118" s="286">
        <v>0.56388888888888888</v>
      </c>
      <c r="E118" s="287">
        <v>16</v>
      </c>
      <c r="F118" s="287">
        <v>43.181142999999999</v>
      </c>
      <c r="G118" s="287">
        <v>-116.019808</v>
      </c>
      <c r="H118" s="282">
        <v>0.25</v>
      </c>
      <c r="I118" s="283" t="s">
        <v>285</v>
      </c>
      <c r="K118" s="199" t="s">
        <v>757</v>
      </c>
      <c r="L118" s="99" t="s">
        <v>304</v>
      </c>
      <c r="M118" s="99">
        <v>0.25</v>
      </c>
      <c r="N118" s="200" t="str">
        <f t="shared" si="3"/>
        <v>A</v>
      </c>
    </row>
    <row r="119" spans="1:14" s="177" customFormat="1" x14ac:dyDescent="0.25">
      <c r="A119" s="284">
        <v>353</v>
      </c>
      <c r="B119" s="285">
        <v>45808</v>
      </c>
      <c r="C119" s="286">
        <v>0.57222222222222219</v>
      </c>
      <c r="D119" s="286">
        <v>0.57777777777777772</v>
      </c>
      <c r="E119" s="287">
        <v>16</v>
      </c>
      <c r="F119" s="287">
        <v>43.181705000000001</v>
      </c>
      <c r="G119" s="287">
        <v>-116.018175</v>
      </c>
      <c r="H119" s="282">
        <v>0.25</v>
      </c>
      <c r="I119" s="283" t="s">
        <v>285</v>
      </c>
      <c r="K119" s="199" t="s">
        <v>758</v>
      </c>
      <c r="L119" s="99" t="s">
        <v>304</v>
      </c>
      <c r="M119" s="99">
        <v>0.25</v>
      </c>
      <c r="N119" s="200" t="str">
        <f t="shared" si="3"/>
        <v>A</v>
      </c>
    </row>
    <row r="120" spans="1:14" s="177" customFormat="1" x14ac:dyDescent="0.25">
      <c r="A120" s="92">
        <v>367</v>
      </c>
      <c r="B120" s="221">
        <v>45812</v>
      </c>
      <c r="C120" s="222">
        <v>0.53263888888888888</v>
      </c>
      <c r="D120" s="222">
        <v>0.5395833333333333</v>
      </c>
      <c r="E120" s="99">
        <v>10</v>
      </c>
      <c r="F120" s="99">
        <v>43.245707600000003</v>
      </c>
      <c r="G120" s="99">
        <v>-116.04445579999999</v>
      </c>
      <c r="H120" s="224">
        <v>0.25</v>
      </c>
      <c r="I120" s="283" t="s">
        <v>285</v>
      </c>
      <c r="K120" s="199" t="s">
        <v>898</v>
      </c>
      <c r="L120" s="99" t="s">
        <v>304</v>
      </c>
      <c r="M120" s="99">
        <v>0.25</v>
      </c>
      <c r="N120" s="200" t="str">
        <f t="shared" si="3"/>
        <v>A</v>
      </c>
    </row>
    <row r="121" spans="1:14" s="177" customFormat="1" x14ac:dyDescent="0.25">
      <c r="A121" s="92">
        <v>368</v>
      </c>
      <c r="B121" s="221">
        <v>45812</v>
      </c>
      <c r="C121" s="222">
        <v>0.61111111111111116</v>
      </c>
      <c r="D121" s="222">
        <v>0.6166666666666667</v>
      </c>
      <c r="E121" s="99">
        <v>10</v>
      </c>
      <c r="F121" s="99">
        <v>43.242118300000001</v>
      </c>
      <c r="G121" s="99">
        <v>-116.0395111</v>
      </c>
      <c r="H121" s="224">
        <v>0.5</v>
      </c>
      <c r="I121" s="283" t="s">
        <v>285</v>
      </c>
      <c r="K121" s="199" t="s">
        <v>899</v>
      </c>
      <c r="L121" s="99" t="s">
        <v>304</v>
      </c>
      <c r="M121" s="99">
        <v>0.5</v>
      </c>
      <c r="N121" s="200" t="str">
        <f t="shared" si="3"/>
        <v>B</v>
      </c>
    </row>
    <row r="122" spans="1:14" s="177" customFormat="1" x14ac:dyDescent="0.25">
      <c r="A122" s="225">
        <v>369</v>
      </c>
      <c r="B122" s="226">
        <v>45812</v>
      </c>
      <c r="C122" s="227">
        <v>0.62708333333333333</v>
      </c>
      <c r="D122" s="227">
        <v>0.63888888888888884</v>
      </c>
      <c r="E122" s="224">
        <v>10</v>
      </c>
      <c r="F122" s="224">
        <v>43.236736399999998</v>
      </c>
      <c r="G122" s="224">
        <v>-116.0463079</v>
      </c>
      <c r="H122" s="224">
        <v>0.5</v>
      </c>
      <c r="I122" s="283" t="s">
        <v>285</v>
      </c>
      <c r="K122" s="199" t="s">
        <v>900</v>
      </c>
      <c r="L122" s="99" t="s">
        <v>304</v>
      </c>
      <c r="M122" s="99">
        <v>0.5</v>
      </c>
      <c r="N122" s="200" t="str">
        <f t="shared" si="3"/>
        <v>B</v>
      </c>
    </row>
    <row r="123" spans="1:14" s="177" customFormat="1" x14ac:dyDescent="0.25">
      <c r="A123" s="225">
        <v>370</v>
      </c>
      <c r="B123" s="226">
        <v>45812</v>
      </c>
      <c r="C123" s="227">
        <v>0.68402777777777779</v>
      </c>
      <c r="D123" s="227">
        <v>0.68680555555555556</v>
      </c>
      <c r="E123" s="224">
        <v>10</v>
      </c>
      <c r="F123" s="224">
        <v>43.244464600000001</v>
      </c>
      <c r="G123" s="224">
        <v>-116.0519889</v>
      </c>
      <c r="H123" s="224">
        <v>0.25</v>
      </c>
      <c r="I123" s="283" t="s">
        <v>285</v>
      </c>
      <c r="K123" s="199" t="s">
        <v>901</v>
      </c>
      <c r="L123" s="99" t="s">
        <v>304</v>
      </c>
      <c r="M123" s="99">
        <v>0.25</v>
      </c>
      <c r="N123" s="200" t="str">
        <f t="shared" si="3"/>
        <v>A</v>
      </c>
    </row>
    <row r="124" spans="1:14" s="177" customFormat="1" x14ac:dyDescent="0.25">
      <c r="A124" s="225">
        <v>371</v>
      </c>
      <c r="B124" s="226">
        <v>45812</v>
      </c>
      <c r="C124" s="227">
        <v>0.71805555555555556</v>
      </c>
      <c r="D124" s="227">
        <v>0.72291666666666665</v>
      </c>
      <c r="E124" s="224">
        <v>10</v>
      </c>
      <c r="F124" s="224">
        <v>43.241980499999997</v>
      </c>
      <c r="G124" s="224">
        <v>-116.0554023</v>
      </c>
      <c r="H124" s="224">
        <v>0.25</v>
      </c>
      <c r="I124" s="283" t="s">
        <v>285</v>
      </c>
      <c r="K124" s="199" t="s">
        <v>902</v>
      </c>
      <c r="L124" s="99" t="s">
        <v>304</v>
      </c>
      <c r="M124" s="99">
        <v>0.25</v>
      </c>
      <c r="N124" s="200" t="str">
        <f t="shared" si="3"/>
        <v>A</v>
      </c>
    </row>
    <row r="125" spans="1:14" s="177" customFormat="1" x14ac:dyDescent="0.25">
      <c r="A125" s="92">
        <v>373</v>
      </c>
      <c r="B125" s="221">
        <v>45812</v>
      </c>
      <c r="C125" s="222">
        <v>0.98819444444444449</v>
      </c>
      <c r="D125" s="222">
        <v>8</v>
      </c>
      <c r="E125" s="99">
        <v>10</v>
      </c>
      <c r="F125" s="99">
        <v>43.233148999999997</v>
      </c>
      <c r="G125" s="99">
        <v>-116.046955</v>
      </c>
      <c r="H125" s="224">
        <v>1</v>
      </c>
      <c r="I125" s="283" t="s">
        <v>285</v>
      </c>
      <c r="K125" s="199" t="s">
        <v>903</v>
      </c>
      <c r="L125" s="99" t="s">
        <v>304</v>
      </c>
      <c r="M125" s="99">
        <v>1</v>
      </c>
      <c r="N125" s="200" t="str">
        <f t="shared" si="3"/>
        <v>B</v>
      </c>
    </row>
    <row r="126" spans="1:14" s="177" customFormat="1" x14ac:dyDescent="0.25">
      <c r="A126" s="225">
        <v>374</v>
      </c>
      <c r="B126" s="226">
        <v>45813</v>
      </c>
      <c r="C126" s="227">
        <v>7.9861111111111105E-2</v>
      </c>
      <c r="D126" s="227">
        <v>8.9583333333333334E-2</v>
      </c>
      <c r="E126" s="224">
        <v>10</v>
      </c>
      <c r="F126" s="224">
        <v>43.2357187</v>
      </c>
      <c r="G126" s="224">
        <v>-116.0430478</v>
      </c>
      <c r="H126" s="224">
        <v>0.25</v>
      </c>
      <c r="I126" s="283" t="s">
        <v>285</v>
      </c>
      <c r="K126" s="199" t="s">
        <v>904</v>
      </c>
      <c r="L126" s="99" t="s">
        <v>304</v>
      </c>
      <c r="M126" s="99">
        <v>0.25</v>
      </c>
      <c r="N126" s="200" t="str">
        <f t="shared" si="3"/>
        <v>A</v>
      </c>
    </row>
    <row r="127" spans="1:14" s="177" customFormat="1" x14ac:dyDescent="0.25">
      <c r="A127" s="92">
        <v>381</v>
      </c>
      <c r="B127" s="221">
        <v>45813</v>
      </c>
      <c r="C127" s="222">
        <v>0.93055555555555558</v>
      </c>
      <c r="D127" s="222">
        <v>0.93541666666666667</v>
      </c>
      <c r="E127" s="99">
        <v>10</v>
      </c>
      <c r="F127" s="99">
        <v>43.244770299999999</v>
      </c>
      <c r="G127" s="99">
        <v>-116.04435960000001</v>
      </c>
      <c r="H127" s="224">
        <v>0.25</v>
      </c>
      <c r="I127" s="283" t="s">
        <v>285</v>
      </c>
      <c r="K127" s="199" t="s">
        <v>905</v>
      </c>
      <c r="L127" s="99" t="s">
        <v>304</v>
      </c>
      <c r="M127" s="99">
        <v>0.25</v>
      </c>
      <c r="N127" s="200" t="str">
        <f t="shared" si="3"/>
        <v>A</v>
      </c>
    </row>
    <row r="128" spans="1:14" s="177" customFormat="1" x14ac:dyDescent="0.25">
      <c r="A128" s="225">
        <v>383</v>
      </c>
      <c r="B128" s="226">
        <v>45814</v>
      </c>
      <c r="C128" s="227">
        <v>0.38750000000000001</v>
      </c>
      <c r="D128" s="227">
        <v>0.3923611111111111</v>
      </c>
      <c r="E128" s="224">
        <v>16</v>
      </c>
      <c r="F128" s="224">
        <v>43.180695</v>
      </c>
      <c r="G128" s="224">
        <v>-116.0190645</v>
      </c>
      <c r="H128" s="224">
        <v>0.5</v>
      </c>
      <c r="I128" s="283" t="s">
        <v>285</v>
      </c>
      <c r="K128" s="199" t="s">
        <v>906</v>
      </c>
      <c r="L128" s="99" t="s">
        <v>304</v>
      </c>
      <c r="M128" s="99">
        <v>0.5</v>
      </c>
      <c r="N128" s="200" t="str">
        <f t="shared" si="3"/>
        <v>B</v>
      </c>
    </row>
    <row r="129" spans="1:14" s="177" customFormat="1" x14ac:dyDescent="0.25">
      <c r="A129" s="225">
        <v>384</v>
      </c>
      <c r="B129" s="226">
        <v>45814</v>
      </c>
      <c r="C129" s="227">
        <v>0.40208333333333335</v>
      </c>
      <c r="D129" s="227">
        <v>0.40902777777777777</v>
      </c>
      <c r="E129" s="224">
        <v>16</v>
      </c>
      <c r="F129" s="224">
        <v>43.181809399999999</v>
      </c>
      <c r="G129" s="224">
        <v>-116.0177546</v>
      </c>
      <c r="H129" s="224">
        <v>0.5</v>
      </c>
      <c r="I129" s="283" t="s">
        <v>285</v>
      </c>
      <c r="K129" s="199" t="s">
        <v>907</v>
      </c>
      <c r="L129" s="99" t="s">
        <v>304</v>
      </c>
      <c r="M129" s="99">
        <v>0.5</v>
      </c>
      <c r="N129" s="200" t="str">
        <f t="shared" ref="N129:N142" si="4">IF(M129&gt;4999.9,"G",IF(M129&gt;999.9,"F",IF(M129&gt;299.9,"E",IF(M129&gt;99.9,"D",IF(M129&gt;9.9,"C",IF(M129&gt;0.25,"B",IF(M129&gt;0,"A","")))))))</f>
        <v>B</v>
      </c>
    </row>
    <row r="130" spans="1:14" s="177" customFormat="1" x14ac:dyDescent="0.25">
      <c r="A130" s="225">
        <v>385</v>
      </c>
      <c r="B130" s="226">
        <v>45814</v>
      </c>
      <c r="C130" s="227">
        <v>0.41805555555555557</v>
      </c>
      <c r="D130" s="227">
        <v>0.42222222222222222</v>
      </c>
      <c r="E130" s="224">
        <v>16</v>
      </c>
      <c r="F130" s="224">
        <v>43.1828188</v>
      </c>
      <c r="G130" s="224">
        <v>-116.0189074</v>
      </c>
      <c r="H130" s="224">
        <v>1</v>
      </c>
      <c r="I130" s="283" t="s">
        <v>285</v>
      </c>
      <c r="K130" s="199" t="s">
        <v>908</v>
      </c>
      <c r="L130" s="99" t="s">
        <v>304</v>
      </c>
      <c r="M130" s="99">
        <v>1</v>
      </c>
      <c r="N130" s="200" t="str">
        <f t="shared" si="4"/>
        <v>B</v>
      </c>
    </row>
    <row r="131" spans="1:14" s="177" customFormat="1" x14ac:dyDescent="0.25">
      <c r="A131" s="225">
        <v>395</v>
      </c>
      <c r="B131" s="226">
        <v>45816</v>
      </c>
      <c r="C131" s="227">
        <v>0.52222222222222225</v>
      </c>
      <c r="D131" s="227">
        <v>0.52777777777777779</v>
      </c>
      <c r="E131" s="224">
        <v>5</v>
      </c>
      <c r="F131" s="224">
        <v>43.278017400000003</v>
      </c>
      <c r="G131" s="224">
        <v>-116.0944306</v>
      </c>
      <c r="H131" s="224">
        <v>0.25</v>
      </c>
      <c r="I131" s="283" t="s">
        <v>285</v>
      </c>
      <c r="K131" s="199" t="s">
        <v>909</v>
      </c>
      <c r="L131" s="99" t="s">
        <v>304</v>
      </c>
      <c r="M131" s="99">
        <v>0.25</v>
      </c>
      <c r="N131" s="200" t="str">
        <f t="shared" si="4"/>
        <v>A</v>
      </c>
    </row>
    <row r="132" spans="1:14" s="177" customFormat="1" x14ac:dyDescent="0.25">
      <c r="A132" s="92">
        <v>397</v>
      </c>
      <c r="B132" s="221">
        <v>45816</v>
      </c>
      <c r="C132" s="222">
        <v>0.56527777777777777</v>
      </c>
      <c r="D132" s="222">
        <v>0.57013888888888886</v>
      </c>
      <c r="E132" s="99">
        <v>5</v>
      </c>
      <c r="F132" s="99">
        <v>43.269492499999998</v>
      </c>
      <c r="G132" s="99">
        <v>-116.1004349</v>
      </c>
      <c r="H132" s="224">
        <v>0.25</v>
      </c>
      <c r="I132" s="283" t="s">
        <v>285</v>
      </c>
      <c r="K132" s="199" t="s">
        <v>910</v>
      </c>
      <c r="L132" s="99" t="s">
        <v>304</v>
      </c>
      <c r="M132" s="99">
        <v>0.25</v>
      </c>
      <c r="N132" s="200" t="str">
        <f t="shared" si="4"/>
        <v>A</v>
      </c>
    </row>
    <row r="133" spans="1:14" s="177" customFormat="1" x14ac:dyDescent="0.25">
      <c r="A133" s="92">
        <v>398</v>
      </c>
      <c r="B133" s="221">
        <v>45816</v>
      </c>
      <c r="C133" s="222">
        <v>0.59027777777777779</v>
      </c>
      <c r="D133" s="222">
        <v>0.86041666666666672</v>
      </c>
      <c r="E133" s="99">
        <v>5</v>
      </c>
      <c r="F133" s="99">
        <v>43.236886300000002</v>
      </c>
      <c r="G133" s="99">
        <v>-116.1003851</v>
      </c>
      <c r="H133" s="224">
        <v>250</v>
      </c>
      <c r="I133" s="283" t="s">
        <v>285</v>
      </c>
      <c r="K133" s="199" t="s">
        <v>911</v>
      </c>
      <c r="L133" s="99" t="s">
        <v>304</v>
      </c>
      <c r="M133" s="99">
        <v>250</v>
      </c>
      <c r="N133" s="200" t="str">
        <f t="shared" si="4"/>
        <v>D</v>
      </c>
    </row>
    <row r="134" spans="1:14" s="177" customFormat="1" x14ac:dyDescent="0.25">
      <c r="A134" s="225">
        <v>401</v>
      </c>
      <c r="B134" s="226">
        <v>45817</v>
      </c>
      <c r="C134" s="227">
        <v>0.5756944444444444</v>
      </c>
      <c r="D134" s="227">
        <v>0.62361111111111112</v>
      </c>
      <c r="E134" s="224">
        <v>5</v>
      </c>
      <c r="F134" s="224">
        <v>43.274831800000001</v>
      </c>
      <c r="G134" s="224">
        <v>-116.1003809</v>
      </c>
      <c r="H134" s="224">
        <v>0.5</v>
      </c>
      <c r="I134" s="283" t="s">
        <v>285</v>
      </c>
      <c r="K134" s="199" t="s">
        <v>912</v>
      </c>
      <c r="L134" s="99" t="s">
        <v>304</v>
      </c>
      <c r="M134" s="99">
        <v>0.5</v>
      </c>
      <c r="N134" s="200" t="str">
        <f t="shared" si="4"/>
        <v>B</v>
      </c>
    </row>
    <row r="135" spans="1:14" s="177" customFormat="1" ht="18" customHeight="1" x14ac:dyDescent="0.25">
      <c r="A135" s="225">
        <v>402</v>
      </c>
      <c r="B135" s="226">
        <v>45817</v>
      </c>
      <c r="C135" s="227">
        <v>0.6381944444444444</v>
      </c>
      <c r="D135" s="227">
        <v>0.76388888888888884</v>
      </c>
      <c r="E135" s="224" t="s">
        <v>605</v>
      </c>
      <c r="F135" s="224">
        <v>43.280254900000003</v>
      </c>
      <c r="G135" s="224">
        <v>-116.0997881</v>
      </c>
      <c r="H135" s="224">
        <v>133.4</v>
      </c>
      <c r="I135" s="283" t="s">
        <v>285</v>
      </c>
      <c r="K135" s="199" t="s">
        <v>913</v>
      </c>
      <c r="L135" s="99" t="s">
        <v>304</v>
      </c>
      <c r="M135" s="99">
        <v>133.4</v>
      </c>
      <c r="N135" s="200" t="str">
        <f t="shared" si="4"/>
        <v>D</v>
      </c>
    </row>
    <row r="136" spans="1:14" s="177" customFormat="1" ht="16.5" customHeight="1" x14ac:dyDescent="0.25">
      <c r="A136" s="92">
        <v>403</v>
      </c>
      <c r="B136" s="221">
        <v>45818</v>
      </c>
      <c r="C136" s="222">
        <v>0.4597222222222222</v>
      </c>
      <c r="D136" s="222">
        <v>0.47499999999999998</v>
      </c>
      <c r="E136" s="99" t="s">
        <v>604</v>
      </c>
      <c r="F136" s="99">
        <v>43.194869300000001</v>
      </c>
      <c r="G136" s="99">
        <v>-116.0307881</v>
      </c>
      <c r="H136" s="224">
        <v>0.25</v>
      </c>
      <c r="I136" s="283" t="s">
        <v>285</v>
      </c>
      <c r="K136" s="199" t="s">
        <v>914</v>
      </c>
      <c r="L136" s="99" t="s">
        <v>304</v>
      </c>
      <c r="M136" s="99">
        <v>0.25</v>
      </c>
      <c r="N136" s="200" t="str">
        <f t="shared" si="4"/>
        <v>A</v>
      </c>
    </row>
    <row r="137" spans="1:14" s="177" customFormat="1" x14ac:dyDescent="0.25">
      <c r="A137" s="225">
        <v>408</v>
      </c>
      <c r="B137" s="226">
        <v>45818</v>
      </c>
      <c r="C137" s="227">
        <v>0.71875</v>
      </c>
      <c r="D137" s="227">
        <v>0.74236111111111114</v>
      </c>
      <c r="E137" s="224">
        <v>5</v>
      </c>
      <c r="F137" s="224">
        <v>43.271797900000003</v>
      </c>
      <c r="G137" s="224">
        <v>-116.1016209</v>
      </c>
      <c r="H137" s="224">
        <v>2</v>
      </c>
      <c r="I137" s="283" t="s">
        <v>285</v>
      </c>
      <c r="K137" s="199" t="s">
        <v>915</v>
      </c>
      <c r="L137" s="99" t="s">
        <v>304</v>
      </c>
      <c r="M137" s="99">
        <v>2</v>
      </c>
      <c r="N137" s="200" t="str">
        <f t="shared" si="4"/>
        <v>B</v>
      </c>
    </row>
    <row r="138" spans="1:14" s="177" customFormat="1" x14ac:dyDescent="0.25">
      <c r="A138" s="92">
        <v>410</v>
      </c>
      <c r="B138" s="221">
        <v>45818</v>
      </c>
      <c r="C138" s="222">
        <v>0.88055555555555554</v>
      </c>
      <c r="D138" s="222">
        <v>0.94027777777777777</v>
      </c>
      <c r="E138" s="99" t="s">
        <v>897</v>
      </c>
      <c r="F138" s="99">
        <v>43.271797900000003</v>
      </c>
      <c r="G138" s="99">
        <v>-116.1016209</v>
      </c>
      <c r="H138" s="224">
        <v>1</v>
      </c>
      <c r="I138" s="283" t="s">
        <v>285</v>
      </c>
      <c r="K138" s="199" t="s">
        <v>916</v>
      </c>
      <c r="L138" s="99" t="s">
        <v>304</v>
      </c>
      <c r="M138" s="99">
        <v>1</v>
      </c>
      <c r="N138" s="200" t="str">
        <f t="shared" si="4"/>
        <v>B</v>
      </c>
    </row>
    <row r="139" spans="1:14" s="177" customFormat="1" x14ac:dyDescent="0.25">
      <c r="A139" s="225">
        <v>415</v>
      </c>
      <c r="B139" s="226">
        <v>45826</v>
      </c>
      <c r="C139" s="227">
        <v>0.53749999999999998</v>
      </c>
      <c r="D139" s="227">
        <v>0.54374999999999996</v>
      </c>
      <c r="E139" s="224">
        <v>5</v>
      </c>
      <c r="F139" s="224">
        <v>43.266340999999997</v>
      </c>
      <c r="G139" s="224">
        <v>-116.10160260000001</v>
      </c>
      <c r="H139" s="224">
        <v>1</v>
      </c>
      <c r="I139" s="283" t="s">
        <v>285</v>
      </c>
      <c r="K139" s="199" t="s">
        <v>917</v>
      </c>
      <c r="L139" s="99" t="s">
        <v>304</v>
      </c>
      <c r="M139" s="99">
        <v>1</v>
      </c>
      <c r="N139" s="200" t="str">
        <f t="shared" si="4"/>
        <v>B</v>
      </c>
    </row>
    <row r="140" spans="1:14" s="177" customFormat="1" x14ac:dyDescent="0.25">
      <c r="A140" s="225">
        <v>416</v>
      </c>
      <c r="B140" s="226">
        <v>45826</v>
      </c>
      <c r="C140" s="227">
        <v>0.56111111111111112</v>
      </c>
      <c r="D140" s="227">
        <v>0.57361111111111107</v>
      </c>
      <c r="E140" s="224">
        <v>5</v>
      </c>
      <c r="F140" s="224">
        <v>43.269331999999999</v>
      </c>
      <c r="G140" s="224">
        <v>-116.1006467</v>
      </c>
      <c r="H140" s="224">
        <v>1.5</v>
      </c>
      <c r="I140" s="283" t="s">
        <v>285</v>
      </c>
      <c r="K140" s="199" t="s">
        <v>918</v>
      </c>
      <c r="L140" s="99" t="s">
        <v>304</v>
      </c>
      <c r="M140" s="99">
        <v>1.5</v>
      </c>
      <c r="N140" s="200" t="str">
        <f t="shared" si="4"/>
        <v>B</v>
      </c>
    </row>
    <row r="141" spans="1:14" s="177" customFormat="1" x14ac:dyDescent="0.25">
      <c r="A141" s="92">
        <v>417</v>
      </c>
      <c r="B141" s="221">
        <v>45826</v>
      </c>
      <c r="C141" s="222">
        <v>0.63263888888888886</v>
      </c>
      <c r="D141" s="222">
        <v>0.6381944444444444</v>
      </c>
      <c r="E141" s="99">
        <v>5</v>
      </c>
      <c r="F141" s="99">
        <v>43.272095200000003</v>
      </c>
      <c r="G141" s="99">
        <v>-116.098203</v>
      </c>
      <c r="H141" s="224">
        <v>0.5</v>
      </c>
      <c r="I141" s="283" t="s">
        <v>285</v>
      </c>
      <c r="K141" s="199" t="s">
        <v>919</v>
      </c>
      <c r="L141" s="99" t="s">
        <v>304</v>
      </c>
      <c r="M141" s="99">
        <v>0.5</v>
      </c>
      <c r="N141" s="200" t="str">
        <f t="shared" si="4"/>
        <v>B</v>
      </c>
    </row>
    <row r="142" spans="1:14" s="177" customFormat="1" x14ac:dyDescent="0.25">
      <c r="A142" s="225">
        <v>418</v>
      </c>
      <c r="B142" s="226">
        <v>45826</v>
      </c>
      <c r="C142" s="227">
        <v>0.67152777777777772</v>
      </c>
      <c r="D142" s="227">
        <v>0.68194444444444446</v>
      </c>
      <c r="E142" s="224">
        <v>5</v>
      </c>
      <c r="F142" s="224">
        <v>43.267349000000003</v>
      </c>
      <c r="G142" s="224">
        <v>-116.0969669</v>
      </c>
      <c r="H142" s="224">
        <v>2</v>
      </c>
      <c r="I142" s="283" t="s">
        <v>285</v>
      </c>
      <c r="K142" s="199" t="s">
        <v>920</v>
      </c>
      <c r="L142" s="99" t="s">
        <v>304</v>
      </c>
      <c r="M142" s="99">
        <v>2</v>
      </c>
      <c r="N142" s="200" t="str">
        <f t="shared" si="4"/>
        <v>B</v>
      </c>
    </row>
    <row r="143" spans="1:14" s="177" customFormat="1" x14ac:dyDescent="0.25">
      <c r="A143" s="225">
        <v>422</v>
      </c>
      <c r="B143" s="226">
        <v>45827</v>
      </c>
      <c r="C143" s="227">
        <v>0.46180555555555558</v>
      </c>
      <c r="D143" s="227">
        <v>0.4861111111111111</v>
      </c>
      <c r="E143" s="224">
        <v>5</v>
      </c>
      <c r="F143" s="224">
        <v>43.277444099999997</v>
      </c>
      <c r="G143" s="224">
        <v>-116.0982226</v>
      </c>
      <c r="H143" s="224">
        <v>2</v>
      </c>
      <c r="I143" s="283" t="s">
        <v>285</v>
      </c>
      <c r="K143" s="199" t="s">
        <v>921</v>
      </c>
      <c r="L143" s="99" t="s">
        <v>304</v>
      </c>
      <c r="M143" s="99">
        <v>2</v>
      </c>
      <c r="N143" s="200" t="str">
        <f t="shared" ref="N143:N203" si="5">IF(M143&gt;4999.9,"G",IF(M143&gt;999.9,"F",IF(M143&gt;299.9,"E",IF(M143&gt;99.9,"D",IF(M143&gt;9.9,"C",IF(M143&gt;0.25,"B",IF(M143&gt;0,"A","")))))))</f>
        <v>B</v>
      </c>
    </row>
    <row r="144" spans="1:14" s="177" customFormat="1" x14ac:dyDescent="0.25">
      <c r="A144" s="92">
        <v>423</v>
      </c>
      <c r="B144" s="221">
        <v>45827</v>
      </c>
      <c r="C144" s="222">
        <v>0.53055555555555556</v>
      </c>
      <c r="D144" s="222">
        <v>0.53333333333333333</v>
      </c>
      <c r="E144" s="99">
        <v>5</v>
      </c>
      <c r="F144" s="99">
        <v>43.278381799999998</v>
      </c>
      <c r="G144" s="99">
        <v>-116.09723510000001</v>
      </c>
      <c r="H144" s="224">
        <v>0.25</v>
      </c>
      <c r="I144" s="283" t="s">
        <v>285</v>
      </c>
      <c r="K144" s="199" t="s">
        <v>922</v>
      </c>
      <c r="L144" s="99" t="s">
        <v>304</v>
      </c>
      <c r="M144" s="99">
        <v>0.25</v>
      </c>
      <c r="N144" s="200" t="str">
        <f t="shared" si="5"/>
        <v>A</v>
      </c>
    </row>
    <row r="145" spans="1:14" s="177" customFormat="1" x14ac:dyDescent="0.25">
      <c r="A145" s="225">
        <v>424</v>
      </c>
      <c r="B145" s="226">
        <v>45827</v>
      </c>
      <c r="C145" s="227">
        <v>0.54166666666666663</v>
      </c>
      <c r="D145" s="227">
        <v>0.54722222222222228</v>
      </c>
      <c r="E145" s="224">
        <v>5</v>
      </c>
      <c r="F145" s="224">
        <v>43.277542500000003</v>
      </c>
      <c r="G145" s="224">
        <v>-116.09813490000001</v>
      </c>
      <c r="H145" s="224">
        <v>0.25</v>
      </c>
      <c r="I145" s="283" t="s">
        <v>285</v>
      </c>
      <c r="K145" s="199" t="s">
        <v>923</v>
      </c>
      <c r="L145" s="99" t="s">
        <v>304</v>
      </c>
      <c r="M145" s="99">
        <v>0.25</v>
      </c>
      <c r="N145" s="200" t="str">
        <f t="shared" si="5"/>
        <v>A</v>
      </c>
    </row>
    <row r="146" spans="1:14" s="177" customFormat="1" x14ac:dyDescent="0.25">
      <c r="A146" s="92">
        <v>431</v>
      </c>
      <c r="B146" s="221">
        <v>45832</v>
      </c>
      <c r="C146" s="222">
        <v>0.53055555555555556</v>
      </c>
      <c r="D146" s="222">
        <v>0.54027777777777775</v>
      </c>
      <c r="E146" s="99">
        <v>5</v>
      </c>
      <c r="F146" s="99">
        <v>43.271859399999997</v>
      </c>
      <c r="G146" s="99">
        <v>-116.0991307</v>
      </c>
      <c r="H146" s="224">
        <v>0.5</v>
      </c>
      <c r="I146" s="283" t="s">
        <v>285</v>
      </c>
      <c r="K146" s="199" t="s">
        <v>924</v>
      </c>
      <c r="L146" s="99" t="s">
        <v>304</v>
      </c>
      <c r="M146" s="99">
        <v>0.5</v>
      </c>
      <c r="N146" s="200" t="str">
        <f t="shared" si="5"/>
        <v>B</v>
      </c>
    </row>
    <row r="147" spans="1:14" s="177" customFormat="1" x14ac:dyDescent="0.25">
      <c r="A147" s="225">
        <v>432</v>
      </c>
      <c r="B147" s="226">
        <v>45832</v>
      </c>
      <c r="C147" s="227">
        <v>0.58263888888888893</v>
      </c>
      <c r="D147" s="227">
        <v>0.62013888888888891</v>
      </c>
      <c r="E147" s="224">
        <v>30</v>
      </c>
      <c r="F147" s="224">
        <v>43.205790299999997</v>
      </c>
      <c r="G147" s="224">
        <v>-116.19294379999999</v>
      </c>
      <c r="H147" s="224">
        <v>0.5</v>
      </c>
      <c r="I147" s="283" t="s">
        <v>285</v>
      </c>
      <c r="K147" s="199" t="s">
        <v>925</v>
      </c>
      <c r="L147" s="99" t="s">
        <v>304</v>
      </c>
      <c r="M147" s="99">
        <v>0.5</v>
      </c>
      <c r="N147" s="200" t="str">
        <f t="shared" si="5"/>
        <v>B</v>
      </c>
    </row>
    <row r="148" spans="1:14" s="177" customFormat="1" x14ac:dyDescent="0.25">
      <c r="A148" s="225">
        <v>435</v>
      </c>
      <c r="B148" s="226">
        <v>45833</v>
      </c>
      <c r="C148" s="227">
        <v>2.7777777777777779E-3</v>
      </c>
      <c r="D148" s="227">
        <v>6.9444444444444441E-3</v>
      </c>
      <c r="E148" s="224">
        <v>5</v>
      </c>
      <c r="F148" s="224">
        <v>43.271981400000001</v>
      </c>
      <c r="G148" s="224">
        <v>-116.0986114</v>
      </c>
      <c r="H148" s="224">
        <v>0.1</v>
      </c>
      <c r="I148" s="283" t="s">
        <v>285</v>
      </c>
      <c r="K148" s="199" t="s">
        <v>926</v>
      </c>
      <c r="L148" s="99" t="s">
        <v>304</v>
      </c>
      <c r="M148" s="99">
        <v>0.1</v>
      </c>
      <c r="N148" s="200" t="str">
        <f t="shared" si="5"/>
        <v>A</v>
      </c>
    </row>
    <row r="149" spans="1:14" s="177" customFormat="1" x14ac:dyDescent="0.25">
      <c r="A149" s="92">
        <v>454</v>
      </c>
      <c r="B149" s="221">
        <v>45848</v>
      </c>
      <c r="C149" s="222">
        <v>0.69791666666666663</v>
      </c>
      <c r="D149" s="222">
        <v>0.71250000000000002</v>
      </c>
      <c r="E149" s="99">
        <v>5</v>
      </c>
      <c r="F149" s="99">
        <v>43.267062899999999</v>
      </c>
      <c r="G149" s="99">
        <v>-116.1017891</v>
      </c>
      <c r="H149" s="295">
        <v>0.25</v>
      </c>
      <c r="I149" s="223" t="s">
        <v>285</v>
      </c>
      <c r="K149" s="199" t="s">
        <v>1727</v>
      </c>
      <c r="L149" s="99" t="s">
        <v>304</v>
      </c>
      <c r="M149" s="99">
        <v>0.25</v>
      </c>
      <c r="N149" s="200" t="str">
        <f t="shared" si="5"/>
        <v>A</v>
      </c>
    </row>
    <row r="150" spans="1:14" s="177" customFormat="1" x14ac:dyDescent="0.25">
      <c r="A150" s="225">
        <v>455</v>
      </c>
      <c r="B150" s="226">
        <v>45848</v>
      </c>
      <c r="C150" s="227">
        <v>0.73263888888888884</v>
      </c>
      <c r="D150" s="227">
        <v>0.74652777777777779</v>
      </c>
      <c r="E150" s="224">
        <v>5</v>
      </c>
      <c r="F150" s="224">
        <v>43.269902799999997</v>
      </c>
      <c r="G150" s="224">
        <v>-116.10109420000001</v>
      </c>
      <c r="H150" s="295">
        <v>0.25</v>
      </c>
      <c r="I150" s="223" t="s">
        <v>285</v>
      </c>
      <c r="K150" s="199" t="s">
        <v>1728</v>
      </c>
      <c r="L150" s="99" t="s">
        <v>304</v>
      </c>
      <c r="M150" s="99">
        <v>0.25</v>
      </c>
      <c r="N150" s="200" t="str">
        <f t="shared" si="5"/>
        <v>A</v>
      </c>
    </row>
    <row r="151" spans="1:14" s="177" customFormat="1" x14ac:dyDescent="0.25">
      <c r="A151" s="225">
        <v>456</v>
      </c>
      <c r="B151" s="226">
        <v>45848</v>
      </c>
      <c r="C151" s="227">
        <v>0.75763888888888886</v>
      </c>
      <c r="D151" s="227">
        <v>0.79374999999999996</v>
      </c>
      <c r="E151" s="224">
        <v>5</v>
      </c>
      <c r="F151" s="224">
        <v>43.272497100000002</v>
      </c>
      <c r="G151" s="224">
        <v>-116.0977781</v>
      </c>
      <c r="H151" s="295">
        <v>3</v>
      </c>
      <c r="I151" s="223" t="s">
        <v>285</v>
      </c>
      <c r="K151" s="199" t="s">
        <v>1729</v>
      </c>
      <c r="L151" s="99" t="s">
        <v>304</v>
      </c>
      <c r="M151" s="99">
        <v>3</v>
      </c>
      <c r="N151" s="200" t="str">
        <f t="shared" si="5"/>
        <v>B</v>
      </c>
    </row>
    <row r="152" spans="1:14" s="177" customFormat="1" x14ac:dyDescent="0.25">
      <c r="A152" s="225">
        <v>457</v>
      </c>
      <c r="B152" s="226">
        <v>45848</v>
      </c>
      <c r="C152" s="227">
        <v>0.80555555555555558</v>
      </c>
      <c r="D152" s="227">
        <v>0.82013888888888886</v>
      </c>
      <c r="E152" s="224">
        <v>5</v>
      </c>
      <c r="F152" s="224">
        <v>43.267108499999999</v>
      </c>
      <c r="G152" s="224">
        <v>-116.1007164</v>
      </c>
      <c r="H152" s="295">
        <v>0.25</v>
      </c>
      <c r="I152" s="223" t="s">
        <v>285</v>
      </c>
      <c r="K152" s="199" t="s">
        <v>1730</v>
      </c>
      <c r="L152" s="99" t="s">
        <v>304</v>
      </c>
      <c r="M152" s="99">
        <v>0.25</v>
      </c>
      <c r="N152" s="200" t="str">
        <f t="shared" si="5"/>
        <v>A</v>
      </c>
    </row>
    <row r="153" spans="1:14" s="177" customFormat="1" x14ac:dyDescent="0.25">
      <c r="A153" s="92">
        <v>458</v>
      </c>
      <c r="B153" s="221">
        <v>45848</v>
      </c>
      <c r="C153" s="222">
        <v>0.84722222222222221</v>
      </c>
      <c r="D153" s="222">
        <v>0.85347222222222219</v>
      </c>
      <c r="E153" s="99">
        <v>5</v>
      </c>
      <c r="F153" s="99">
        <v>43.276945300000001</v>
      </c>
      <c r="G153" s="99">
        <v>-116.0989201</v>
      </c>
      <c r="H153" s="295">
        <v>0.25</v>
      </c>
      <c r="I153" s="223" t="s">
        <v>285</v>
      </c>
      <c r="K153" s="199" t="s">
        <v>1731</v>
      </c>
      <c r="L153" s="99" t="s">
        <v>304</v>
      </c>
      <c r="M153" s="99">
        <v>0.25</v>
      </c>
      <c r="N153" s="200" t="str">
        <f t="shared" si="5"/>
        <v>A</v>
      </c>
    </row>
    <row r="154" spans="1:14" s="177" customFormat="1" x14ac:dyDescent="0.25">
      <c r="A154" s="225">
        <v>460</v>
      </c>
      <c r="B154" s="226">
        <v>45848</v>
      </c>
      <c r="C154" s="227">
        <v>0.93125000000000002</v>
      </c>
      <c r="D154" s="227">
        <v>0.94652777777777775</v>
      </c>
      <c r="E154" s="224">
        <v>5</v>
      </c>
      <c r="F154" s="224">
        <v>43.2667675</v>
      </c>
      <c r="G154" s="224">
        <v>-116.09744379999999</v>
      </c>
      <c r="H154" s="295">
        <v>0.5</v>
      </c>
      <c r="I154" s="223" t="s">
        <v>285</v>
      </c>
      <c r="K154" s="199" t="s">
        <v>1732</v>
      </c>
      <c r="L154" s="99" t="s">
        <v>304</v>
      </c>
      <c r="M154" s="99">
        <v>0.5</v>
      </c>
      <c r="N154" s="200" t="str">
        <f t="shared" si="5"/>
        <v>B</v>
      </c>
    </row>
    <row r="155" spans="1:14" s="177" customFormat="1" x14ac:dyDescent="0.25">
      <c r="A155" s="296">
        <v>461</v>
      </c>
      <c r="B155" s="297">
        <v>45848</v>
      </c>
      <c r="C155" s="298">
        <v>0.96111111111111114</v>
      </c>
      <c r="D155" s="298">
        <v>0.97083333333333333</v>
      </c>
      <c r="E155" s="250">
        <v>5</v>
      </c>
      <c r="F155" s="250">
        <v>43.251705700000002</v>
      </c>
      <c r="G155" s="250">
        <v>-116.1000931</v>
      </c>
      <c r="H155" s="299">
        <v>0.25</v>
      </c>
      <c r="I155" s="300" t="s">
        <v>285</v>
      </c>
      <c r="J155" s="248"/>
      <c r="K155" s="249" t="s">
        <v>1733</v>
      </c>
      <c r="L155" s="250" t="s">
        <v>304</v>
      </c>
      <c r="M155" s="250">
        <v>0.25</v>
      </c>
      <c r="N155" s="251" t="str">
        <f t="shared" si="5"/>
        <v>A</v>
      </c>
    </row>
    <row r="156" spans="1:14" s="177" customFormat="1" x14ac:dyDescent="0.25">
      <c r="A156" s="92">
        <v>462</v>
      </c>
      <c r="B156" s="221">
        <v>45849</v>
      </c>
      <c r="C156" s="222">
        <v>8.3333333333333332E-3</v>
      </c>
      <c r="D156" s="222">
        <v>3.6111111111111108E-2</v>
      </c>
      <c r="E156" s="99">
        <v>5</v>
      </c>
      <c r="F156" s="99">
        <v>43.272917</v>
      </c>
      <c r="G156" s="99">
        <v>-116.099645</v>
      </c>
      <c r="H156" s="295">
        <v>2</v>
      </c>
      <c r="I156" s="223" t="s">
        <v>285</v>
      </c>
      <c r="K156" s="199" t="s">
        <v>1734</v>
      </c>
      <c r="L156" s="99" t="s">
        <v>304</v>
      </c>
      <c r="M156" s="99">
        <v>2</v>
      </c>
      <c r="N156" s="200" t="str">
        <f t="shared" si="5"/>
        <v>B</v>
      </c>
    </row>
    <row r="157" spans="1:14" s="177" customFormat="1" x14ac:dyDescent="0.25">
      <c r="A157" s="225">
        <v>463</v>
      </c>
      <c r="B157" s="226">
        <v>45849</v>
      </c>
      <c r="C157" s="227">
        <v>5.0694444444444445E-2</v>
      </c>
      <c r="D157" s="227">
        <v>5.6250000000000001E-2</v>
      </c>
      <c r="E157" s="224">
        <v>5</v>
      </c>
      <c r="F157" s="224">
        <v>43.274724599999999</v>
      </c>
      <c r="G157" s="224">
        <v>-116.0982135</v>
      </c>
      <c r="H157" s="295">
        <v>0.25</v>
      </c>
      <c r="I157" s="223" t="s">
        <v>285</v>
      </c>
      <c r="K157" s="199" t="s">
        <v>1735</v>
      </c>
      <c r="L157" s="99" t="s">
        <v>304</v>
      </c>
      <c r="M157" s="99">
        <v>0.25</v>
      </c>
      <c r="N157" s="200" t="str">
        <f t="shared" si="5"/>
        <v>A</v>
      </c>
    </row>
    <row r="158" spans="1:14" s="177" customFormat="1" x14ac:dyDescent="0.25">
      <c r="A158" s="225">
        <v>465</v>
      </c>
      <c r="B158" s="226">
        <v>45849</v>
      </c>
      <c r="C158" s="227">
        <v>0.36666666666666664</v>
      </c>
      <c r="D158" s="227">
        <v>0.37847222222222221</v>
      </c>
      <c r="E158" s="224">
        <v>5</v>
      </c>
      <c r="F158" s="224">
        <v>43.27608</v>
      </c>
      <c r="G158" s="224">
        <v>-116.09914999999999</v>
      </c>
      <c r="H158" s="295">
        <v>0.25</v>
      </c>
      <c r="I158" s="223" t="s">
        <v>285</v>
      </c>
      <c r="K158" s="199" t="s">
        <v>1736</v>
      </c>
      <c r="L158" s="99" t="s">
        <v>304</v>
      </c>
      <c r="M158" s="99">
        <v>0.25</v>
      </c>
      <c r="N158" s="200" t="str">
        <f t="shared" si="5"/>
        <v>A</v>
      </c>
    </row>
    <row r="159" spans="1:14" s="177" customFormat="1" x14ac:dyDescent="0.25">
      <c r="A159" s="301">
        <v>466</v>
      </c>
      <c r="B159" s="226">
        <v>45849</v>
      </c>
      <c r="C159" s="227">
        <v>0.3923611111111111</v>
      </c>
      <c r="D159" s="227">
        <v>0.42152777777777778</v>
      </c>
      <c r="E159" s="224">
        <v>5</v>
      </c>
      <c r="F159" s="224">
        <v>43.274099999999997</v>
      </c>
      <c r="G159" s="224">
        <v>-116.09807000000001</v>
      </c>
      <c r="H159" s="295">
        <v>2.5</v>
      </c>
      <c r="I159" s="223" t="s">
        <v>285</v>
      </c>
      <c r="K159" s="199" t="s">
        <v>1737</v>
      </c>
      <c r="L159" s="99" t="s">
        <v>304</v>
      </c>
      <c r="M159" s="99">
        <v>2.5</v>
      </c>
      <c r="N159" s="200" t="str">
        <f t="shared" si="5"/>
        <v>B</v>
      </c>
    </row>
    <row r="160" spans="1:14" s="177" customFormat="1" x14ac:dyDescent="0.25">
      <c r="A160" s="92">
        <v>481</v>
      </c>
      <c r="B160" s="221">
        <v>45859</v>
      </c>
      <c r="C160" s="222">
        <v>0.52916666666666667</v>
      </c>
      <c r="D160" s="222">
        <v>0.53194444444444444</v>
      </c>
      <c r="E160" s="99">
        <v>14</v>
      </c>
      <c r="F160" s="99">
        <v>43.194467899999999</v>
      </c>
      <c r="G160" s="99">
        <v>-116.0280499</v>
      </c>
      <c r="H160" s="295">
        <v>0.25</v>
      </c>
      <c r="I160" s="223" t="s">
        <v>285</v>
      </c>
      <c r="K160" s="199" t="s">
        <v>1738</v>
      </c>
      <c r="L160" s="99" t="s">
        <v>304</v>
      </c>
      <c r="M160" s="99">
        <v>0.25</v>
      </c>
      <c r="N160" s="200" t="str">
        <f t="shared" si="5"/>
        <v>A</v>
      </c>
    </row>
    <row r="161" spans="1:14" s="177" customFormat="1" x14ac:dyDescent="0.25">
      <c r="A161" s="225">
        <v>482</v>
      </c>
      <c r="B161" s="226">
        <v>45859</v>
      </c>
      <c r="C161" s="227">
        <v>0.55277777777777781</v>
      </c>
      <c r="D161" s="227">
        <v>0.55902777777777779</v>
      </c>
      <c r="E161" s="224">
        <v>14</v>
      </c>
      <c r="F161" s="224">
        <v>43.194946100000003</v>
      </c>
      <c r="G161" s="224">
        <v>-116.0366822</v>
      </c>
      <c r="H161" s="295">
        <v>0.5</v>
      </c>
      <c r="I161" s="223" t="s">
        <v>285</v>
      </c>
      <c r="K161" s="199" t="s">
        <v>1752</v>
      </c>
      <c r="L161" s="99" t="s">
        <v>304</v>
      </c>
      <c r="M161" s="99">
        <v>0.5</v>
      </c>
      <c r="N161" s="200" t="str">
        <f t="shared" si="5"/>
        <v>B</v>
      </c>
    </row>
    <row r="162" spans="1:14" s="177" customFormat="1" x14ac:dyDescent="0.25">
      <c r="A162" s="225">
        <v>486</v>
      </c>
      <c r="B162" s="221">
        <v>45860</v>
      </c>
      <c r="C162" s="222">
        <v>0.5625</v>
      </c>
      <c r="D162" s="222">
        <v>0.5756944444444444</v>
      </c>
      <c r="E162" s="99">
        <v>5</v>
      </c>
      <c r="F162" s="99">
        <v>43.270227499999997</v>
      </c>
      <c r="G162" s="99">
        <v>-116.1022971</v>
      </c>
      <c r="H162" s="295">
        <v>1</v>
      </c>
      <c r="I162" s="223" t="s">
        <v>285</v>
      </c>
      <c r="K162" s="199" t="s">
        <v>1753</v>
      </c>
      <c r="L162" s="99" t="s">
        <v>304</v>
      </c>
      <c r="M162" s="99">
        <v>1</v>
      </c>
      <c r="N162" s="200" t="str">
        <f t="shared" si="5"/>
        <v>B</v>
      </c>
    </row>
    <row r="163" spans="1:14" s="177" customFormat="1" x14ac:dyDescent="0.25">
      <c r="A163" s="225">
        <v>487</v>
      </c>
      <c r="B163" s="221">
        <v>45860</v>
      </c>
      <c r="C163" s="222">
        <v>0.60138888888888886</v>
      </c>
      <c r="D163" s="222">
        <v>0.60972222222222228</v>
      </c>
      <c r="E163" s="99">
        <v>5</v>
      </c>
      <c r="F163" s="99">
        <v>43.275333000000003</v>
      </c>
      <c r="G163" s="99">
        <v>-116.1000038</v>
      </c>
      <c r="H163" s="295">
        <v>0.25</v>
      </c>
      <c r="I163" s="223" t="s">
        <v>285</v>
      </c>
      <c r="K163" s="199" t="s">
        <v>1754</v>
      </c>
      <c r="L163" s="99" t="s">
        <v>304</v>
      </c>
      <c r="M163" s="99">
        <v>0.25</v>
      </c>
      <c r="N163" s="200" t="str">
        <f t="shared" si="5"/>
        <v>A</v>
      </c>
    </row>
    <row r="164" spans="1:14" s="177" customFormat="1" x14ac:dyDescent="0.25">
      <c r="A164" s="92">
        <v>488</v>
      </c>
      <c r="B164" s="226">
        <v>45860</v>
      </c>
      <c r="C164" s="227">
        <v>0.62638888888888888</v>
      </c>
      <c r="D164" s="227">
        <v>0.63680555555555551</v>
      </c>
      <c r="E164" s="224">
        <v>5</v>
      </c>
      <c r="F164" s="224">
        <v>43.272480899999998</v>
      </c>
      <c r="G164" s="224">
        <v>-116.10029230000001</v>
      </c>
      <c r="H164" s="295">
        <v>0.25</v>
      </c>
      <c r="I164" s="223" t="s">
        <v>285</v>
      </c>
      <c r="K164" s="199" t="s">
        <v>1755</v>
      </c>
      <c r="L164" s="99" t="s">
        <v>304</v>
      </c>
      <c r="M164" s="99">
        <v>0.25</v>
      </c>
      <c r="N164" s="200" t="str">
        <f t="shared" si="5"/>
        <v>A</v>
      </c>
    </row>
    <row r="165" spans="1:14" s="177" customFormat="1" x14ac:dyDescent="0.25">
      <c r="A165" s="225">
        <v>489</v>
      </c>
      <c r="B165" s="226">
        <v>45860</v>
      </c>
      <c r="C165" s="227">
        <v>0.64513888888888893</v>
      </c>
      <c r="D165" s="227">
        <v>0.65208333333333335</v>
      </c>
      <c r="E165" s="224">
        <v>5</v>
      </c>
      <c r="F165" s="224">
        <v>43.274639800000003</v>
      </c>
      <c r="G165" s="224">
        <v>-116.100014</v>
      </c>
      <c r="H165" s="295">
        <v>0.25</v>
      </c>
      <c r="I165" s="223" t="s">
        <v>285</v>
      </c>
      <c r="K165" s="199" t="s">
        <v>1756</v>
      </c>
      <c r="L165" s="99" t="s">
        <v>304</v>
      </c>
      <c r="M165" s="99">
        <v>0.25</v>
      </c>
      <c r="N165" s="200" t="str">
        <f t="shared" si="5"/>
        <v>A</v>
      </c>
    </row>
    <row r="166" spans="1:14" s="177" customFormat="1" x14ac:dyDescent="0.25">
      <c r="A166" s="92">
        <v>490</v>
      </c>
      <c r="B166" s="226">
        <v>38555</v>
      </c>
      <c r="C166" s="227">
        <v>0.66666666666666663</v>
      </c>
      <c r="D166" s="227">
        <v>0.67291666666666672</v>
      </c>
      <c r="E166" s="224">
        <v>5</v>
      </c>
      <c r="F166" s="224">
        <v>43.265439999999998</v>
      </c>
      <c r="G166" s="224">
        <v>-116.10354</v>
      </c>
      <c r="H166" s="295">
        <v>0.25</v>
      </c>
      <c r="I166" s="223" t="s">
        <v>285</v>
      </c>
      <c r="K166" s="199" t="s">
        <v>1757</v>
      </c>
      <c r="L166" s="99" t="s">
        <v>304</v>
      </c>
      <c r="M166" s="99">
        <v>0.25</v>
      </c>
      <c r="N166" s="200" t="str">
        <f t="shared" si="5"/>
        <v>A</v>
      </c>
    </row>
    <row r="167" spans="1:14" s="177" customFormat="1" x14ac:dyDescent="0.25">
      <c r="A167" s="92">
        <v>491</v>
      </c>
      <c r="B167" s="221">
        <v>45860</v>
      </c>
      <c r="C167" s="222">
        <v>0.69722222222222219</v>
      </c>
      <c r="D167" s="222">
        <v>0.70694444444444449</v>
      </c>
      <c r="E167" s="99">
        <v>5</v>
      </c>
      <c r="F167" s="99" t="s">
        <v>1495</v>
      </c>
      <c r="G167" s="99">
        <v>-116.10142</v>
      </c>
      <c r="H167" s="295">
        <v>0.5</v>
      </c>
      <c r="I167" s="223" t="s">
        <v>285</v>
      </c>
      <c r="K167" s="199" t="s">
        <v>1758</v>
      </c>
      <c r="L167" s="99" t="s">
        <v>304</v>
      </c>
      <c r="M167" s="99">
        <v>0.5</v>
      </c>
      <c r="N167" s="200" t="str">
        <f t="shared" si="5"/>
        <v>B</v>
      </c>
    </row>
    <row r="168" spans="1:14" s="177" customFormat="1" x14ac:dyDescent="0.25">
      <c r="A168" s="225">
        <v>492</v>
      </c>
      <c r="B168" s="226">
        <v>45860</v>
      </c>
      <c r="C168" s="227">
        <v>0.71319444444444446</v>
      </c>
      <c r="D168" s="227">
        <v>0.71944444444444444</v>
      </c>
      <c r="E168" s="224">
        <v>5</v>
      </c>
      <c r="F168" s="224">
        <v>43.271930900000001</v>
      </c>
      <c r="G168" s="224">
        <v>-116.1024939</v>
      </c>
      <c r="H168" s="295">
        <v>0.25</v>
      </c>
      <c r="I168" s="223" t="s">
        <v>285</v>
      </c>
      <c r="K168" s="199" t="s">
        <v>1759</v>
      </c>
      <c r="L168" s="99" t="s">
        <v>304</v>
      </c>
      <c r="M168" s="99">
        <v>0.25</v>
      </c>
      <c r="N168" s="200" t="str">
        <f t="shared" si="5"/>
        <v>A</v>
      </c>
    </row>
    <row r="169" spans="1:14" s="177" customFormat="1" x14ac:dyDescent="0.25">
      <c r="A169" s="92">
        <v>493</v>
      </c>
      <c r="B169" s="221">
        <v>45860</v>
      </c>
      <c r="C169" s="222">
        <v>0.80902777777777779</v>
      </c>
      <c r="D169" s="222">
        <v>0.83472222222222225</v>
      </c>
      <c r="E169" s="99">
        <v>5</v>
      </c>
      <c r="F169" s="99">
        <v>43.269976800000002</v>
      </c>
      <c r="G169" s="99">
        <v>-116.10248559999999</v>
      </c>
      <c r="H169" s="295">
        <v>3</v>
      </c>
      <c r="I169" s="223" t="s">
        <v>285</v>
      </c>
      <c r="K169" s="199" t="s">
        <v>1760</v>
      </c>
      <c r="L169" s="99" t="s">
        <v>304</v>
      </c>
      <c r="M169" s="99">
        <v>3</v>
      </c>
      <c r="N169" s="200" t="str">
        <f t="shared" si="5"/>
        <v>B</v>
      </c>
    </row>
    <row r="170" spans="1:14" s="177" customFormat="1" x14ac:dyDescent="0.25">
      <c r="A170" s="225">
        <v>496</v>
      </c>
      <c r="B170" s="221">
        <v>45861</v>
      </c>
      <c r="C170" s="222">
        <v>0.44236111111111109</v>
      </c>
      <c r="D170" s="222">
        <v>0.64097222222222228</v>
      </c>
      <c r="E170" s="99">
        <v>2</v>
      </c>
      <c r="F170" s="99">
        <v>43.254705299999998</v>
      </c>
      <c r="G170" s="99">
        <v>-116.1281376</v>
      </c>
      <c r="H170" s="295">
        <v>582.86</v>
      </c>
      <c r="I170" s="223" t="s">
        <v>285</v>
      </c>
      <c r="K170" s="199" t="s">
        <v>1761</v>
      </c>
      <c r="L170" s="99" t="s">
        <v>304</v>
      </c>
      <c r="M170" s="99">
        <v>582.86</v>
      </c>
      <c r="N170" s="200" t="str">
        <f t="shared" si="5"/>
        <v>E</v>
      </c>
    </row>
    <row r="171" spans="1:14" s="177" customFormat="1" x14ac:dyDescent="0.25">
      <c r="A171" s="225">
        <v>497</v>
      </c>
      <c r="B171" s="226">
        <v>45861</v>
      </c>
      <c r="C171" s="227">
        <v>0.66805555555555551</v>
      </c>
      <c r="D171" s="227">
        <v>0.67500000000000004</v>
      </c>
      <c r="E171" s="224">
        <v>5</v>
      </c>
      <c r="F171" s="224">
        <v>43.270568699999998</v>
      </c>
      <c r="G171" s="224">
        <v>-116.1010351</v>
      </c>
      <c r="H171" s="295">
        <v>0.5</v>
      </c>
      <c r="I171" s="223" t="s">
        <v>285</v>
      </c>
      <c r="K171" s="199" t="s">
        <v>1762</v>
      </c>
      <c r="L171" s="99" t="s">
        <v>304</v>
      </c>
      <c r="M171" s="99">
        <v>0.5</v>
      </c>
      <c r="N171" s="200" t="str">
        <f t="shared" si="5"/>
        <v>B</v>
      </c>
    </row>
    <row r="172" spans="1:14" s="177" customFormat="1" x14ac:dyDescent="0.25">
      <c r="A172" s="225">
        <v>498</v>
      </c>
      <c r="B172" s="226">
        <v>45861</v>
      </c>
      <c r="C172" s="227">
        <v>0.68333333333333335</v>
      </c>
      <c r="D172" s="227">
        <v>0.90694444444444444</v>
      </c>
      <c r="E172" s="224">
        <v>2</v>
      </c>
      <c r="F172" s="224">
        <v>43.258110000000002</v>
      </c>
      <c r="G172" s="224">
        <v>-116.13182209999999</v>
      </c>
      <c r="H172" s="295">
        <v>306</v>
      </c>
      <c r="I172" s="223" t="s">
        <v>285</v>
      </c>
      <c r="K172" s="199" t="s">
        <v>1763</v>
      </c>
      <c r="L172" s="99" t="s">
        <v>304</v>
      </c>
      <c r="M172" s="99">
        <v>306</v>
      </c>
      <c r="N172" s="200" t="str">
        <f t="shared" si="5"/>
        <v>E</v>
      </c>
    </row>
    <row r="173" spans="1:14" s="177" customFormat="1" x14ac:dyDescent="0.25">
      <c r="A173" s="225">
        <v>501</v>
      </c>
      <c r="B173" s="226">
        <v>45862</v>
      </c>
      <c r="C173" s="227">
        <v>0.46597222222222223</v>
      </c>
      <c r="D173" s="227">
        <v>0.4826388888888889</v>
      </c>
      <c r="E173" s="224">
        <v>14</v>
      </c>
      <c r="F173" s="224">
        <v>43.193911700000001</v>
      </c>
      <c r="G173" s="224">
        <v>-116.0357508</v>
      </c>
      <c r="H173" s="295">
        <v>0.25</v>
      </c>
      <c r="I173" s="223" t="s">
        <v>285</v>
      </c>
      <c r="K173" s="199" t="s">
        <v>1764</v>
      </c>
      <c r="L173" s="99" t="s">
        <v>304</v>
      </c>
      <c r="M173" s="99">
        <v>0.25</v>
      </c>
      <c r="N173" s="200" t="str">
        <f t="shared" si="5"/>
        <v>A</v>
      </c>
    </row>
    <row r="174" spans="1:14" s="177" customFormat="1" x14ac:dyDescent="0.25">
      <c r="A174" s="92">
        <v>503</v>
      </c>
      <c r="B174" s="221">
        <v>45862</v>
      </c>
      <c r="C174" s="222">
        <v>0.50763888888888886</v>
      </c>
      <c r="D174" s="222">
        <v>0.50902777777777775</v>
      </c>
      <c r="E174" s="99">
        <v>14</v>
      </c>
      <c r="F174" s="99">
        <v>43.195265300000003</v>
      </c>
      <c r="G174" s="99">
        <v>-116.0296987</v>
      </c>
      <c r="H174" s="295">
        <v>0.25</v>
      </c>
      <c r="I174" s="223" t="s">
        <v>285</v>
      </c>
      <c r="K174" s="199" t="s">
        <v>1765</v>
      </c>
      <c r="L174" s="99" t="s">
        <v>304</v>
      </c>
      <c r="M174" s="99">
        <v>0.25</v>
      </c>
      <c r="N174" s="200" t="str">
        <f t="shared" si="5"/>
        <v>A</v>
      </c>
    </row>
    <row r="175" spans="1:14" s="177" customFormat="1" x14ac:dyDescent="0.25">
      <c r="A175" s="92">
        <v>504</v>
      </c>
      <c r="B175" s="221">
        <v>45862</v>
      </c>
      <c r="C175" s="222">
        <v>0.53749999999999998</v>
      </c>
      <c r="D175" s="222">
        <v>0.5541666666666667</v>
      </c>
      <c r="E175" s="99">
        <v>14</v>
      </c>
      <c r="F175" s="99">
        <v>43.196101499999997</v>
      </c>
      <c r="G175" s="99">
        <v>-116.03060859999999</v>
      </c>
      <c r="H175" s="295">
        <v>0.25</v>
      </c>
      <c r="I175" s="223" t="s">
        <v>285</v>
      </c>
      <c r="K175" s="199" t="s">
        <v>1766</v>
      </c>
      <c r="L175" s="99" t="s">
        <v>304</v>
      </c>
      <c r="M175" s="99">
        <v>0.25</v>
      </c>
      <c r="N175" s="200" t="str">
        <f t="shared" si="5"/>
        <v>A</v>
      </c>
    </row>
    <row r="176" spans="1:14" s="177" customFormat="1" x14ac:dyDescent="0.25">
      <c r="A176" s="92">
        <v>505</v>
      </c>
      <c r="B176" s="221">
        <v>45862</v>
      </c>
      <c r="C176" s="222">
        <v>0.54652777777777772</v>
      </c>
      <c r="D176" s="222">
        <v>0.57361111111111107</v>
      </c>
      <c r="E176" s="99">
        <v>2</v>
      </c>
      <c r="F176" s="99">
        <v>43.255807699999998</v>
      </c>
      <c r="G176" s="99">
        <v>-116.1262862</v>
      </c>
      <c r="H176" s="295">
        <v>6</v>
      </c>
      <c r="I176" s="223" t="s">
        <v>285</v>
      </c>
      <c r="K176" s="199" t="s">
        <v>1767</v>
      </c>
      <c r="L176" s="99" t="s">
        <v>304</v>
      </c>
      <c r="M176" s="99">
        <v>6</v>
      </c>
      <c r="N176" s="200" t="str">
        <f t="shared" si="5"/>
        <v>B</v>
      </c>
    </row>
    <row r="177" spans="1:14" s="177" customFormat="1" x14ac:dyDescent="0.25">
      <c r="A177" s="225">
        <v>506</v>
      </c>
      <c r="B177" s="226">
        <v>45862</v>
      </c>
      <c r="C177" s="227">
        <v>0.56666666666666665</v>
      </c>
      <c r="D177" s="227">
        <v>0.61319444444444449</v>
      </c>
      <c r="E177" s="224">
        <v>14</v>
      </c>
      <c r="F177" s="224">
        <v>43.195234499999998</v>
      </c>
      <c r="G177" s="224">
        <v>-116.0356438</v>
      </c>
      <c r="H177" s="295">
        <v>0.5</v>
      </c>
      <c r="I177" s="223" t="s">
        <v>285</v>
      </c>
      <c r="K177" s="199" t="s">
        <v>1768</v>
      </c>
      <c r="L177" s="99" t="s">
        <v>304</v>
      </c>
      <c r="M177" s="99">
        <v>0.5</v>
      </c>
      <c r="N177" s="200" t="str">
        <f t="shared" si="5"/>
        <v>B</v>
      </c>
    </row>
    <row r="178" spans="1:14" s="177" customFormat="1" x14ac:dyDescent="0.25">
      <c r="A178" s="225">
        <v>507</v>
      </c>
      <c r="B178" s="226">
        <v>45862</v>
      </c>
      <c r="C178" s="227">
        <v>0.6430555555555556</v>
      </c>
      <c r="D178" s="227">
        <v>0.72569444444444442</v>
      </c>
      <c r="E178" s="224">
        <v>14</v>
      </c>
      <c r="F178" s="224">
        <v>43.193877399999998</v>
      </c>
      <c r="G178" s="224">
        <v>-116.03594820000001</v>
      </c>
      <c r="H178" s="295">
        <v>45</v>
      </c>
      <c r="I178" s="223" t="s">
        <v>285</v>
      </c>
      <c r="K178" s="199" t="s">
        <v>1769</v>
      </c>
      <c r="L178" s="99" t="s">
        <v>304</v>
      </c>
      <c r="M178" s="99">
        <v>45</v>
      </c>
      <c r="N178" s="200" t="str">
        <f t="shared" si="5"/>
        <v>C</v>
      </c>
    </row>
    <row r="179" spans="1:14" s="177" customFormat="1" x14ac:dyDescent="0.25">
      <c r="A179" s="225">
        <v>508</v>
      </c>
      <c r="B179" s="226">
        <v>45862</v>
      </c>
      <c r="C179" s="227">
        <v>0.65972222222222221</v>
      </c>
      <c r="D179" s="227">
        <v>0.6958333333333333</v>
      </c>
      <c r="E179" s="224">
        <v>2</v>
      </c>
      <c r="F179" s="224">
        <v>43.262069500000003</v>
      </c>
      <c r="G179" s="224">
        <v>-116.1374335</v>
      </c>
      <c r="H179" s="295">
        <v>6</v>
      </c>
      <c r="I179" s="223" t="s">
        <v>285</v>
      </c>
      <c r="K179" s="199" t="s">
        <v>1770</v>
      </c>
      <c r="L179" s="99" t="s">
        <v>304</v>
      </c>
      <c r="M179" s="99">
        <v>6</v>
      </c>
      <c r="N179" s="200" t="str">
        <f t="shared" si="5"/>
        <v>B</v>
      </c>
    </row>
    <row r="180" spans="1:14" s="177" customFormat="1" x14ac:dyDescent="0.25">
      <c r="A180" s="92">
        <v>509</v>
      </c>
      <c r="B180" s="221">
        <v>45862</v>
      </c>
      <c r="C180" s="222">
        <v>0.83263888888888893</v>
      </c>
      <c r="D180" s="222">
        <v>0.84722222222222221</v>
      </c>
      <c r="E180" s="99">
        <v>2</v>
      </c>
      <c r="F180" s="99">
        <v>43.255577000000002</v>
      </c>
      <c r="G180" s="99">
        <v>-116.1255503</v>
      </c>
      <c r="H180" s="295">
        <v>0.25</v>
      </c>
      <c r="I180" s="223" t="s">
        <v>285</v>
      </c>
      <c r="K180" s="199" t="s">
        <v>1771</v>
      </c>
      <c r="L180" s="99" t="s">
        <v>304</v>
      </c>
      <c r="M180" s="99">
        <v>0.25</v>
      </c>
      <c r="N180" s="200" t="str">
        <f t="shared" si="5"/>
        <v>A</v>
      </c>
    </row>
    <row r="181" spans="1:14" s="177" customFormat="1" x14ac:dyDescent="0.25">
      <c r="A181" s="225">
        <v>510</v>
      </c>
      <c r="B181" s="226">
        <v>45863</v>
      </c>
      <c r="C181" s="227">
        <v>0.3611111111111111</v>
      </c>
      <c r="D181" s="227">
        <v>0.3659722222222222</v>
      </c>
      <c r="E181" s="224">
        <v>2</v>
      </c>
      <c r="F181" s="224">
        <v>43.265043400000003</v>
      </c>
      <c r="G181" s="224">
        <v>-116.1437372</v>
      </c>
      <c r="H181" s="295">
        <v>0.25</v>
      </c>
      <c r="I181" s="223" t="s">
        <v>285</v>
      </c>
      <c r="K181" s="199" t="s">
        <v>1772</v>
      </c>
      <c r="L181" s="99" t="s">
        <v>304</v>
      </c>
      <c r="M181" s="99">
        <v>0.25</v>
      </c>
      <c r="N181" s="200" t="str">
        <f t="shared" si="5"/>
        <v>A</v>
      </c>
    </row>
    <row r="182" spans="1:14" s="177" customFormat="1" x14ac:dyDescent="0.25">
      <c r="A182" s="92">
        <v>513</v>
      </c>
      <c r="B182" s="221">
        <v>45863</v>
      </c>
      <c r="C182" s="222">
        <v>0.65107638888888886</v>
      </c>
      <c r="D182" s="222">
        <v>0.67083333333333328</v>
      </c>
      <c r="E182" s="99">
        <v>5</v>
      </c>
      <c r="F182" s="99">
        <v>43.271888599999997</v>
      </c>
      <c r="G182" s="99">
        <v>-116.0994014</v>
      </c>
      <c r="H182" s="295">
        <v>1</v>
      </c>
      <c r="I182" s="223" t="s">
        <v>285</v>
      </c>
      <c r="K182" s="199" t="s">
        <v>1773</v>
      </c>
      <c r="L182" s="99" t="s">
        <v>304</v>
      </c>
      <c r="M182" s="99">
        <v>1</v>
      </c>
      <c r="N182" s="200" t="str">
        <f t="shared" si="5"/>
        <v>B</v>
      </c>
    </row>
    <row r="183" spans="1:14" s="177" customFormat="1" x14ac:dyDescent="0.25">
      <c r="A183" s="92">
        <v>515</v>
      </c>
      <c r="B183" s="221">
        <v>45863</v>
      </c>
      <c r="C183" s="222">
        <v>0.68611111111111112</v>
      </c>
      <c r="D183" s="222">
        <v>0.71250000000000002</v>
      </c>
      <c r="E183" s="99">
        <v>5</v>
      </c>
      <c r="F183" s="99">
        <v>43.27543</v>
      </c>
      <c r="G183" s="99">
        <v>-116.10072</v>
      </c>
      <c r="H183" s="295">
        <v>2</v>
      </c>
      <c r="I183" s="223" t="s">
        <v>285</v>
      </c>
      <c r="K183" s="199" t="s">
        <v>1774</v>
      </c>
      <c r="L183" s="99" t="s">
        <v>304</v>
      </c>
      <c r="M183" s="99">
        <v>2</v>
      </c>
      <c r="N183" s="200" t="str">
        <f t="shared" si="5"/>
        <v>B</v>
      </c>
    </row>
    <row r="184" spans="1:14" s="177" customFormat="1" x14ac:dyDescent="0.25">
      <c r="A184" s="225">
        <v>516</v>
      </c>
      <c r="B184" s="226">
        <v>45863</v>
      </c>
      <c r="C184" s="227">
        <v>0.72638888888888886</v>
      </c>
      <c r="D184" s="227">
        <v>0.75555555555555554</v>
      </c>
      <c r="E184" s="224">
        <v>5</v>
      </c>
      <c r="F184" s="224">
        <v>43.273820000000001</v>
      </c>
      <c r="G184" s="224">
        <v>-116.10001</v>
      </c>
      <c r="H184" s="295">
        <v>0.25</v>
      </c>
      <c r="I184" s="223" t="s">
        <v>285</v>
      </c>
      <c r="K184" s="199" t="s">
        <v>1775</v>
      </c>
      <c r="L184" s="99" t="s">
        <v>304</v>
      </c>
      <c r="M184" s="99">
        <v>0.25</v>
      </c>
      <c r="N184" s="200" t="str">
        <f t="shared" si="5"/>
        <v>A</v>
      </c>
    </row>
    <row r="185" spans="1:14" s="177" customFormat="1" x14ac:dyDescent="0.25">
      <c r="A185" s="225">
        <v>517</v>
      </c>
      <c r="B185" s="226">
        <v>45863</v>
      </c>
      <c r="C185" s="227">
        <v>0.76944444444444449</v>
      </c>
      <c r="D185" s="227">
        <v>0.78263888888888888</v>
      </c>
      <c r="E185" s="224">
        <v>5</v>
      </c>
      <c r="F185" s="224">
        <v>43.276000000000003</v>
      </c>
      <c r="G185" s="224">
        <v>-116.09939</v>
      </c>
      <c r="H185" s="295">
        <v>1</v>
      </c>
      <c r="I185" s="223" t="s">
        <v>285</v>
      </c>
      <c r="K185" s="199" t="s">
        <v>1776</v>
      </c>
      <c r="L185" s="99" t="s">
        <v>304</v>
      </c>
      <c r="M185" s="99">
        <v>1</v>
      </c>
      <c r="N185" s="200" t="str">
        <f t="shared" si="5"/>
        <v>B</v>
      </c>
    </row>
    <row r="186" spans="1:14" s="177" customFormat="1" x14ac:dyDescent="0.25">
      <c r="A186" s="225">
        <v>518</v>
      </c>
      <c r="B186" s="226">
        <v>45863</v>
      </c>
      <c r="C186" s="227">
        <v>0.84444444444444444</v>
      </c>
      <c r="D186" s="227">
        <v>0.84930555555555554</v>
      </c>
      <c r="E186" s="224">
        <v>5</v>
      </c>
      <c r="F186" s="224">
        <v>43.273769999999999</v>
      </c>
      <c r="G186" s="224">
        <v>-116.09988</v>
      </c>
      <c r="H186" s="295">
        <v>0.25</v>
      </c>
      <c r="I186" s="223" t="s">
        <v>285</v>
      </c>
      <c r="K186" s="199" t="s">
        <v>1777</v>
      </c>
      <c r="L186" s="99" t="s">
        <v>304</v>
      </c>
      <c r="M186" s="99">
        <v>0.25</v>
      </c>
      <c r="N186" s="200" t="str">
        <f t="shared" si="5"/>
        <v>A</v>
      </c>
    </row>
    <row r="187" spans="1:14" s="177" customFormat="1" x14ac:dyDescent="0.25">
      <c r="A187" s="92">
        <v>519</v>
      </c>
      <c r="B187" s="221">
        <v>45863</v>
      </c>
      <c r="C187" s="222">
        <v>0.93125000000000002</v>
      </c>
      <c r="D187" s="222">
        <v>0.94027777777777777</v>
      </c>
      <c r="E187" s="99">
        <v>5</v>
      </c>
      <c r="F187" s="99">
        <v>43.274650000000001</v>
      </c>
      <c r="G187" s="99">
        <v>-116.09802000000001</v>
      </c>
      <c r="H187" s="295">
        <v>0.5</v>
      </c>
      <c r="I187" s="223" t="s">
        <v>285</v>
      </c>
      <c r="K187" s="199" t="s">
        <v>1778</v>
      </c>
      <c r="L187" s="99" t="s">
        <v>304</v>
      </c>
      <c r="M187" s="99">
        <v>0.5</v>
      </c>
      <c r="N187" s="200" t="str">
        <f t="shared" si="5"/>
        <v>B</v>
      </c>
    </row>
    <row r="188" spans="1:14" s="177" customFormat="1" x14ac:dyDescent="0.25">
      <c r="A188" s="225">
        <v>521</v>
      </c>
      <c r="B188" s="226">
        <v>45863</v>
      </c>
      <c r="C188" s="227">
        <v>0.95277777777777772</v>
      </c>
      <c r="D188" s="227">
        <v>0.95902777777777781</v>
      </c>
      <c r="E188" s="224">
        <v>5</v>
      </c>
      <c r="F188" s="224">
        <v>43.27861</v>
      </c>
      <c r="G188" s="224">
        <v>-116.09820999999999</v>
      </c>
      <c r="H188" s="295">
        <v>0.25</v>
      </c>
      <c r="I188" s="223" t="s">
        <v>285</v>
      </c>
      <c r="K188" s="199" t="s">
        <v>1779</v>
      </c>
      <c r="L188" s="99" t="s">
        <v>304</v>
      </c>
      <c r="M188" s="99">
        <v>0.25</v>
      </c>
      <c r="N188" s="200" t="str">
        <f t="shared" si="5"/>
        <v>A</v>
      </c>
    </row>
    <row r="189" spans="1:14" s="177" customFormat="1" x14ac:dyDescent="0.25">
      <c r="A189" s="92">
        <v>522</v>
      </c>
      <c r="B189" s="221">
        <v>45863</v>
      </c>
      <c r="C189" s="222">
        <v>0.96736111111111112</v>
      </c>
      <c r="D189" s="222">
        <v>0.97083333333333333</v>
      </c>
      <c r="E189" s="99">
        <v>5</v>
      </c>
      <c r="F189" s="99">
        <v>43.27861</v>
      </c>
      <c r="G189" s="99">
        <v>-116.09820999999999</v>
      </c>
      <c r="H189" s="295">
        <v>0.25</v>
      </c>
      <c r="I189" s="223" t="s">
        <v>285</v>
      </c>
      <c r="K189" s="199" t="s">
        <v>1780</v>
      </c>
      <c r="L189" s="99" t="s">
        <v>304</v>
      </c>
      <c r="M189" s="99">
        <v>0.25</v>
      </c>
      <c r="N189" s="200" t="str">
        <f t="shared" si="5"/>
        <v>A</v>
      </c>
    </row>
    <row r="190" spans="1:14" s="177" customFormat="1" x14ac:dyDescent="0.25">
      <c r="A190" s="92">
        <v>524</v>
      </c>
      <c r="B190" s="221">
        <v>45864</v>
      </c>
      <c r="C190" s="222">
        <v>0.41249999999999998</v>
      </c>
      <c r="D190" s="222">
        <v>0.41597222222222224</v>
      </c>
      <c r="E190" s="99">
        <v>5</v>
      </c>
      <c r="F190" s="99">
        <v>43.274660099999998</v>
      </c>
      <c r="G190" s="99">
        <v>-116.0968835</v>
      </c>
      <c r="H190" s="295">
        <v>0.25</v>
      </c>
      <c r="I190" s="223" t="s">
        <v>285</v>
      </c>
      <c r="K190" s="199" t="s">
        <v>1781</v>
      </c>
      <c r="L190" s="99" t="s">
        <v>304</v>
      </c>
      <c r="M190" s="99">
        <v>0.25</v>
      </c>
      <c r="N190" s="200" t="str">
        <f t="shared" si="5"/>
        <v>A</v>
      </c>
    </row>
    <row r="191" spans="1:14" s="177" customFormat="1" x14ac:dyDescent="0.25">
      <c r="A191" s="225">
        <v>525</v>
      </c>
      <c r="B191" s="226">
        <v>45864</v>
      </c>
      <c r="C191" s="227">
        <v>0.42222222222222222</v>
      </c>
      <c r="D191" s="227">
        <v>0.45694444444444443</v>
      </c>
      <c r="E191" s="224">
        <v>10</v>
      </c>
      <c r="F191" s="224">
        <v>43.239342999999998</v>
      </c>
      <c r="G191" s="224">
        <v>-116.0275585</v>
      </c>
      <c r="H191" s="295">
        <v>1</v>
      </c>
      <c r="I191" s="223" t="s">
        <v>285</v>
      </c>
      <c r="K191" s="199" t="s">
        <v>1782</v>
      </c>
      <c r="L191" s="99" t="s">
        <v>304</v>
      </c>
      <c r="M191" s="99">
        <v>1</v>
      </c>
      <c r="N191" s="200" t="str">
        <f t="shared" si="5"/>
        <v>B</v>
      </c>
    </row>
    <row r="192" spans="1:14" s="177" customFormat="1" x14ac:dyDescent="0.25">
      <c r="A192" s="225">
        <v>527</v>
      </c>
      <c r="B192" s="226">
        <v>45864</v>
      </c>
      <c r="C192" s="227">
        <v>0.44722222222222224</v>
      </c>
      <c r="D192" s="227">
        <v>0.4513888888888889</v>
      </c>
      <c r="E192" s="224">
        <v>5</v>
      </c>
      <c r="F192" s="224">
        <v>43.273901899999998</v>
      </c>
      <c r="G192" s="224">
        <v>-116.1000741</v>
      </c>
      <c r="H192" s="295">
        <v>0.25</v>
      </c>
      <c r="I192" s="223" t="s">
        <v>285</v>
      </c>
      <c r="K192" s="199" t="s">
        <v>1783</v>
      </c>
      <c r="L192" s="99" t="s">
        <v>304</v>
      </c>
      <c r="M192" s="99">
        <v>0.25</v>
      </c>
      <c r="N192" s="200" t="str">
        <f t="shared" si="5"/>
        <v>A</v>
      </c>
    </row>
    <row r="193" spans="1:14" s="177" customFormat="1" x14ac:dyDescent="0.25">
      <c r="A193" s="225">
        <v>529</v>
      </c>
      <c r="B193" s="226">
        <v>45864</v>
      </c>
      <c r="C193" s="227">
        <v>0.47569444444444442</v>
      </c>
      <c r="D193" s="227">
        <v>0.47847222222222224</v>
      </c>
      <c r="E193" s="224">
        <v>5</v>
      </c>
      <c r="F193" s="224">
        <v>43.275994599999997</v>
      </c>
      <c r="G193" s="224">
        <v>-116.0982563</v>
      </c>
      <c r="H193" s="295">
        <v>0.25</v>
      </c>
      <c r="I193" s="223" t="s">
        <v>285</v>
      </c>
      <c r="K193" s="199" t="s">
        <v>1784</v>
      </c>
      <c r="L193" s="99" t="s">
        <v>304</v>
      </c>
      <c r="M193" s="99">
        <v>0.25</v>
      </c>
      <c r="N193" s="200" t="str">
        <f t="shared" si="5"/>
        <v>A</v>
      </c>
    </row>
    <row r="194" spans="1:14" s="177" customFormat="1" x14ac:dyDescent="0.25">
      <c r="A194" s="92">
        <v>530</v>
      </c>
      <c r="B194" s="221">
        <v>45864</v>
      </c>
      <c r="C194" s="222">
        <v>0.48819444444444443</v>
      </c>
      <c r="D194" s="222">
        <v>0.49236111111111114</v>
      </c>
      <c r="E194" s="99">
        <v>10</v>
      </c>
      <c r="F194" s="99">
        <v>43.2344893</v>
      </c>
      <c r="G194" s="99">
        <v>-116.0500376</v>
      </c>
      <c r="H194" s="295">
        <v>0.25</v>
      </c>
      <c r="I194" s="223" t="s">
        <v>285</v>
      </c>
      <c r="K194" s="199" t="s">
        <v>1785</v>
      </c>
      <c r="L194" s="99" t="s">
        <v>304</v>
      </c>
      <c r="M194" s="99">
        <v>0.25</v>
      </c>
      <c r="N194" s="200" t="str">
        <f t="shared" si="5"/>
        <v>A</v>
      </c>
    </row>
    <row r="195" spans="1:14" s="177" customFormat="1" x14ac:dyDescent="0.25">
      <c r="A195" s="92">
        <v>531</v>
      </c>
      <c r="B195" s="221">
        <v>45864</v>
      </c>
      <c r="C195" s="222">
        <v>0.4909722222222222</v>
      </c>
      <c r="D195" s="222">
        <v>0.49166666666666664</v>
      </c>
      <c r="E195" s="99">
        <v>5</v>
      </c>
      <c r="F195" s="99">
        <v>43.2801708</v>
      </c>
      <c r="G195" s="99">
        <v>-116.0980098</v>
      </c>
      <c r="H195" s="295">
        <v>0.25</v>
      </c>
      <c r="I195" s="223" t="s">
        <v>285</v>
      </c>
      <c r="K195" s="199" t="s">
        <v>1786</v>
      </c>
      <c r="L195" s="99" t="s">
        <v>304</v>
      </c>
      <c r="M195" s="99">
        <v>0.25</v>
      </c>
      <c r="N195" s="200" t="str">
        <f t="shared" si="5"/>
        <v>A</v>
      </c>
    </row>
    <row r="196" spans="1:14" s="177" customFormat="1" x14ac:dyDescent="0.25">
      <c r="A196" s="225">
        <v>533</v>
      </c>
      <c r="B196" s="226">
        <v>45864</v>
      </c>
      <c r="C196" s="227">
        <v>0.54583333333333328</v>
      </c>
      <c r="D196" s="227">
        <v>0.55694444444444446</v>
      </c>
      <c r="E196" s="224">
        <v>5</v>
      </c>
      <c r="F196" s="224">
        <v>43.276656299999999</v>
      </c>
      <c r="G196" s="224">
        <v>-116.0988011</v>
      </c>
      <c r="H196" s="295">
        <v>0.25</v>
      </c>
      <c r="I196" s="223" t="s">
        <v>285</v>
      </c>
      <c r="K196" s="199" t="s">
        <v>1787</v>
      </c>
      <c r="L196" s="99" t="s">
        <v>304</v>
      </c>
      <c r="M196" s="99">
        <v>0.25</v>
      </c>
      <c r="N196" s="200" t="str">
        <f t="shared" si="5"/>
        <v>A</v>
      </c>
    </row>
    <row r="197" spans="1:14" s="177" customFormat="1" x14ac:dyDescent="0.25">
      <c r="A197" s="225">
        <v>535</v>
      </c>
      <c r="B197" s="226">
        <v>45864</v>
      </c>
      <c r="C197" s="227">
        <v>0.56805555555555554</v>
      </c>
      <c r="D197" s="227">
        <v>0.57013888888888886</v>
      </c>
      <c r="E197" s="224">
        <v>5</v>
      </c>
      <c r="F197" s="224">
        <v>43.276656299999999</v>
      </c>
      <c r="G197" s="224">
        <v>-116.0988011</v>
      </c>
      <c r="H197" s="295">
        <v>0.25</v>
      </c>
      <c r="I197" s="223" t="s">
        <v>285</v>
      </c>
      <c r="K197" s="199" t="s">
        <v>1788</v>
      </c>
      <c r="L197" s="99" t="s">
        <v>304</v>
      </c>
      <c r="M197" s="99">
        <v>0.25</v>
      </c>
      <c r="N197" s="200" t="str">
        <f t="shared" si="5"/>
        <v>A</v>
      </c>
    </row>
    <row r="198" spans="1:14" s="177" customFormat="1" x14ac:dyDescent="0.25">
      <c r="A198" s="225">
        <v>537</v>
      </c>
      <c r="B198" s="226">
        <v>45864</v>
      </c>
      <c r="C198" s="227">
        <v>0.59791666666666665</v>
      </c>
      <c r="D198" s="227">
        <v>0.6</v>
      </c>
      <c r="E198" s="224">
        <v>5</v>
      </c>
      <c r="F198" s="224">
        <v>43.2801708</v>
      </c>
      <c r="G198" s="224">
        <v>-116.0980098</v>
      </c>
      <c r="H198" s="295">
        <v>0.25</v>
      </c>
      <c r="I198" s="223" t="s">
        <v>285</v>
      </c>
      <c r="K198" s="199" t="s">
        <v>1789</v>
      </c>
      <c r="L198" s="99" t="s">
        <v>304</v>
      </c>
      <c r="M198" s="99">
        <v>0.25</v>
      </c>
      <c r="N198" s="200" t="str">
        <f t="shared" si="5"/>
        <v>A</v>
      </c>
    </row>
    <row r="199" spans="1:14" s="177" customFormat="1" x14ac:dyDescent="0.25">
      <c r="A199" s="225">
        <v>538</v>
      </c>
      <c r="B199" s="226">
        <v>45864</v>
      </c>
      <c r="C199" s="227">
        <v>0.59930555555555554</v>
      </c>
      <c r="D199" s="227">
        <v>0.87847222222222221</v>
      </c>
      <c r="E199" s="224">
        <v>10</v>
      </c>
      <c r="F199" s="224">
        <v>43.229275000000001</v>
      </c>
      <c r="G199" s="224">
        <v>-116.038112</v>
      </c>
      <c r="H199" s="295">
        <v>530.67999999999995</v>
      </c>
      <c r="I199" s="223" t="s">
        <v>285</v>
      </c>
      <c r="K199" s="199" t="s">
        <v>1790</v>
      </c>
      <c r="L199" s="99" t="s">
        <v>304</v>
      </c>
      <c r="M199" s="99">
        <v>530.67999999999995</v>
      </c>
      <c r="N199" s="200" t="str">
        <f t="shared" si="5"/>
        <v>E</v>
      </c>
    </row>
    <row r="200" spans="1:14" s="177" customFormat="1" x14ac:dyDescent="0.25">
      <c r="A200" s="92">
        <v>539</v>
      </c>
      <c r="B200" s="221">
        <v>45864</v>
      </c>
      <c r="C200" s="222">
        <v>0.60902777777777772</v>
      </c>
      <c r="D200" s="222">
        <v>0.61736111111111114</v>
      </c>
      <c r="E200" s="99">
        <v>5</v>
      </c>
      <c r="F200" s="99">
        <v>43.2801708</v>
      </c>
      <c r="G200" s="99">
        <v>-116.0980098</v>
      </c>
      <c r="H200" s="295">
        <v>0.25</v>
      </c>
      <c r="I200" s="223" t="s">
        <v>285</v>
      </c>
      <c r="K200" s="199" t="s">
        <v>1791</v>
      </c>
      <c r="L200" s="99" t="s">
        <v>304</v>
      </c>
      <c r="M200" s="99">
        <v>0.25</v>
      </c>
      <c r="N200" s="200" t="str">
        <f t="shared" si="5"/>
        <v>A</v>
      </c>
    </row>
    <row r="201" spans="1:14" s="177" customFormat="1" x14ac:dyDescent="0.25">
      <c r="A201" s="92">
        <v>540</v>
      </c>
      <c r="B201" s="221">
        <v>45864</v>
      </c>
      <c r="C201" s="222">
        <v>0.62986111111111109</v>
      </c>
      <c r="D201" s="222">
        <v>0.63472222222222219</v>
      </c>
      <c r="E201" s="99">
        <v>10</v>
      </c>
      <c r="F201" s="99">
        <v>43.2801708</v>
      </c>
      <c r="G201" s="99">
        <v>-116.0980098</v>
      </c>
      <c r="H201" s="295">
        <v>0.25</v>
      </c>
      <c r="I201" s="223" t="s">
        <v>285</v>
      </c>
      <c r="K201" s="199" t="s">
        <v>1792</v>
      </c>
      <c r="L201" s="99" t="s">
        <v>304</v>
      </c>
      <c r="M201" s="99">
        <v>0.25</v>
      </c>
      <c r="N201" s="200" t="str">
        <f t="shared" si="5"/>
        <v>A</v>
      </c>
    </row>
    <row r="202" spans="1:14" s="177" customFormat="1" x14ac:dyDescent="0.25">
      <c r="A202" s="225">
        <v>541</v>
      </c>
      <c r="B202" s="226">
        <v>45864</v>
      </c>
      <c r="C202" s="227">
        <v>0.92222222222222228</v>
      </c>
      <c r="D202" s="227">
        <v>0.99861111111111112</v>
      </c>
      <c r="E202" s="224">
        <v>11</v>
      </c>
      <c r="F202" s="224">
        <v>43.223391599999999</v>
      </c>
      <c r="G202" s="224">
        <v>-116.0249554</v>
      </c>
      <c r="H202" s="295">
        <v>1</v>
      </c>
      <c r="I202" s="223" t="s">
        <v>285</v>
      </c>
      <c r="K202" s="199" t="s">
        <v>1793</v>
      </c>
      <c r="L202" s="99" t="s">
        <v>304</v>
      </c>
      <c r="M202" s="99">
        <v>1</v>
      </c>
      <c r="N202" s="200" t="str">
        <f t="shared" si="5"/>
        <v>B</v>
      </c>
    </row>
    <row r="203" spans="1:14" s="177" customFormat="1" x14ac:dyDescent="0.25">
      <c r="A203" s="225">
        <v>545</v>
      </c>
      <c r="B203" s="226">
        <v>45865</v>
      </c>
      <c r="C203" s="227">
        <v>0.50138888888888888</v>
      </c>
      <c r="D203" s="227">
        <v>0.61111111111111116</v>
      </c>
      <c r="E203" s="224">
        <v>10</v>
      </c>
      <c r="F203" s="224">
        <v>43.233370000000001</v>
      </c>
      <c r="G203" s="224">
        <v>-116.03982999999999</v>
      </c>
      <c r="H203" s="295">
        <v>2</v>
      </c>
      <c r="I203" s="223" t="s">
        <v>285</v>
      </c>
      <c r="K203" s="199" t="s">
        <v>1794</v>
      </c>
      <c r="L203" s="99" t="s">
        <v>304</v>
      </c>
      <c r="M203" s="99">
        <v>2</v>
      </c>
      <c r="N203" s="200" t="str">
        <f t="shared" si="5"/>
        <v>B</v>
      </c>
    </row>
    <row r="204" spans="1:14" s="177" customFormat="1" x14ac:dyDescent="0.25">
      <c r="A204" s="225">
        <v>546</v>
      </c>
      <c r="B204" s="226">
        <v>45865</v>
      </c>
      <c r="C204" s="227">
        <v>0.50486111111111109</v>
      </c>
      <c r="D204" s="227">
        <v>0.51249999999999996</v>
      </c>
      <c r="E204" s="224">
        <v>26</v>
      </c>
      <c r="F204" s="224">
        <v>43.158659999999998</v>
      </c>
      <c r="G204" s="224">
        <v>-116.1361</v>
      </c>
      <c r="H204" s="295">
        <v>0.5</v>
      </c>
      <c r="I204" s="223" t="s">
        <v>285</v>
      </c>
      <c r="K204" s="199" t="s">
        <v>1795</v>
      </c>
      <c r="L204" s="99" t="s">
        <v>304</v>
      </c>
      <c r="M204" s="99">
        <v>0.5</v>
      </c>
      <c r="N204" s="200" t="str">
        <f t="shared" ref="N204:N259" si="6">IF(M204&gt;4999.9,"G",IF(M204&gt;999.9,"F",IF(M204&gt;299.9,"E",IF(M204&gt;99.9,"D",IF(M204&gt;9.9,"C",IF(M204&gt;0.25,"B",IF(M204&gt;0,"A","")))))))</f>
        <v>B</v>
      </c>
    </row>
    <row r="205" spans="1:14" s="177" customFormat="1" x14ac:dyDescent="0.25">
      <c r="A205" s="92">
        <v>548</v>
      </c>
      <c r="B205" s="221">
        <v>45865</v>
      </c>
      <c r="C205" s="222">
        <v>0.59652777777777777</v>
      </c>
      <c r="D205" s="222">
        <v>0.61736111111111114</v>
      </c>
      <c r="E205" s="99">
        <v>26</v>
      </c>
      <c r="F205" s="99">
        <v>43.163319999999999</v>
      </c>
      <c r="G205" s="99">
        <v>-116.1293</v>
      </c>
      <c r="H205" s="295">
        <v>10</v>
      </c>
      <c r="I205" s="223" t="s">
        <v>285</v>
      </c>
      <c r="K205" s="199" t="s">
        <v>1796</v>
      </c>
      <c r="L205" s="99" t="s">
        <v>304</v>
      </c>
      <c r="M205" s="99">
        <v>10</v>
      </c>
      <c r="N205" s="200" t="str">
        <f t="shared" si="6"/>
        <v>C</v>
      </c>
    </row>
    <row r="206" spans="1:14" s="177" customFormat="1" x14ac:dyDescent="0.25">
      <c r="A206" s="225">
        <v>549</v>
      </c>
      <c r="B206" s="226">
        <v>45865</v>
      </c>
      <c r="C206" s="227">
        <v>0.62916666666666665</v>
      </c>
      <c r="D206" s="227">
        <v>0.66041666666666665</v>
      </c>
      <c r="E206" s="224">
        <v>26</v>
      </c>
      <c r="F206" s="224">
        <v>43.158830000000002</v>
      </c>
      <c r="G206" s="224">
        <v>-116.12213</v>
      </c>
      <c r="H206" s="295">
        <v>0.5</v>
      </c>
      <c r="I206" s="223" t="s">
        <v>285</v>
      </c>
      <c r="K206" s="199" t="s">
        <v>1797</v>
      </c>
      <c r="L206" s="99" t="s">
        <v>304</v>
      </c>
      <c r="M206" s="99">
        <v>0.5</v>
      </c>
      <c r="N206" s="200" t="str">
        <f t="shared" si="6"/>
        <v>B</v>
      </c>
    </row>
    <row r="207" spans="1:14" s="177" customFormat="1" x14ac:dyDescent="0.25">
      <c r="A207" s="92">
        <v>550</v>
      </c>
      <c r="B207" s="221">
        <v>45865</v>
      </c>
      <c r="C207" s="222">
        <v>0.64166666666666672</v>
      </c>
      <c r="D207" s="222">
        <v>0.72430555555555554</v>
      </c>
      <c r="E207" s="99">
        <v>11</v>
      </c>
      <c r="F207" s="99">
        <v>43.223239999999997</v>
      </c>
      <c r="G207" s="99">
        <v>-116.02427</v>
      </c>
      <c r="H207" s="295">
        <v>2</v>
      </c>
      <c r="I207" s="223" t="s">
        <v>285</v>
      </c>
      <c r="K207" s="199" t="s">
        <v>1798</v>
      </c>
      <c r="L207" s="99" t="s">
        <v>304</v>
      </c>
      <c r="M207" s="99">
        <v>2</v>
      </c>
      <c r="N207" s="200" t="str">
        <f t="shared" si="6"/>
        <v>B</v>
      </c>
    </row>
    <row r="208" spans="1:14" s="177" customFormat="1" x14ac:dyDescent="0.25">
      <c r="A208" s="92">
        <v>551</v>
      </c>
      <c r="B208" s="221">
        <v>45865</v>
      </c>
      <c r="C208" s="222">
        <v>0.6875</v>
      </c>
      <c r="D208" s="222">
        <v>0.7104166666666667</v>
      </c>
      <c r="E208" s="99">
        <v>26</v>
      </c>
      <c r="F208" s="99">
        <v>43.150880000000001</v>
      </c>
      <c r="G208" s="99">
        <v>-116.14964999999999</v>
      </c>
      <c r="H208" s="295">
        <v>0.5</v>
      </c>
      <c r="I208" s="223" t="s">
        <v>285</v>
      </c>
      <c r="K208" s="199" t="s">
        <v>1799</v>
      </c>
      <c r="L208" s="99" t="s">
        <v>304</v>
      </c>
      <c r="M208" s="99">
        <v>0.5</v>
      </c>
      <c r="N208" s="200" t="str">
        <f t="shared" si="6"/>
        <v>B</v>
      </c>
    </row>
    <row r="209" spans="1:14" s="177" customFormat="1" x14ac:dyDescent="0.25">
      <c r="A209" s="225">
        <v>553</v>
      </c>
      <c r="B209" s="226">
        <v>45865</v>
      </c>
      <c r="C209" s="227">
        <v>0.73541666666666672</v>
      </c>
      <c r="D209" s="227">
        <v>0.75138888888888888</v>
      </c>
      <c r="E209" s="224">
        <v>26</v>
      </c>
      <c r="F209" s="224">
        <v>43.162469999999999</v>
      </c>
      <c r="G209" s="224">
        <v>-116.13426</v>
      </c>
      <c r="H209" s="295">
        <v>5</v>
      </c>
      <c r="I209" s="223" t="s">
        <v>285</v>
      </c>
      <c r="K209" s="199" t="s">
        <v>1800</v>
      </c>
      <c r="L209" s="99" t="s">
        <v>304</v>
      </c>
      <c r="M209" s="99">
        <v>5</v>
      </c>
      <c r="N209" s="200" t="str">
        <f t="shared" si="6"/>
        <v>B</v>
      </c>
    </row>
    <row r="210" spans="1:14" s="177" customFormat="1" x14ac:dyDescent="0.25">
      <c r="A210" s="225">
        <v>555</v>
      </c>
      <c r="B210" s="226">
        <v>45865</v>
      </c>
      <c r="C210" s="227">
        <v>0.77986111111111112</v>
      </c>
      <c r="D210" s="227">
        <v>0.7944444444444444</v>
      </c>
      <c r="E210" s="224">
        <v>26</v>
      </c>
      <c r="F210" s="224">
        <v>43.152059999999999</v>
      </c>
      <c r="G210" s="224">
        <v>-116.148</v>
      </c>
      <c r="H210" s="295">
        <v>2</v>
      </c>
      <c r="I210" s="223" t="s">
        <v>285</v>
      </c>
      <c r="K210" s="199" t="s">
        <v>1801</v>
      </c>
      <c r="L210" s="99" t="s">
        <v>304</v>
      </c>
      <c r="M210" s="99">
        <v>2</v>
      </c>
      <c r="N210" s="200" t="str">
        <f t="shared" si="6"/>
        <v>B</v>
      </c>
    </row>
    <row r="211" spans="1:14" s="177" customFormat="1" x14ac:dyDescent="0.25">
      <c r="A211" s="92">
        <v>563</v>
      </c>
      <c r="B211" s="221">
        <v>45866</v>
      </c>
      <c r="C211" s="222">
        <v>0.46527777777777779</v>
      </c>
      <c r="D211" s="222">
        <v>0.48958333333333331</v>
      </c>
      <c r="E211" s="99">
        <v>10</v>
      </c>
      <c r="F211" s="99">
        <v>43.237040899999997</v>
      </c>
      <c r="G211" s="99">
        <v>-116.04503459999999</v>
      </c>
      <c r="H211" s="295">
        <v>0.5</v>
      </c>
      <c r="I211" s="223" t="s">
        <v>285</v>
      </c>
      <c r="K211" s="199" t="s">
        <v>1802</v>
      </c>
      <c r="L211" s="99" t="s">
        <v>304</v>
      </c>
      <c r="M211" s="99">
        <v>0.5</v>
      </c>
      <c r="N211" s="200" t="str">
        <f t="shared" si="6"/>
        <v>B</v>
      </c>
    </row>
    <row r="212" spans="1:14" s="177" customFormat="1" x14ac:dyDescent="0.25">
      <c r="A212" s="92">
        <v>564</v>
      </c>
      <c r="B212" s="221">
        <v>45866</v>
      </c>
      <c r="C212" s="222">
        <v>0.53055555555555556</v>
      </c>
      <c r="D212" s="222">
        <v>0.54166666666666663</v>
      </c>
      <c r="E212" s="99">
        <v>10</v>
      </c>
      <c r="F212" s="99">
        <v>43.243159499999997</v>
      </c>
      <c r="G212" s="99">
        <v>-116.0380413</v>
      </c>
      <c r="H212" s="295">
        <v>0.25</v>
      </c>
      <c r="I212" s="223" t="s">
        <v>285</v>
      </c>
      <c r="K212" s="199" t="s">
        <v>1803</v>
      </c>
      <c r="L212" s="99" t="s">
        <v>304</v>
      </c>
      <c r="M212" s="99">
        <v>0.25</v>
      </c>
      <c r="N212" s="200" t="str">
        <f t="shared" si="6"/>
        <v>A</v>
      </c>
    </row>
    <row r="213" spans="1:14" s="177" customFormat="1" x14ac:dyDescent="0.25">
      <c r="A213" s="225">
        <v>565</v>
      </c>
      <c r="B213" s="226">
        <v>45866</v>
      </c>
      <c r="C213" s="227">
        <v>0.53749999999999998</v>
      </c>
      <c r="D213" s="227">
        <v>0.55208333333333337</v>
      </c>
      <c r="E213" s="224">
        <v>26</v>
      </c>
      <c r="F213" s="224">
        <v>43.157330899999998</v>
      </c>
      <c r="G213" s="224">
        <v>-116.1427582</v>
      </c>
      <c r="H213" s="295">
        <v>1</v>
      </c>
      <c r="I213" s="223" t="s">
        <v>285</v>
      </c>
      <c r="K213" s="199" t="s">
        <v>1804</v>
      </c>
      <c r="L213" s="99" t="s">
        <v>304</v>
      </c>
      <c r="M213" s="99">
        <v>1</v>
      </c>
      <c r="N213" s="200" t="str">
        <f t="shared" si="6"/>
        <v>B</v>
      </c>
    </row>
    <row r="214" spans="1:14" s="177" customFormat="1" x14ac:dyDescent="0.25">
      <c r="A214" s="225">
        <v>566</v>
      </c>
      <c r="B214" s="226">
        <v>45866</v>
      </c>
      <c r="C214" s="227">
        <v>0.57291666666666663</v>
      </c>
      <c r="D214" s="227">
        <v>0.5756944444444444</v>
      </c>
      <c r="E214" s="224">
        <v>26</v>
      </c>
      <c r="F214" s="224">
        <v>43.157450300000001</v>
      </c>
      <c r="G214" s="224">
        <v>-116.1418709</v>
      </c>
      <c r="H214" s="295">
        <v>0.25</v>
      </c>
      <c r="I214" s="223" t="s">
        <v>285</v>
      </c>
      <c r="K214" s="199" t="s">
        <v>1805</v>
      </c>
      <c r="L214" s="99" t="s">
        <v>304</v>
      </c>
      <c r="M214" s="99">
        <v>0.25</v>
      </c>
      <c r="N214" s="200" t="str">
        <f t="shared" si="6"/>
        <v>A</v>
      </c>
    </row>
    <row r="215" spans="1:14" s="177" customFormat="1" x14ac:dyDescent="0.25">
      <c r="A215" s="225">
        <v>567</v>
      </c>
      <c r="B215" s="226">
        <v>45866</v>
      </c>
      <c r="C215" s="227">
        <v>0.61875000000000002</v>
      </c>
      <c r="D215" s="227">
        <v>0.62777777777777777</v>
      </c>
      <c r="E215" s="224">
        <v>10</v>
      </c>
      <c r="F215" s="224">
        <v>43.238084700000002</v>
      </c>
      <c r="G215" s="224">
        <v>-116.0331454</v>
      </c>
      <c r="H215" s="295">
        <v>0.5</v>
      </c>
      <c r="I215" s="223" t="s">
        <v>285</v>
      </c>
      <c r="K215" s="199" t="s">
        <v>1806</v>
      </c>
      <c r="L215" s="99" t="s">
        <v>304</v>
      </c>
      <c r="M215" s="99">
        <v>0.5</v>
      </c>
      <c r="N215" s="200" t="str">
        <f t="shared" si="6"/>
        <v>B</v>
      </c>
    </row>
    <row r="216" spans="1:14" s="177" customFormat="1" x14ac:dyDescent="0.25">
      <c r="A216" s="92">
        <v>568</v>
      </c>
      <c r="B216" s="221">
        <v>45866</v>
      </c>
      <c r="C216" s="222">
        <v>0.65902777777777777</v>
      </c>
      <c r="D216" s="222">
        <v>0.67569444444444449</v>
      </c>
      <c r="E216" s="99">
        <v>10</v>
      </c>
      <c r="F216" s="99">
        <v>43.245188599999999</v>
      </c>
      <c r="G216" s="99">
        <v>-116.02457080000001</v>
      </c>
      <c r="H216" s="295">
        <v>0.25</v>
      </c>
      <c r="I216" s="223" t="s">
        <v>285</v>
      </c>
      <c r="K216" s="199" t="s">
        <v>1807</v>
      </c>
      <c r="L216" s="99" t="s">
        <v>304</v>
      </c>
      <c r="M216" s="99">
        <v>0.25</v>
      </c>
      <c r="N216" s="200" t="str">
        <f t="shared" si="6"/>
        <v>A</v>
      </c>
    </row>
    <row r="217" spans="1:14" s="177" customFormat="1" x14ac:dyDescent="0.25">
      <c r="A217" s="225">
        <v>569</v>
      </c>
      <c r="B217" s="226">
        <v>45866</v>
      </c>
      <c r="C217" s="227">
        <v>0.67291666666666672</v>
      </c>
      <c r="D217" s="227">
        <v>0.69513888888888886</v>
      </c>
      <c r="E217" s="224">
        <v>10</v>
      </c>
      <c r="F217" s="224">
        <v>43.235771999999997</v>
      </c>
      <c r="G217" s="224">
        <v>-116.05341</v>
      </c>
      <c r="H217" s="295">
        <v>4</v>
      </c>
      <c r="I217" s="223" t="s">
        <v>285</v>
      </c>
      <c r="K217" s="199" t="s">
        <v>1808</v>
      </c>
      <c r="L217" s="99" t="s">
        <v>304</v>
      </c>
      <c r="M217" s="99">
        <v>4</v>
      </c>
      <c r="N217" s="200" t="str">
        <f t="shared" si="6"/>
        <v>B</v>
      </c>
    </row>
    <row r="218" spans="1:14" s="177" customFormat="1" x14ac:dyDescent="0.25">
      <c r="A218" s="225">
        <v>571</v>
      </c>
      <c r="B218" s="226">
        <v>45866</v>
      </c>
      <c r="C218" s="227">
        <v>0.70416666666666672</v>
      </c>
      <c r="D218" s="227">
        <v>0.71458333333333335</v>
      </c>
      <c r="E218" s="224">
        <v>10</v>
      </c>
      <c r="F218" s="224">
        <v>43.241017800000002</v>
      </c>
      <c r="G218" s="224">
        <v>-116.0286157</v>
      </c>
      <c r="H218" s="295">
        <v>0.5</v>
      </c>
      <c r="I218" s="223" t="s">
        <v>285</v>
      </c>
      <c r="K218" s="199" t="s">
        <v>1809</v>
      </c>
      <c r="L218" s="99" t="s">
        <v>304</v>
      </c>
      <c r="M218" s="99">
        <v>0.5</v>
      </c>
      <c r="N218" s="200" t="str">
        <f t="shared" si="6"/>
        <v>B</v>
      </c>
    </row>
    <row r="219" spans="1:14" s="177" customFormat="1" x14ac:dyDescent="0.25">
      <c r="A219" s="92">
        <v>572</v>
      </c>
      <c r="B219" s="221">
        <v>45866</v>
      </c>
      <c r="C219" s="222">
        <v>0.68819444444444444</v>
      </c>
      <c r="D219" s="222">
        <v>0.69861111111111107</v>
      </c>
      <c r="E219" s="99">
        <v>26</v>
      </c>
      <c r="F219" s="99">
        <v>43.1618694</v>
      </c>
      <c r="G219" s="99">
        <v>-116.1343916</v>
      </c>
      <c r="H219" s="295">
        <v>4</v>
      </c>
      <c r="I219" s="223" t="s">
        <v>285</v>
      </c>
      <c r="K219" s="199" t="s">
        <v>1810</v>
      </c>
      <c r="L219" s="99" t="s">
        <v>304</v>
      </c>
      <c r="M219" s="99">
        <v>4</v>
      </c>
      <c r="N219" s="200" t="str">
        <f t="shared" si="6"/>
        <v>B</v>
      </c>
    </row>
    <row r="220" spans="1:14" s="177" customFormat="1" x14ac:dyDescent="0.25">
      <c r="A220" s="92">
        <v>574</v>
      </c>
      <c r="B220" s="221">
        <v>45866</v>
      </c>
      <c r="C220" s="222">
        <v>0.82361111111111107</v>
      </c>
      <c r="D220" s="222">
        <v>0.8305555555555556</v>
      </c>
      <c r="E220" s="99">
        <v>10</v>
      </c>
      <c r="F220" s="99">
        <v>43.237679499999999</v>
      </c>
      <c r="G220" s="99">
        <v>-116.04493840000001</v>
      </c>
      <c r="H220" s="295">
        <v>2</v>
      </c>
      <c r="I220" s="223" t="s">
        <v>285</v>
      </c>
      <c r="K220" s="199" t="s">
        <v>1811</v>
      </c>
      <c r="L220" s="99" t="s">
        <v>304</v>
      </c>
      <c r="M220" s="99">
        <v>2</v>
      </c>
      <c r="N220" s="200" t="str">
        <f t="shared" si="6"/>
        <v>B</v>
      </c>
    </row>
    <row r="221" spans="1:14" s="177" customFormat="1" x14ac:dyDescent="0.25">
      <c r="A221" s="225">
        <v>575</v>
      </c>
      <c r="B221" s="226">
        <v>45866</v>
      </c>
      <c r="C221" s="227">
        <v>0.83333333333333337</v>
      </c>
      <c r="D221" s="227">
        <v>0.83611111111111114</v>
      </c>
      <c r="E221" s="224">
        <v>10</v>
      </c>
      <c r="F221" s="224">
        <v>43.242873000000003</v>
      </c>
      <c r="G221" s="224">
        <v>-116.0403738</v>
      </c>
      <c r="H221" s="295">
        <v>0.25</v>
      </c>
      <c r="I221" s="223" t="s">
        <v>285</v>
      </c>
      <c r="K221" s="199" t="s">
        <v>1812</v>
      </c>
      <c r="L221" s="99" t="s">
        <v>304</v>
      </c>
      <c r="M221" s="99">
        <v>0.25</v>
      </c>
      <c r="N221" s="200" t="str">
        <f t="shared" si="6"/>
        <v>A</v>
      </c>
    </row>
    <row r="222" spans="1:14" s="177" customFormat="1" x14ac:dyDescent="0.25">
      <c r="A222" s="225">
        <v>576</v>
      </c>
      <c r="B222" s="226">
        <v>45866</v>
      </c>
      <c r="C222" s="227">
        <v>0.87430555555555556</v>
      </c>
      <c r="D222" s="227">
        <v>0.88680555555555551</v>
      </c>
      <c r="E222" s="224">
        <v>5</v>
      </c>
      <c r="F222" s="224">
        <v>43.278915699999999</v>
      </c>
      <c r="G222" s="224">
        <v>-116.0987062</v>
      </c>
      <c r="H222" s="295">
        <v>0.25</v>
      </c>
      <c r="I222" s="223" t="s">
        <v>285</v>
      </c>
      <c r="K222" s="199" t="s">
        <v>1813</v>
      </c>
      <c r="L222" s="99" t="s">
        <v>304</v>
      </c>
      <c r="M222" s="99">
        <v>0.25</v>
      </c>
      <c r="N222" s="200" t="str">
        <f t="shared" si="6"/>
        <v>A</v>
      </c>
    </row>
    <row r="223" spans="1:14" s="177" customFormat="1" x14ac:dyDescent="0.25">
      <c r="A223" s="225">
        <v>579</v>
      </c>
      <c r="B223" s="226">
        <v>45866</v>
      </c>
      <c r="C223" s="227">
        <v>0.9</v>
      </c>
      <c r="D223" s="227">
        <v>0.90555555555555556</v>
      </c>
      <c r="E223" s="224">
        <v>5</v>
      </c>
      <c r="F223" s="224">
        <v>43.278476300000001</v>
      </c>
      <c r="G223" s="224">
        <v>-116.09894679999999</v>
      </c>
      <c r="H223" s="295">
        <v>0.25</v>
      </c>
      <c r="I223" s="223" t="s">
        <v>285</v>
      </c>
      <c r="K223" s="199" t="s">
        <v>1814</v>
      </c>
      <c r="L223" s="99" t="s">
        <v>304</v>
      </c>
      <c r="M223" s="99">
        <v>0.25</v>
      </c>
      <c r="N223" s="200" t="str">
        <f t="shared" si="6"/>
        <v>A</v>
      </c>
    </row>
    <row r="224" spans="1:14" s="177" customFormat="1" x14ac:dyDescent="0.25">
      <c r="A224" s="92">
        <v>580</v>
      </c>
      <c r="B224" s="221">
        <v>45866</v>
      </c>
      <c r="C224" s="222">
        <v>0.9243055555555556</v>
      </c>
      <c r="D224" s="222">
        <v>0.93333333333333335</v>
      </c>
      <c r="E224" s="99">
        <v>5</v>
      </c>
      <c r="F224" s="99">
        <v>43.278316400000001</v>
      </c>
      <c r="G224" s="99">
        <v>-116.0980742</v>
      </c>
      <c r="H224" s="295">
        <v>0.25</v>
      </c>
      <c r="I224" s="223" t="s">
        <v>285</v>
      </c>
      <c r="K224" s="199" t="s">
        <v>1815</v>
      </c>
      <c r="L224" s="99" t="s">
        <v>304</v>
      </c>
      <c r="M224" s="99">
        <v>0.25</v>
      </c>
      <c r="N224" s="200" t="str">
        <f t="shared" si="6"/>
        <v>A</v>
      </c>
    </row>
    <row r="225" spans="1:14" s="177" customFormat="1" x14ac:dyDescent="0.25">
      <c r="A225" s="225">
        <v>581</v>
      </c>
      <c r="B225" s="226">
        <v>45866</v>
      </c>
      <c r="C225" s="227">
        <v>0.95208333333333328</v>
      </c>
      <c r="D225" s="227">
        <v>0.96388888888888891</v>
      </c>
      <c r="E225" s="224">
        <v>5</v>
      </c>
      <c r="F225" s="224">
        <v>43.2779095</v>
      </c>
      <c r="G225" s="224">
        <v>-116.0978583</v>
      </c>
      <c r="H225" s="295">
        <v>1</v>
      </c>
      <c r="I225" s="223" t="s">
        <v>285</v>
      </c>
      <c r="K225" s="199" t="s">
        <v>1816</v>
      </c>
      <c r="L225" s="99" t="s">
        <v>304</v>
      </c>
      <c r="M225" s="99">
        <v>1</v>
      </c>
      <c r="N225" s="200" t="str">
        <f t="shared" si="6"/>
        <v>B</v>
      </c>
    </row>
    <row r="226" spans="1:14" s="177" customFormat="1" x14ac:dyDescent="0.25">
      <c r="A226" s="92">
        <v>582</v>
      </c>
      <c r="B226" s="221">
        <v>45866</v>
      </c>
      <c r="C226" s="222">
        <v>0.96388888888888891</v>
      </c>
      <c r="D226" s="222">
        <v>0</v>
      </c>
      <c r="E226" s="99">
        <v>5</v>
      </c>
      <c r="F226" s="99">
        <v>43.275749699999999</v>
      </c>
      <c r="G226" s="99">
        <v>-116.096892</v>
      </c>
      <c r="H226" s="295">
        <v>3</v>
      </c>
      <c r="I226" s="223" t="s">
        <v>285</v>
      </c>
      <c r="K226" s="199" t="s">
        <v>1817</v>
      </c>
      <c r="L226" s="99" t="s">
        <v>304</v>
      </c>
      <c r="M226" s="99">
        <v>3</v>
      </c>
      <c r="N226" s="200" t="str">
        <f t="shared" si="6"/>
        <v>B</v>
      </c>
    </row>
    <row r="227" spans="1:14" s="177" customFormat="1" x14ac:dyDescent="0.25">
      <c r="A227" s="92">
        <v>583</v>
      </c>
      <c r="B227" s="221">
        <v>45867</v>
      </c>
      <c r="C227" s="222">
        <v>1.3888888888888889E-3</v>
      </c>
      <c r="D227" s="222">
        <v>1.1111111111111112E-2</v>
      </c>
      <c r="E227" s="99">
        <v>26</v>
      </c>
      <c r="F227" s="99">
        <v>43.155427299999999</v>
      </c>
      <c r="G227" s="99">
        <v>-116.1374836</v>
      </c>
      <c r="H227" s="295">
        <v>1</v>
      </c>
      <c r="I227" s="223" t="s">
        <v>285</v>
      </c>
      <c r="K227" s="199" t="s">
        <v>1818</v>
      </c>
      <c r="L227" s="99" t="s">
        <v>304</v>
      </c>
      <c r="M227" s="99">
        <v>1</v>
      </c>
      <c r="N227" s="200" t="str">
        <f t="shared" si="6"/>
        <v>B</v>
      </c>
    </row>
    <row r="228" spans="1:14" s="177" customFormat="1" x14ac:dyDescent="0.25">
      <c r="A228" s="302">
        <v>585</v>
      </c>
      <c r="B228" s="303">
        <v>45867</v>
      </c>
      <c r="C228" s="304">
        <v>9.375E-2</v>
      </c>
      <c r="D228" s="304">
        <v>0.18611111111111112</v>
      </c>
      <c r="E228" s="305">
        <v>26</v>
      </c>
      <c r="F228" s="305">
        <v>43.166933</v>
      </c>
      <c r="G228" s="305">
        <v>-116.11161</v>
      </c>
      <c r="H228" s="306">
        <v>100</v>
      </c>
      <c r="I228" s="307" t="s">
        <v>285</v>
      </c>
      <c r="J228" s="308"/>
      <c r="K228" s="309" t="s">
        <v>1819</v>
      </c>
      <c r="L228" s="310" t="s">
        <v>304</v>
      </c>
      <c r="M228" s="310">
        <v>100</v>
      </c>
      <c r="N228" s="311" t="str">
        <f t="shared" si="6"/>
        <v>D</v>
      </c>
    </row>
    <row r="229" spans="1:14" s="177" customFormat="1" x14ac:dyDescent="0.25">
      <c r="A229" s="225">
        <v>589</v>
      </c>
      <c r="B229" s="226">
        <v>45867</v>
      </c>
      <c r="C229" s="227">
        <v>0.4236111111111111</v>
      </c>
      <c r="D229" s="227">
        <v>0.42777777777777776</v>
      </c>
      <c r="E229" s="224">
        <v>10</v>
      </c>
      <c r="F229" s="224">
        <v>43.241350599999997</v>
      </c>
      <c r="G229" s="224">
        <v>-116.0435262</v>
      </c>
      <c r="H229" s="295">
        <v>0.25</v>
      </c>
      <c r="I229" s="223" t="s">
        <v>285</v>
      </c>
      <c r="K229" s="199" t="s">
        <v>1820</v>
      </c>
      <c r="L229" s="99" t="s">
        <v>304</v>
      </c>
      <c r="M229" s="99">
        <v>0.25</v>
      </c>
      <c r="N229" s="200" t="str">
        <f t="shared" si="6"/>
        <v>A</v>
      </c>
    </row>
    <row r="230" spans="1:14" s="177" customFormat="1" x14ac:dyDescent="0.25">
      <c r="A230" s="225">
        <v>590</v>
      </c>
      <c r="B230" s="226">
        <v>45867</v>
      </c>
      <c r="C230" s="227">
        <v>0.4777777777777778</v>
      </c>
      <c r="D230" s="227">
        <v>0.53680555555555554</v>
      </c>
      <c r="E230" s="224">
        <v>26</v>
      </c>
      <c r="F230" s="224">
        <v>43.160315300000001</v>
      </c>
      <c r="G230" s="224">
        <v>-116.1301452</v>
      </c>
      <c r="H230" s="295">
        <v>10</v>
      </c>
      <c r="I230" s="223" t="s">
        <v>285</v>
      </c>
      <c r="K230" s="199" t="s">
        <v>1821</v>
      </c>
      <c r="L230" s="99" t="s">
        <v>304</v>
      </c>
      <c r="M230" s="99">
        <v>10</v>
      </c>
      <c r="N230" s="200" t="str">
        <f t="shared" si="6"/>
        <v>C</v>
      </c>
    </row>
    <row r="231" spans="1:14" s="177" customFormat="1" x14ac:dyDescent="0.25">
      <c r="A231" s="92">
        <v>591</v>
      </c>
      <c r="B231" s="221">
        <v>45867</v>
      </c>
      <c r="C231" s="222">
        <v>0.47916666666666669</v>
      </c>
      <c r="D231" s="222">
        <v>0.48888888888888887</v>
      </c>
      <c r="E231" s="99">
        <v>10</v>
      </c>
      <c r="F231" s="99">
        <v>43.236844599999998</v>
      </c>
      <c r="G231" s="99">
        <v>-116.0334483</v>
      </c>
      <c r="H231" s="295">
        <v>0.25</v>
      </c>
      <c r="I231" s="223" t="s">
        <v>285</v>
      </c>
      <c r="K231" s="199" t="s">
        <v>1822</v>
      </c>
      <c r="L231" s="99" t="s">
        <v>304</v>
      </c>
      <c r="M231" s="99">
        <v>0.25</v>
      </c>
      <c r="N231" s="200" t="str">
        <f t="shared" si="6"/>
        <v>A</v>
      </c>
    </row>
    <row r="232" spans="1:14" s="177" customFormat="1" x14ac:dyDescent="0.25">
      <c r="A232" s="92">
        <v>592</v>
      </c>
      <c r="B232" s="221">
        <v>45867</v>
      </c>
      <c r="C232" s="222">
        <v>0.48125000000000001</v>
      </c>
      <c r="D232" s="222">
        <v>0.50694444444444442</v>
      </c>
      <c r="E232" s="99">
        <v>5</v>
      </c>
      <c r="F232" s="99">
        <v>43.267858599999997</v>
      </c>
      <c r="G232" s="99">
        <v>-116.0999291</v>
      </c>
      <c r="H232" s="295">
        <v>4</v>
      </c>
      <c r="I232" s="223" t="s">
        <v>285</v>
      </c>
      <c r="K232" s="199" t="s">
        <v>1823</v>
      </c>
      <c r="L232" s="99" t="s">
        <v>304</v>
      </c>
      <c r="M232" s="99">
        <v>4</v>
      </c>
      <c r="N232" s="200" t="str">
        <f t="shared" si="6"/>
        <v>B</v>
      </c>
    </row>
    <row r="233" spans="1:14" s="177" customFormat="1" x14ac:dyDescent="0.25">
      <c r="A233" s="225">
        <v>593</v>
      </c>
      <c r="B233" s="226">
        <v>45867</v>
      </c>
      <c r="C233" s="227">
        <v>0.51111111111111107</v>
      </c>
      <c r="D233" s="227">
        <v>0.51736111111111116</v>
      </c>
      <c r="E233" s="224">
        <v>10</v>
      </c>
      <c r="F233" s="224">
        <v>43.237616299999999</v>
      </c>
      <c r="G233" s="224">
        <v>-116.0341997</v>
      </c>
      <c r="H233" s="295">
        <v>0.25</v>
      </c>
      <c r="I233" s="223" t="s">
        <v>285</v>
      </c>
      <c r="K233" s="199" t="s">
        <v>1824</v>
      </c>
      <c r="L233" s="99" t="s">
        <v>304</v>
      </c>
      <c r="M233" s="99">
        <v>0.25</v>
      </c>
      <c r="N233" s="200" t="str">
        <f t="shared" si="6"/>
        <v>A</v>
      </c>
    </row>
    <row r="234" spans="1:14" s="177" customFormat="1" x14ac:dyDescent="0.25">
      <c r="A234" s="225">
        <v>594</v>
      </c>
      <c r="B234" s="226">
        <v>45867</v>
      </c>
      <c r="C234" s="227">
        <v>0.55069444444444449</v>
      </c>
      <c r="D234" s="227">
        <v>0.58194444444444449</v>
      </c>
      <c r="E234" s="224">
        <v>10</v>
      </c>
      <c r="F234" s="224">
        <v>43.237556099999999</v>
      </c>
      <c r="G234" s="224">
        <v>-116.0377354</v>
      </c>
      <c r="H234" s="295">
        <v>1.25</v>
      </c>
      <c r="I234" s="223" t="s">
        <v>285</v>
      </c>
      <c r="K234" s="199" t="s">
        <v>1825</v>
      </c>
      <c r="L234" s="99" t="s">
        <v>304</v>
      </c>
      <c r="M234" s="99">
        <v>1.25</v>
      </c>
      <c r="N234" s="200" t="str">
        <f t="shared" si="6"/>
        <v>B</v>
      </c>
    </row>
    <row r="235" spans="1:14" s="177" customFormat="1" x14ac:dyDescent="0.25">
      <c r="A235" s="225">
        <v>595</v>
      </c>
      <c r="B235" s="226">
        <v>45867</v>
      </c>
      <c r="C235" s="227">
        <v>0.6020833333333333</v>
      </c>
      <c r="D235" s="227">
        <v>0.6069444444444444</v>
      </c>
      <c r="E235" s="224">
        <v>10</v>
      </c>
      <c r="F235" s="224">
        <v>43.2372418</v>
      </c>
      <c r="G235" s="224">
        <v>-116.0410534</v>
      </c>
      <c r="H235" s="295">
        <v>0.25</v>
      </c>
      <c r="I235" s="223" t="s">
        <v>285</v>
      </c>
      <c r="K235" s="199" t="s">
        <v>1826</v>
      </c>
      <c r="L235" s="99" t="s">
        <v>304</v>
      </c>
      <c r="M235" s="99">
        <v>0.25</v>
      </c>
      <c r="N235" s="200" t="str">
        <f t="shared" si="6"/>
        <v>A</v>
      </c>
    </row>
    <row r="236" spans="1:14" s="177" customFormat="1" x14ac:dyDescent="0.25">
      <c r="A236" s="92">
        <v>596</v>
      </c>
      <c r="B236" s="221">
        <v>45867</v>
      </c>
      <c r="C236" s="222">
        <v>0.65208333333333335</v>
      </c>
      <c r="D236" s="222">
        <v>0.65972222222222221</v>
      </c>
      <c r="E236" s="99">
        <v>10</v>
      </c>
      <c r="F236" s="99">
        <v>43.241453800000002</v>
      </c>
      <c r="G236" s="99">
        <v>-116.031183</v>
      </c>
      <c r="H236" s="295">
        <v>0.25</v>
      </c>
      <c r="I236" s="223" t="s">
        <v>285</v>
      </c>
      <c r="K236" s="199" t="s">
        <v>1827</v>
      </c>
      <c r="L236" s="99" t="s">
        <v>304</v>
      </c>
      <c r="M236" s="99">
        <v>0.25</v>
      </c>
      <c r="N236" s="200" t="str">
        <f t="shared" si="6"/>
        <v>A</v>
      </c>
    </row>
    <row r="237" spans="1:14" s="177" customFormat="1" x14ac:dyDescent="0.25">
      <c r="A237" s="225">
        <v>597</v>
      </c>
      <c r="B237" s="226">
        <v>45867</v>
      </c>
      <c r="C237" s="227">
        <v>0.70138888888888884</v>
      </c>
      <c r="D237" s="227">
        <v>0.70763888888888893</v>
      </c>
      <c r="E237" s="224">
        <v>26</v>
      </c>
      <c r="F237" s="224">
        <v>43.155865900000002</v>
      </c>
      <c r="G237" s="224">
        <v>-116.1479568</v>
      </c>
      <c r="H237" s="295">
        <v>0.25</v>
      </c>
      <c r="I237" s="223" t="s">
        <v>285</v>
      </c>
      <c r="K237" s="199" t="s">
        <v>1828</v>
      </c>
      <c r="L237" s="99" t="s">
        <v>304</v>
      </c>
      <c r="M237" s="99">
        <v>0.25</v>
      </c>
      <c r="N237" s="200" t="str">
        <f t="shared" si="6"/>
        <v>A</v>
      </c>
    </row>
    <row r="238" spans="1:14" s="177" customFormat="1" x14ac:dyDescent="0.25">
      <c r="A238" s="225">
        <v>598</v>
      </c>
      <c r="B238" s="226">
        <v>45867</v>
      </c>
      <c r="C238" s="227">
        <v>0.71111111111111114</v>
      </c>
      <c r="D238" s="227">
        <v>0.74513888888888891</v>
      </c>
      <c r="E238" s="224">
        <v>10</v>
      </c>
      <c r="F238" s="224">
        <v>43.236627900000002</v>
      </c>
      <c r="G238" s="224">
        <v>-116.04624800000001</v>
      </c>
      <c r="H238" s="295">
        <v>2</v>
      </c>
      <c r="I238" s="223" t="s">
        <v>285</v>
      </c>
      <c r="K238" s="199" t="s">
        <v>1829</v>
      </c>
      <c r="L238" s="99" t="s">
        <v>304</v>
      </c>
      <c r="M238" s="99">
        <v>2</v>
      </c>
      <c r="N238" s="200" t="str">
        <f t="shared" si="6"/>
        <v>B</v>
      </c>
    </row>
    <row r="239" spans="1:14" s="177" customFormat="1" x14ac:dyDescent="0.25">
      <c r="A239" s="92">
        <v>599</v>
      </c>
      <c r="B239" s="221">
        <v>45867</v>
      </c>
      <c r="C239" s="222">
        <v>0.85833333333333328</v>
      </c>
      <c r="D239" s="222">
        <v>0.86875000000000002</v>
      </c>
      <c r="E239" s="99">
        <v>26</v>
      </c>
      <c r="F239" s="99">
        <v>43.1617599</v>
      </c>
      <c r="G239" s="99">
        <v>-116.136595</v>
      </c>
      <c r="H239" s="295">
        <v>1</v>
      </c>
      <c r="I239" s="223" t="s">
        <v>285</v>
      </c>
      <c r="K239" s="199" t="s">
        <v>1830</v>
      </c>
      <c r="L239" s="99" t="s">
        <v>304</v>
      </c>
      <c r="M239" s="99">
        <v>1</v>
      </c>
      <c r="N239" s="200" t="str">
        <f t="shared" si="6"/>
        <v>B</v>
      </c>
    </row>
    <row r="240" spans="1:14" s="177" customFormat="1" x14ac:dyDescent="0.25">
      <c r="A240" s="92">
        <v>600</v>
      </c>
      <c r="B240" s="221">
        <v>45867</v>
      </c>
      <c r="C240" s="222">
        <v>0.88194444444444442</v>
      </c>
      <c r="D240" s="222">
        <v>0.91527777777777775</v>
      </c>
      <c r="E240" s="99">
        <v>26</v>
      </c>
      <c r="F240" s="99">
        <v>43.161819280000003</v>
      </c>
      <c r="G240" s="99">
        <v>-116.120726</v>
      </c>
      <c r="H240" s="295">
        <v>6</v>
      </c>
      <c r="I240" s="223" t="s">
        <v>285</v>
      </c>
      <c r="K240" s="199" t="s">
        <v>1831</v>
      </c>
      <c r="L240" s="99" t="s">
        <v>304</v>
      </c>
      <c r="M240" s="99">
        <v>6</v>
      </c>
      <c r="N240" s="200" t="str">
        <f t="shared" si="6"/>
        <v>B</v>
      </c>
    </row>
    <row r="241" spans="1:16" s="177" customFormat="1" x14ac:dyDescent="0.25">
      <c r="A241" s="225">
        <v>603</v>
      </c>
      <c r="B241" s="226">
        <v>45867</v>
      </c>
      <c r="C241" s="227">
        <v>0.93888888888888888</v>
      </c>
      <c r="D241" s="227">
        <v>0.95138888888888884</v>
      </c>
      <c r="E241" s="224">
        <v>10</v>
      </c>
      <c r="F241" s="224">
        <v>43.241959299999998</v>
      </c>
      <c r="G241" s="224">
        <v>-116.02708579999999</v>
      </c>
      <c r="H241" s="295">
        <v>1</v>
      </c>
      <c r="I241" s="223" t="s">
        <v>285</v>
      </c>
      <c r="K241" s="199" t="s">
        <v>1832</v>
      </c>
      <c r="L241" s="99" t="s">
        <v>304</v>
      </c>
      <c r="M241" s="99">
        <v>1</v>
      </c>
      <c r="N241" s="200" t="str">
        <f t="shared" si="6"/>
        <v>B</v>
      </c>
    </row>
    <row r="242" spans="1:16" s="177" customFormat="1" x14ac:dyDescent="0.25">
      <c r="A242" s="225">
        <v>604</v>
      </c>
      <c r="B242" s="226">
        <v>45867</v>
      </c>
      <c r="C242" s="227">
        <v>0.95625000000000004</v>
      </c>
      <c r="D242" s="227">
        <v>0.95972222222222225</v>
      </c>
      <c r="E242" s="224">
        <v>10</v>
      </c>
      <c r="F242" s="224">
        <v>43.236926500000003</v>
      </c>
      <c r="G242" s="224">
        <v>-116.0378192</v>
      </c>
      <c r="H242" s="295">
        <v>0.25</v>
      </c>
      <c r="I242" s="223" t="s">
        <v>285</v>
      </c>
      <c r="K242" s="199" t="s">
        <v>1833</v>
      </c>
      <c r="L242" s="99" t="s">
        <v>304</v>
      </c>
      <c r="M242" s="99">
        <v>0.25</v>
      </c>
      <c r="N242" s="200" t="str">
        <f t="shared" si="6"/>
        <v>A</v>
      </c>
    </row>
    <row r="243" spans="1:16" s="177" customFormat="1" x14ac:dyDescent="0.25">
      <c r="A243" s="225">
        <v>605</v>
      </c>
      <c r="B243" s="226">
        <v>45867</v>
      </c>
      <c r="C243" s="227">
        <v>0.95416666666666672</v>
      </c>
      <c r="D243" s="227">
        <v>0.9555555555555556</v>
      </c>
      <c r="E243" s="224">
        <v>26</v>
      </c>
      <c r="F243" s="224">
        <v>43.149166100000002</v>
      </c>
      <c r="G243" s="224">
        <v>-116.1527725</v>
      </c>
      <c r="H243" s="295">
        <v>0.25</v>
      </c>
      <c r="I243" s="223" t="s">
        <v>285</v>
      </c>
      <c r="K243" s="199" t="s">
        <v>1834</v>
      </c>
      <c r="L243" s="99" t="s">
        <v>304</v>
      </c>
      <c r="M243" s="99">
        <v>0.25</v>
      </c>
      <c r="N243" s="200" t="str">
        <f t="shared" si="6"/>
        <v>A</v>
      </c>
    </row>
    <row r="244" spans="1:16" s="177" customFormat="1" x14ac:dyDescent="0.25">
      <c r="A244" s="92">
        <v>606</v>
      </c>
      <c r="B244" s="221">
        <v>45868</v>
      </c>
      <c r="C244" s="222">
        <v>9.0277777777777769E-3</v>
      </c>
      <c r="D244" s="222">
        <v>0.13819444444444445</v>
      </c>
      <c r="E244" s="99">
        <v>26</v>
      </c>
      <c r="F244" s="99">
        <v>43.168072899999999</v>
      </c>
      <c r="G244" s="99">
        <v>-116.12718099999999</v>
      </c>
      <c r="H244" s="295">
        <v>300</v>
      </c>
      <c r="I244" s="223" t="s">
        <v>285</v>
      </c>
      <c r="K244" s="199" t="s">
        <v>1835</v>
      </c>
      <c r="L244" s="99" t="s">
        <v>304</v>
      </c>
      <c r="M244" s="99">
        <v>300</v>
      </c>
      <c r="N244" s="200" t="str">
        <f t="shared" si="6"/>
        <v>E</v>
      </c>
    </row>
    <row r="245" spans="1:16" s="177" customFormat="1" x14ac:dyDescent="0.25">
      <c r="A245" s="225">
        <v>607</v>
      </c>
      <c r="B245" s="226">
        <v>45868</v>
      </c>
      <c r="C245" s="227">
        <v>0.23819444444444443</v>
      </c>
      <c r="D245" s="227">
        <v>0.24305555555555555</v>
      </c>
      <c r="E245" s="224">
        <v>26</v>
      </c>
      <c r="F245" s="224">
        <v>43.152953500000002</v>
      </c>
      <c r="G245" s="224">
        <v>-116.1474315</v>
      </c>
      <c r="H245" s="295">
        <v>0.25</v>
      </c>
      <c r="I245" s="223" t="s">
        <v>285</v>
      </c>
      <c r="K245" s="199" t="s">
        <v>1836</v>
      </c>
      <c r="L245" s="99" t="s">
        <v>304</v>
      </c>
      <c r="M245" s="99">
        <v>0.25</v>
      </c>
      <c r="N245" s="200" t="str">
        <f t="shared" si="6"/>
        <v>A</v>
      </c>
    </row>
    <row r="246" spans="1:16" s="177" customFormat="1" x14ac:dyDescent="0.25">
      <c r="A246" s="92">
        <v>608</v>
      </c>
      <c r="B246" s="221">
        <v>45868</v>
      </c>
      <c r="C246" s="222">
        <v>0.3611111111111111</v>
      </c>
      <c r="D246" s="222">
        <v>0.40347222222222223</v>
      </c>
      <c r="E246" s="99">
        <v>26</v>
      </c>
      <c r="F246" s="99">
        <v>43.184209899999999</v>
      </c>
      <c r="G246" s="99">
        <v>-116.1190265</v>
      </c>
      <c r="H246" s="295">
        <v>45</v>
      </c>
      <c r="I246" s="223" t="s">
        <v>285</v>
      </c>
      <c r="K246" s="199" t="s">
        <v>1837</v>
      </c>
      <c r="L246" s="99" t="s">
        <v>304</v>
      </c>
      <c r="M246" s="99">
        <v>45</v>
      </c>
      <c r="N246" s="200" t="str">
        <f t="shared" si="6"/>
        <v>C</v>
      </c>
    </row>
    <row r="247" spans="1:16" s="177" customFormat="1" x14ac:dyDescent="0.25">
      <c r="A247" s="92">
        <v>610</v>
      </c>
      <c r="B247" s="221">
        <v>45868</v>
      </c>
      <c r="C247" s="222">
        <v>0.54513888888888884</v>
      </c>
      <c r="D247" s="222">
        <v>0.55138888888888893</v>
      </c>
      <c r="E247" s="99">
        <v>26</v>
      </c>
      <c r="F247" s="99">
        <v>43.1515457</v>
      </c>
      <c r="G247" s="99">
        <v>-116.1506488</v>
      </c>
      <c r="H247" s="295">
        <v>0.25</v>
      </c>
      <c r="I247" s="223" t="s">
        <v>285</v>
      </c>
      <c r="K247" s="199" t="s">
        <v>1838</v>
      </c>
      <c r="L247" s="99" t="s">
        <v>304</v>
      </c>
      <c r="M247" s="99">
        <v>0.25</v>
      </c>
      <c r="N247" s="200" t="str">
        <f t="shared" si="6"/>
        <v>A</v>
      </c>
    </row>
    <row r="248" spans="1:16" s="177" customFormat="1" x14ac:dyDescent="0.25">
      <c r="A248" s="225">
        <v>611</v>
      </c>
      <c r="B248" s="226">
        <v>45868</v>
      </c>
      <c r="C248" s="227">
        <v>0.62013888888888891</v>
      </c>
      <c r="D248" s="227">
        <v>0.62986111111111109</v>
      </c>
      <c r="E248" s="224">
        <v>26</v>
      </c>
      <c r="F248" s="224">
        <v>43.1509638</v>
      </c>
      <c r="G248" s="224">
        <v>-116.1499067</v>
      </c>
      <c r="H248" s="295">
        <v>0.5</v>
      </c>
      <c r="I248" s="223" t="s">
        <v>285</v>
      </c>
      <c r="K248" s="199" t="s">
        <v>1839</v>
      </c>
      <c r="L248" s="99" t="s">
        <v>304</v>
      </c>
      <c r="M248" s="99">
        <v>0.5</v>
      </c>
      <c r="N248" s="200" t="str">
        <f t="shared" si="6"/>
        <v>B</v>
      </c>
    </row>
    <row r="249" spans="1:16" s="177" customFormat="1" x14ac:dyDescent="0.25">
      <c r="A249" s="225">
        <v>613</v>
      </c>
      <c r="B249" s="226">
        <v>45868</v>
      </c>
      <c r="C249" s="227">
        <v>0.67222222222222228</v>
      </c>
      <c r="D249" s="227">
        <v>0.7006944444444444</v>
      </c>
      <c r="E249" s="224">
        <v>26</v>
      </c>
      <c r="F249" s="224">
        <v>43.178139000000002</v>
      </c>
      <c r="G249" s="224">
        <v>-116.112937</v>
      </c>
      <c r="H249" s="295">
        <v>20</v>
      </c>
      <c r="I249" s="223" t="s">
        <v>285</v>
      </c>
      <c r="K249" s="199" t="s">
        <v>1840</v>
      </c>
      <c r="L249" s="99" t="s">
        <v>304</v>
      </c>
      <c r="M249" s="99">
        <v>20</v>
      </c>
      <c r="N249" s="200" t="str">
        <f t="shared" si="6"/>
        <v>C</v>
      </c>
    </row>
    <row r="250" spans="1:16" s="177" customFormat="1" x14ac:dyDescent="0.25">
      <c r="A250" s="225">
        <v>615</v>
      </c>
      <c r="B250" s="226">
        <v>45868</v>
      </c>
      <c r="C250" s="227">
        <v>0.76249999999999996</v>
      </c>
      <c r="D250" s="227">
        <v>0.76597222222222228</v>
      </c>
      <c r="E250" s="224">
        <v>26</v>
      </c>
      <c r="F250" s="224">
        <v>43.155291099999999</v>
      </c>
      <c r="G250" s="224">
        <v>-116.138531</v>
      </c>
      <c r="H250" s="295">
        <v>0.25</v>
      </c>
      <c r="I250" s="223" t="s">
        <v>285</v>
      </c>
      <c r="K250" s="199" t="s">
        <v>1841</v>
      </c>
      <c r="L250" s="99" t="s">
        <v>304</v>
      </c>
      <c r="M250" s="99">
        <v>0.25</v>
      </c>
      <c r="N250" s="200" t="str">
        <f t="shared" si="6"/>
        <v>A</v>
      </c>
    </row>
    <row r="251" spans="1:16" s="177" customFormat="1" x14ac:dyDescent="0.25">
      <c r="A251" s="92">
        <v>616</v>
      </c>
      <c r="B251" s="221">
        <v>45868</v>
      </c>
      <c r="C251" s="222">
        <v>0.80902777777777779</v>
      </c>
      <c r="D251" s="222">
        <v>0.82222222222222219</v>
      </c>
      <c r="E251" s="99">
        <v>26</v>
      </c>
      <c r="F251" s="99">
        <v>43.154841699999999</v>
      </c>
      <c r="G251" s="99">
        <v>-116.1398411</v>
      </c>
      <c r="H251" s="295">
        <v>0.5</v>
      </c>
      <c r="I251" s="223" t="s">
        <v>285</v>
      </c>
      <c r="K251" s="199" t="s">
        <v>1842</v>
      </c>
      <c r="L251" s="99" t="s">
        <v>304</v>
      </c>
      <c r="M251" s="99">
        <v>0.5</v>
      </c>
      <c r="N251" s="200" t="str">
        <f t="shared" si="6"/>
        <v>B</v>
      </c>
    </row>
    <row r="252" spans="1:16" s="177" customFormat="1" x14ac:dyDescent="0.25">
      <c r="A252" s="92">
        <v>617</v>
      </c>
      <c r="B252" s="221">
        <v>45868</v>
      </c>
      <c r="C252" s="222">
        <v>0.87361111111111112</v>
      </c>
      <c r="D252" s="222">
        <v>0.90694444444444444</v>
      </c>
      <c r="E252" s="99">
        <v>26</v>
      </c>
      <c r="F252" s="99">
        <v>43.180437699999999</v>
      </c>
      <c r="G252" s="99">
        <v>-116.11796099999999</v>
      </c>
      <c r="H252" s="295">
        <v>1</v>
      </c>
      <c r="I252" s="223" t="s">
        <v>285</v>
      </c>
      <c r="K252" s="199" t="s">
        <v>1843</v>
      </c>
      <c r="L252" s="99" t="s">
        <v>304</v>
      </c>
      <c r="M252" s="99">
        <v>1</v>
      </c>
      <c r="N252" s="200" t="str">
        <f t="shared" si="6"/>
        <v>B</v>
      </c>
    </row>
    <row r="253" spans="1:16" s="177" customFormat="1" x14ac:dyDescent="0.25">
      <c r="A253" s="225">
        <v>620</v>
      </c>
      <c r="B253" s="226">
        <v>45869</v>
      </c>
      <c r="C253" s="227">
        <v>0.65694444444444444</v>
      </c>
      <c r="D253" s="227">
        <v>100</v>
      </c>
      <c r="E253" s="224" t="s">
        <v>1496</v>
      </c>
      <c r="F253" s="224">
        <v>43.278296500000003</v>
      </c>
      <c r="G253" s="224">
        <v>-116.1081681</v>
      </c>
      <c r="H253" s="295">
        <v>26922</v>
      </c>
      <c r="I253" s="223" t="s">
        <v>285</v>
      </c>
      <c r="K253" s="199" t="s">
        <v>1502</v>
      </c>
      <c r="L253" s="99" t="s">
        <v>304</v>
      </c>
      <c r="M253" s="99">
        <v>22683</v>
      </c>
      <c r="N253" s="200" t="str">
        <f t="shared" si="6"/>
        <v>G</v>
      </c>
    </row>
    <row r="254" spans="1:16" s="177" customFormat="1" x14ac:dyDescent="0.25">
      <c r="A254" s="225">
        <v>621</v>
      </c>
      <c r="B254" s="226">
        <v>45869</v>
      </c>
      <c r="C254" s="227">
        <v>0.83194444444444449</v>
      </c>
      <c r="D254" s="227">
        <v>0.87638888888888888</v>
      </c>
      <c r="E254" s="224" t="s">
        <v>1497</v>
      </c>
      <c r="F254" s="224">
        <v>43.164149999999999</v>
      </c>
      <c r="G254" s="224">
        <v>-116.1205449</v>
      </c>
      <c r="H254" s="295">
        <v>30</v>
      </c>
      <c r="I254" s="223" t="s">
        <v>285</v>
      </c>
      <c r="K254" s="199" t="s">
        <v>1844</v>
      </c>
      <c r="L254" s="99" t="s">
        <v>304</v>
      </c>
      <c r="M254" s="99">
        <v>30</v>
      </c>
      <c r="N254" s="200" t="str">
        <f t="shared" si="6"/>
        <v>C</v>
      </c>
      <c r="P254" s="177" t="s">
        <v>1268</v>
      </c>
    </row>
    <row r="255" spans="1:16" s="177" customFormat="1" x14ac:dyDescent="0.25">
      <c r="A255" s="225">
        <v>622</v>
      </c>
      <c r="B255" s="226">
        <v>45870</v>
      </c>
      <c r="C255" s="227">
        <v>0.33958333333333335</v>
      </c>
      <c r="D255" s="227">
        <v>0.35555555555555557</v>
      </c>
      <c r="E255" s="224">
        <v>4</v>
      </c>
      <c r="F255" s="224">
        <v>43.277622899999997</v>
      </c>
      <c r="G255" s="224">
        <v>-116.1095459</v>
      </c>
      <c r="H255" s="99">
        <v>0.25</v>
      </c>
      <c r="I255" s="223" t="s">
        <v>285</v>
      </c>
      <c r="K255" s="199" t="s">
        <v>1845</v>
      </c>
      <c r="L255" s="99" t="s">
        <v>304</v>
      </c>
      <c r="M255" s="99">
        <v>0.25</v>
      </c>
      <c r="N255" s="200" t="str">
        <f t="shared" si="6"/>
        <v>A</v>
      </c>
    </row>
    <row r="256" spans="1:16" s="177" customFormat="1" x14ac:dyDescent="0.25">
      <c r="A256" s="225">
        <v>625</v>
      </c>
      <c r="B256" s="226">
        <v>45870</v>
      </c>
      <c r="C256" s="227">
        <v>0.61736111111111114</v>
      </c>
      <c r="D256" s="227">
        <v>0.62083333333333335</v>
      </c>
      <c r="E256" s="224">
        <v>5</v>
      </c>
      <c r="F256" s="224">
        <v>43.273941700000002</v>
      </c>
      <c r="G256" s="224">
        <v>-116.0994204</v>
      </c>
      <c r="H256" s="99">
        <v>0.25</v>
      </c>
      <c r="I256" s="223" t="s">
        <v>285</v>
      </c>
      <c r="K256" s="199" t="s">
        <v>1846</v>
      </c>
      <c r="L256" s="99" t="s">
        <v>304</v>
      </c>
      <c r="M256" s="99">
        <v>0.25</v>
      </c>
      <c r="N256" s="200" t="str">
        <f t="shared" si="6"/>
        <v>A</v>
      </c>
    </row>
    <row r="257" spans="1:14" s="177" customFormat="1" x14ac:dyDescent="0.25">
      <c r="A257" s="225">
        <v>626</v>
      </c>
      <c r="B257" s="226">
        <v>45870</v>
      </c>
      <c r="C257" s="227">
        <v>0.6333333333333333</v>
      </c>
      <c r="D257" s="227">
        <v>0.63472222222222219</v>
      </c>
      <c r="E257" s="224">
        <v>5</v>
      </c>
      <c r="F257" s="224">
        <v>43.268197200000003</v>
      </c>
      <c r="G257" s="224">
        <v>-116.10176010000001</v>
      </c>
      <c r="H257" s="99">
        <v>0.25</v>
      </c>
      <c r="I257" s="223" t="s">
        <v>285</v>
      </c>
      <c r="K257" s="199" t="s">
        <v>1847</v>
      </c>
      <c r="L257" s="99" t="s">
        <v>304</v>
      </c>
      <c r="M257" s="99">
        <v>0.25</v>
      </c>
      <c r="N257" s="200" t="str">
        <f t="shared" si="6"/>
        <v>A</v>
      </c>
    </row>
    <row r="258" spans="1:14" s="177" customFormat="1" x14ac:dyDescent="0.25">
      <c r="A258" s="92">
        <v>627</v>
      </c>
      <c r="B258" s="221">
        <v>45870</v>
      </c>
      <c r="C258" s="222">
        <v>0.66319444444444442</v>
      </c>
      <c r="D258" s="222">
        <v>0.67291666666666672</v>
      </c>
      <c r="E258" s="99">
        <v>5</v>
      </c>
      <c r="F258" s="99">
        <v>43.267527800000003</v>
      </c>
      <c r="G258" s="99">
        <v>-116.0979377</v>
      </c>
      <c r="H258" s="99">
        <v>1</v>
      </c>
      <c r="I258" s="223" t="s">
        <v>285</v>
      </c>
      <c r="K258" s="199" t="s">
        <v>1848</v>
      </c>
      <c r="L258" s="99" t="s">
        <v>304</v>
      </c>
      <c r="M258" s="99">
        <v>1</v>
      </c>
      <c r="N258" s="200" t="str">
        <f t="shared" si="6"/>
        <v>B</v>
      </c>
    </row>
    <row r="259" spans="1:14" s="177" customFormat="1" x14ac:dyDescent="0.25">
      <c r="A259" s="225">
        <v>628</v>
      </c>
      <c r="B259" s="226">
        <v>45870</v>
      </c>
      <c r="C259" s="227">
        <v>0.68263888888888891</v>
      </c>
      <c r="D259" s="227">
        <v>0.68819444444444444</v>
      </c>
      <c r="E259" s="224">
        <v>5</v>
      </c>
      <c r="F259" s="224">
        <v>43.276302200000003</v>
      </c>
      <c r="G259" s="224">
        <v>-116.0972905</v>
      </c>
      <c r="H259" s="99">
        <v>0.5</v>
      </c>
      <c r="I259" s="223" t="s">
        <v>285</v>
      </c>
      <c r="K259" s="199" t="s">
        <v>1849</v>
      </c>
      <c r="L259" s="99" t="s">
        <v>304</v>
      </c>
      <c r="M259" s="99">
        <v>0.5</v>
      </c>
      <c r="N259" s="200" t="str">
        <f t="shared" si="6"/>
        <v>B</v>
      </c>
    </row>
    <row r="260" spans="1:14" s="177" customFormat="1" x14ac:dyDescent="0.25">
      <c r="A260" s="225">
        <v>629</v>
      </c>
      <c r="B260" s="226">
        <v>45870</v>
      </c>
      <c r="C260" s="227">
        <v>0.7</v>
      </c>
      <c r="D260" s="227">
        <v>0.70138888888888884</v>
      </c>
      <c r="E260" s="224">
        <v>5</v>
      </c>
      <c r="F260" s="224">
        <v>43.276055100000001</v>
      </c>
      <c r="G260" s="224">
        <v>-116.09793500000001</v>
      </c>
      <c r="H260" s="224">
        <v>0.25</v>
      </c>
      <c r="I260" s="223" t="s">
        <v>285</v>
      </c>
      <c r="K260" s="199" t="s">
        <v>1850</v>
      </c>
      <c r="L260" s="99" t="s">
        <v>304</v>
      </c>
      <c r="M260" s="99">
        <v>0.25</v>
      </c>
      <c r="N260" s="200" t="str">
        <f t="shared" ref="N260:N281" si="7">IF(M260&gt;4999.9,"G",IF(M260&gt;999.9,"F",IF(M260&gt;299.9,"E",IF(M260&gt;99.9,"D",IF(M260&gt;9.9,"C",IF(M260&gt;0.25,"B",IF(M260&gt;0,"A","")))))))</f>
        <v>A</v>
      </c>
    </row>
    <row r="261" spans="1:14" s="177" customFormat="1" x14ac:dyDescent="0.25">
      <c r="A261" s="92">
        <v>630</v>
      </c>
      <c r="B261" s="221">
        <v>45870</v>
      </c>
      <c r="C261" s="222">
        <v>0.70763888888888893</v>
      </c>
      <c r="D261" s="222">
        <v>0.71250000000000002</v>
      </c>
      <c r="E261" s="99">
        <v>5</v>
      </c>
      <c r="F261" s="99">
        <v>43.277926899999997</v>
      </c>
      <c r="G261" s="99">
        <v>-116.09893030000001</v>
      </c>
      <c r="H261" s="99">
        <v>0.25</v>
      </c>
      <c r="I261" s="223" t="s">
        <v>285</v>
      </c>
      <c r="K261" s="199" t="s">
        <v>1851</v>
      </c>
      <c r="L261" s="99" t="s">
        <v>304</v>
      </c>
      <c r="M261" s="99">
        <v>0.25</v>
      </c>
      <c r="N261" s="200" t="str">
        <f t="shared" si="7"/>
        <v>A</v>
      </c>
    </row>
    <row r="262" spans="1:14" s="177" customFormat="1" x14ac:dyDescent="0.25">
      <c r="A262" s="92">
        <v>631</v>
      </c>
      <c r="B262" s="221">
        <v>45870</v>
      </c>
      <c r="C262" s="222">
        <v>0.71875</v>
      </c>
      <c r="D262" s="222">
        <v>0.72847222222222219</v>
      </c>
      <c r="E262" s="99">
        <v>5</v>
      </c>
      <c r="F262" s="99">
        <v>43.280022799999998</v>
      </c>
      <c r="G262" s="99">
        <v>-116.0986529</v>
      </c>
      <c r="H262" s="99">
        <v>0.5</v>
      </c>
      <c r="I262" s="223" t="s">
        <v>285</v>
      </c>
      <c r="K262" s="199" t="s">
        <v>1852</v>
      </c>
      <c r="L262" s="99" t="s">
        <v>304</v>
      </c>
      <c r="M262" s="99">
        <v>0.5</v>
      </c>
      <c r="N262" s="200" t="str">
        <f t="shared" si="7"/>
        <v>B</v>
      </c>
    </row>
    <row r="263" spans="1:14" s="177" customFormat="1" x14ac:dyDescent="0.25">
      <c r="A263" s="225">
        <v>632</v>
      </c>
      <c r="B263" s="226">
        <v>45870</v>
      </c>
      <c r="C263" s="227">
        <v>0.7416666666666667</v>
      </c>
      <c r="D263" s="227">
        <v>0.75624999999999998</v>
      </c>
      <c r="E263" s="224">
        <v>5</v>
      </c>
      <c r="F263" s="224">
        <v>43.274932300000003</v>
      </c>
      <c r="G263" s="224">
        <v>-116.0971382</v>
      </c>
      <c r="H263" s="224">
        <v>0.25</v>
      </c>
      <c r="I263" s="223" t="s">
        <v>285</v>
      </c>
      <c r="K263" s="199" t="s">
        <v>1853</v>
      </c>
      <c r="L263" s="99" t="s">
        <v>304</v>
      </c>
      <c r="M263" s="99">
        <v>0.25</v>
      </c>
      <c r="N263" s="200" t="str">
        <f t="shared" si="7"/>
        <v>A</v>
      </c>
    </row>
    <row r="264" spans="1:14" s="177" customFormat="1" x14ac:dyDescent="0.25">
      <c r="A264" s="225">
        <v>634</v>
      </c>
      <c r="B264" s="226">
        <v>45870</v>
      </c>
      <c r="C264" s="227">
        <v>0.76736111111111116</v>
      </c>
      <c r="D264" s="227">
        <v>0.80625000000000002</v>
      </c>
      <c r="E264" s="224">
        <v>5</v>
      </c>
      <c r="F264" s="224">
        <v>43.275164099999998</v>
      </c>
      <c r="G264" s="224">
        <v>-116.0945715</v>
      </c>
      <c r="H264" s="224">
        <v>3</v>
      </c>
      <c r="I264" s="223" t="s">
        <v>285</v>
      </c>
      <c r="K264" s="199" t="s">
        <v>1854</v>
      </c>
      <c r="L264" s="99" t="s">
        <v>304</v>
      </c>
      <c r="M264" s="99">
        <v>3</v>
      </c>
      <c r="N264" s="200" t="str">
        <f t="shared" si="7"/>
        <v>B</v>
      </c>
    </row>
    <row r="265" spans="1:14" s="177" customFormat="1" x14ac:dyDescent="0.25">
      <c r="A265" s="225">
        <v>637</v>
      </c>
      <c r="B265" s="226">
        <v>45871</v>
      </c>
      <c r="C265" s="227">
        <v>0.46319444444444446</v>
      </c>
      <c r="D265" s="227">
        <v>0.50347222222222221</v>
      </c>
      <c r="E265" s="224">
        <v>5</v>
      </c>
      <c r="F265" s="224">
        <v>43.279359999999997</v>
      </c>
      <c r="G265" s="224">
        <v>-116.09802000000001</v>
      </c>
      <c r="H265" s="224">
        <v>3</v>
      </c>
      <c r="I265" s="223" t="s">
        <v>285</v>
      </c>
      <c r="K265" s="199" t="s">
        <v>1855</v>
      </c>
      <c r="L265" s="99" t="s">
        <v>304</v>
      </c>
      <c r="M265" s="99">
        <v>3</v>
      </c>
      <c r="N265" s="200" t="str">
        <f t="shared" si="7"/>
        <v>B</v>
      </c>
    </row>
    <row r="266" spans="1:14" s="177" customFormat="1" x14ac:dyDescent="0.25">
      <c r="A266" s="92">
        <v>639</v>
      </c>
      <c r="B266" s="221">
        <v>45871</v>
      </c>
      <c r="C266" s="222">
        <v>0.51527777777777772</v>
      </c>
      <c r="D266" s="222">
        <v>0.53819444444444442</v>
      </c>
      <c r="E266" s="99">
        <v>5</v>
      </c>
      <c r="F266" s="99">
        <v>43.279359999999997</v>
      </c>
      <c r="G266" s="99">
        <v>-116.09802000000001</v>
      </c>
      <c r="H266" s="99">
        <v>1</v>
      </c>
      <c r="I266" s="223" t="s">
        <v>285</v>
      </c>
      <c r="K266" s="199" t="s">
        <v>1856</v>
      </c>
      <c r="L266" s="99" t="s">
        <v>304</v>
      </c>
      <c r="M266" s="99">
        <v>1</v>
      </c>
      <c r="N266" s="200" t="str">
        <f t="shared" si="7"/>
        <v>B</v>
      </c>
    </row>
    <row r="267" spans="1:14" s="177" customFormat="1" x14ac:dyDescent="0.25">
      <c r="A267" s="225">
        <v>640</v>
      </c>
      <c r="B267" s="226">
        <v>45871</v>
      </c>
      <c r="C267" s="227">
        <v>0.52569444444444446</v>
      </c>
      <c r="D267" s="227">
        <v>0.53611111111111109</v>
      </c>
      <c r="E267" s="224" t="s">
        <v>604</v>
      </c>
      <c r="F267" s="224">
        <v>43.193989999999999</v>
      </c>
      <c r="G267" s="224">
        <v>-116.03014</v>
      </c>
      <c r="H267" s="224">
        <v>0.25</v>
      </c>
      <c r="I267" s="223" t="s">
        <v>285</v>
      </c>
      <c r="K267" s="199" t="s">
        <v>1857</v>
      </c>
      <c r="L267" s="99" t="s">
        <v>304</v>
      </c>
      <c r="M267" s="99">
        <v>0.25</v>
      </c>
      <c r="N267" s="200" t="str">
        <f t="shared" si="7"/>
        <v>A</v>
      </c>
    </row>
    <row r="268" spans="1:14" s="177" customFormat="1" x14ac:dyDescent="0.25">
      <c r="A268" s="92">
        <v>643</v>
      </c>
      <c r="B268" s="221">
        <v>45871</v>
      </c>
      <c r="C268" s="222">
        <v>0.55902777777777779</v>
      </c>
      <c r="D268" s="222">
        <v>0.5708333333333333</v>
      </c>
      <c r="E268" s="99">
        <v>5</v>
      </c>
      <c r="F268" s="99">
        <v>43.276670000000003</v>
      </c>
      <c r="G268" s="99">
        <v>-116.09806</v>
      </c>
      <c r="H268" s="99">
        <v>1</v>
      </c>
      <c r="I268" s="223" t="s">
        <v>285</v>
      </c>
      <c r="K268" s="199" t="s">
        <v>1858</v>
      </c>
      <c r="L268" s="99" t="s">
        <v>304</v>
      </c>
      <c r="M268" s="99">
        <v>1</v>
      </c>
      <c r="N268" s="200" t="str">
        <f t="shared" si="7"/>
        <v>B</v>
      </c>
    </row>
    <row r="269" spans="1:14" s="177" customFormat="1" x14ac:dyDescent="0.25">
      <c r="A269" s="92">
        <v>644</v>
      </c>
      <c r="B269" s="221">
        <v>45871</v>
      </c>
      <c r="C269" s="222">
        <v>0.58611111111111114</v>
      </c>
      <c r="D269" s="222">
        <v>0.59583333333333333</v>
      </c>
      <c r="E269" s="99">
        <v>5</v>
      </c>
      <c r="F269" s="99">
        <v>43.276670000000003</v>
      </c>
      <c r="G269" s="99">
        <v>-116.09806</v>
      </c>
      <c r="H269" s="99">
        <v>0.5</v>
      </c>
      <c r="I269" s="223" t="s">
        <v>285</v>
      </c>
      <c r="K269" s="199" t="s">
        <v>1859</v>
      </c>
      <c r="L269" s="99" t="s">
        <v>304</v>
      </c>
      <c r="M269" s="99">
        <v>0.5</v>
      </c>
      <c r="N269" s="200" t="str">
        <f t="shared" si="7"/>
        <v>B</v>
      </c>
    </row>
    <row r="270" spans="1:14" s="177" customFormat="1" x14ac:dyDescent="0.25">
      <c r="A270" s="225">
        <v>645</v>
      </c>
      <c r="B270" s="226">
        <v>45871</v>
      </c>
      <c r="C270" s="227">
        <v>0.59305555555555556</v>
      </c>
      <c r="D270" s="227">
        <v>0.59583333333333333</v>
      </c>
      <c r="E270" s="224">
        <v>14</v>
      </c>
      <c r="F270" s="224">
        <v>43.196219999999997</v>
      </c>
      <c r="G270" s="224">
        <v>-116.02898999999999</v>
      </c>
      <c r="H270" s="224">
        <v>0.25</v>
      </c>
      <c r="I270" s="223" t="s">
        <v>285</v>
      </c>
      <c r="K270" s="199" t="s">
        <v>1860</v>
      </c>
      <c r="L270" s="99" t="s">
        <v>304</v>
      </c>
      <c r="M270" s="99">
        <v>0.25</v>
      </c>
      <c r="N270" s="200" t="str">
        <f t="shared" si="7"/>
        <v>A</v>
      </c>
    </row>
    <row r="271" spans="1:14" s="177" customFormat="1" x14ac:dyDescent="0.25">
      <c r="A271" s="225">
        <v>646</v>
      </c>
      <c r="B271" s="226">
        <v>45871</v>
      </c>
      <c r="C271" s="227">
        <v>0.65138888888888891</v>
      </c>
      <c r="D271" s="227">
        <v>0.66666666666666663</v>
      </c>
      <c r="E271" s="224">
        <v>5</v>
      </c>
      <c r="F271" s="224">
        <v>43.278401299999999</v>
      </c>
      <c r="G271" s="224">
        <v>-116.12054019999999</v>
      </c>
      <c r="H271" s="224">
        <v>0.5</v>
      </c>
      <c r="I271" s="223" t="s">
        <v>285</v>
      </c>
      <c r="K271" s="199" t="s">
        <v>1861</v>
      </c>
      <c r="L271" s="99" t="s">
        <v>304</v>
      </c>
      <c r="M271" s="99">
        <v>0.5</v>
      </c>
      <c r="N271" s="200" t="str">
        <f t="shared" si="7"/>
        <v>B</v>
      </c>
    </row>
    <row r="272" spans="1:14" s="177" customFormat="1" x14ac:dyDescent="0.25">
      <c r="A272" s="225">
        <v>647</v>
      </c>
      <c r="B272" s="226">
        <v>45871</v>
      </c>
      <c r="C272" s="227">
        <v>0.67708333333333337</v>
      </c>
      <c r="D272" s="227">
        <v>0.68541666666666667</v>
      </c>
      <c r="E272" s="224">
        <v>5</v>
      </c>
      <c r="F272" s="224">
        <v>43.278894399999999</v>
      </c>
      <c r="G272" s="224">
        <v>-116.09829980000001</v>
      </c>
      <c r="H272" s="224">
        <v>0.25</v>
      </c>
      <c r="I272" s="223" t="s">
        <v>285</v>
      </c>
      <c r="K272" s="199" t="s">
        <v>1862</v>
      </c>
      <c r="L272" s="99" t="s">
        <v>304</v>
      </c>
      <c r="M272" s="99">
        <v>0.25</v>
      </c>
      <c r="N272" s="200" t="str">
        <f t="shared" si="7"/>
        <v>A</v>
      </c>
    </row>
    <row r="273" spans="1:14" s="177" customFormat="1" x14ac:dyDescent="0.25">
      <c r="A273" s="92">
        <v>648</v>
      </c>
      <c r="B273" s="221">
        <v>45871</v>
      </c>
      <c r="C273" s="222">
        <v>0.69444444444444442</v>
      </c>
      <c r="D273" s="222">
        <v>0.70208333333333328</v>
      </c>
      <c r="E273" s="99">
        <v>5</v>
      </c>
      <c r="F273" s="99">
        <v>43.2732259</v>
      </c>
      <c r="G273" s="99">
        <v>-116.09770570000001</v>
      </c>
      <c r="H273" s="99">
        <v>0.25</v>
      </c>
      <c r="I273" s="223" t="s">
        <v>285</v>
      </c>
      <c r="K273" s="199" t="s">
        <v>1863</v>
      </c>
      <c r="L273" s="99" t="s">
        <v>304</v>
      </c>
      <c r="M273" s="99">
        <v>0.25</v>
      </c>
      <c r="N273" s="200" t="str">
        <f t="shared" si="7"/>
        <v>A</v>
      </c>
    </row>
    <row r="274" spans="1:14" s="177" customFormat="1" x14ac:dyDescent="0.25">
      <c r="A274" s="225">
        <v>649</v>
      </c>
      <c r="B274" s="226">
        <v>45871</v>
      </c>
      <c r="C274" s="227">
        <v>0.71250000000000002</v>
      </c>
      <c r="D274" s="227">
        <v>0.71319444444444446</v>
      </c>
      <c r="E274" s="224">
        <v>5</v>
      </c>
      <c r="F274" s="224">
        <v>43.276404300000003</v>
      </c>
      <c r="G274" s="224">
        <v>-116.09882949999999</v>
      </c>
      <c r="H274" s="224">
        <v>0.25</v>
      </c>
      <c r="I274" s="223" t="s">
        <v>285</v>
      </c>
      <c r="K274" s="199" t="s">
        <v>1864</v>
      </c>
      <c r="L274" s="99" t="s">
        <v>304</v>
      </c>
      <c r="M274" s="99">
        <v>0.25</v>
      </c>
      <c r="N274" s="200" t="str">
        <f t="shared" si="7"/>
        <v>A</v>
      </c>
    </row>
    <row r="275" spans="1:14" x14ac:dyDescent="0.25">
      <c r="A275" s="92">
        <v>650</v>
      </c>
      <c r="B275" s="221">
        <v>45871</v>
      </c>
      <c r="C275" s="222">
        <v>0.72499999999999998</v>
      </c>
      <c r="D275" s="222">
        <v>0.72777777777777775</v>
      </c>
      <c r="E275" s="99">
        <v>5</v>
      </c>
      <c r="F275" s="99">
        <v>43.277331199999999</v>
      </c>
      <c r="G275" s="99">
        <v>-116.0987542</v>
      </c>
      <c r="H275" s="99">
        <v>0.25</v>
      </c>
      <c r="I275" s="223" t="s">
        <v>285</v>
      </c>
      <c r="K275" s="199" t="s">
        <v>1865</v>
      </c>
      <c r="L275" s="99" t="s">
        <v>304</v>
      </c>
      <c r="M275" s="99">
        <v>0.25</v>
      </c>
      <c r="N275" s="200" t="str">
        <f t="shared" si="7"/>
        <v>A</v>
      </c>
    </row>
    <row r="276" spans="1:14" x14ac:dyDescent="0.25">
      <c r="A276" s="92">
        <v>651</v>
      </c>
      <c r="B276" s="221">
        <v>45871</v>
      </c>
      <c r="C276" s="222">
        <v>0.72569444444444442</v>
      </c>
      <c r="D276" s="222">
        <v>0.73541666666666672</v>
      </c>
      <c r="E276" s="99">
        <v>5</v>
      </c>
      <c r="F276" s="99">
        <v>43.274664700000002</v>
      </c>
      <c r="G276" s="99">
        <v>-116.0986087</v>
      </c>
      <c r="H276" s="99">
        <v>0.25</v>
      </c>
      <c r="I276" s="223" t="s">
        <v>285</v>
      </c>
      <c r="K276" s="199" t="s">
        <v>1866</v>
      </c>
      <c r="L276" s="99" t="s">
        <v>304</v>
      </c>
      <c r="M276" s="99">
        <v>0.25</v>
      </c>
      <c r="N276" s="200" t="str">
        <f t="shared" si="7"/>
        <v>A</v>
      </c>
    </row>
    <row r="277" spans="1:14" x14ac:dyDescent="0.25">
      <c r="A277" s="225">
        <v>654</v>
      </c>
      <c r="B277" s="226">
        <v>45878</v>
      </c>
      <c r="C277" s="227">
        <v>0.41805555555555557</v>
      </c>
      <c r="D277" s="227">
        <v>0.42499999999999999</v>
      </c>
      <c r="E277" s="224">
        <v>5</v>
      </c>
      <c r="F277" s="224">
        <v>43.216748099999997</v>
      </c>
      <c r="G277" s="224">
        <v>-116.0976155</v>
      </c>
      <c r="H277" s="224">
        <v>0.25</v>
      </c>
      <c r="I277" s="223" t="s">
        <v>285</v>
      </c>
      <c r="K277" s="199" t="s">
        <v>1867</v>
      </c>
      <c r="L277" s="99" t="s">
        <v>304</v>
      </c>
      <c r="M277" s="99">
        <v>0.25</v>
      </c>
      <c r="N277" s="200" t="str">
        <f t="shared" si="7"/>
        <v>A</v>
      </c>
    </row>
    <row r="278" spans="1:14" x14ac:dyDescent="0.25">
      <c r="A278" s="225">
        <v>655</v>
      </c>
      <c r="B278" s="226">
        <v>45878</v>
      </c>
      <c r="C278" s="227">
        <v>0.44027777777777777</v>
      </c>
      <c r="D278" s="227">
        <v>0.46180555555555558</v>
      </c>
      <c r="E278" s="224">
        <v>5</v>
      </c>
      <c r="F278" s="224">
        <v>43.277240900000002</v>
      </c>
      <c r="G278" s="224">
        <v>-116.0998647</v>
      </c>
      <c r="H278" s="224">
        <v>1</v>
      </c>
      <c r="I278" s="223" t="s">
        <v>285</v>
      </c>
      <c r="K278" s="199" t="s">
        <v>1868</v>
      </c>
      <c r="L278" s="99" t="s">
        <v>304</v>
      </c>
      <c r="M278" s="99">
        <v>1</v>
      </c>
      <c r="N278" s="200" t="str">
        <f t="shared" si="7"/>
        <v>B</v>
      </c>
    </row>
    <row r="279" spans="1:14" x14ac:dyDescent="0.25">
      <c r="A279" s="225">
        <v>656</v>
      </c>
      <c r="B279" s="226">
        <v>45878</v>
      </c>
      <c r="C279" s="227">
        <v>0.48958333333333331</v>
      </c>
      <c r="D279" s="227">
        <v>0.50972222222222219</v>
      </c>
      <c r="E279" s="224">
        <v>5</v>
      </c>
      <c r="F279" s="224">
        <v>43.282916899999996</v>
      </c>
      <c r="G279" s="224">
        <v>-116.0968353</v>
      </c>
      <c r="H279" s="224">
        <v>0.5</v>
      </c>
      <c r="I279" s="223" t="s">
        <v>285</v>
      </c>
      <c r="K279" s="199" t="s">
        <v>1869</v>
      </c>
      <c r="L279" s="99" t="s">
        <v>304</v>
      </c>
      <c r="M279" s="99">
        <v>0.5</v>
      </c>
      <c r="N279" s="200" t="str">
        <f t="shared" si="7"/>
        <v>B</v>
      </c>
    </row>
    <row r="280" spans="1:14" x14ac:dyDescent="0.25">
      <c r="A280" s="92">
        <v>657</v>
      </c>
      <c r="B280" s="221">
        <v>45878</v>
      </c>
      <c r="C280" s="222">
        <v>0.53472222222222221</v>
      </c>
      <c r="D280" s="222">
        <v>0.54097222222222219</v>
      </c>
      <c r="E280" s="99">
        <v>5</v>
      </c>
      <c r="F280" s="99">
        <v>43.275373799999997</v>
      </c>
      <c r="G280" s="99">
        <v>-116.100607</v>
      </c>
      <c r="H280" s="99">
        <v>0.25</v>
      </c>
      <c r="I280" s="223" t="s">
        <v>285</v>
      </c>
      <c r="K280" s="199" t="s">
        <v>1870</v>
      </c>
      <c r="L280" s="99" t="s">
        <v>304</v>
      </c>
      <c r="M280" s="99">
        <v>0.25</v>
      </c>
      <c r="N280" s="200" t="str">
        <f t="shared" si="7"/>
        <v>A</v>
      </c>
    </row>
    <row r="281" spans="1:14" x14ac:dyDescent="0.25">
      <c r="A281" s="225">
        <v>658</v>
      </c>
      <c r="B281" s="226">
        <v>45878</v>
      </c>
      <c r="C281" s="227">
        <v>0.57291666666666663</v>
      </c>
      <c r="D281" s="227">
        <v>0.5854166666666667</v>
      </c>
      <c r="E281" s="224">
        <v>5</v>
      </c>
      <c r="F281" s="224">
        <v>43.271771200000003</v>
      </c>
      <c r="G281" s="224">
        <v>-116.09822010000001</v>
      </c>
      <c r="H281" s="224">
        <v>0.75</v>
      </c>
      <c r="I281" s="223" t="s">
        <v>285</v>
      </c>
      <c r="K281" s="199" t="s">
        <v>1871</v>
      </c>
      <c r="L281" s="99" t="s">
        <v>304</v>
      </c>
      <c r="M281" s="99">
        <v>0.75</v>
      </c>
      <c r="N281" s="200" t="str">
        <f t="shared" si="7"/>
        <v>B</v>
      </c>
    </row>
    <row r="282" spans="1:14" x14ac:dyDescent="0.25">
      <c r="A282" s="92">
        <v>659</v>
      </c>
      <c r="B282" s="221">
        <v>45878</v>
      </c>
      <c r="C282" s="222">
        <v>0.59583333333333333</v>
      </c>
      <c r="D282" s="222">
        <v>0.60902777777777772</v>
      </c>
      <c r="E282" s="99">
        <v>5</v>
      </c>
      <c r="F282" s="99">
        <v>43.273093000000003</v>
      </c>
      <c r="G282" s="99">
        <v>-116.101417</v>
      </c>
      <c r="H282" s="99">
        <v>0.5</v>
      </c>
      <c r="I282" s="223" t="s">
        <v>285</v>
      </c>
      <c r="K282" s="199" t="s">
        <v>1872</v>
      </c>
      <c r="L282" s="99" t="s">
        <v>304</v>
      </c>
      <c r="M282" s="99">
        <v>0.5</v>
      </c>
      <c r="N282" s="200" t="str">
        <f t="shared" ref="N282:N344" si="8">IF(M282&gt;4999.9,"G",IF(M282&gt;999.9,"F",IF(M282&gt;299.9,"E",IF(M282&gt;99.9,"D",IF(M282&gt;9.9,"C",IF(M282&gt;0.25,"B",IF(M282&gt;0,"A","")))))))</f>
        <v>B</v>
      </c>
    </row>
    <row r="283" spans="1:14" x14ac:dyDescent="0.25">
      <c r="A283" s="92">
        <v>660</v>
      </c>
      <c r="B283" s="221">
        <v>45878</v>
      </c>
      <c r="C283" s="222">
        <v>0.62083333333333335</v>
      </c>
      <c r="D283" s="222">
        <v>0.62222222222222223</v>
      </c>
      <c r="E283" s="99">
        <v>5</v>
      </c>
      <c r="F283" s="99">
        <v>43.276799500000003</v>
      </c>
      <c r="G283" s="99">
        <v>-116.0998343</v>
      </c>
      <c r="H283" s="99">
        <v>0.25</v>
      </c>
      <c r="I283" s="223" t="s">
        <v>285</v>
      </c>
      <c r="K283" s="199" t="s">
        <v>1873</v>
      </c>
      <c r="L283" s="99" t="s">
        <v>304</v>
      </c>
      <c r="M283" s="99">
        <v>0.25</v>
      </c>
      <c r="N283" s="200" t="str">
        <f t="shared" si="8"/>
        <v>A</v>
      </c>
    </row>
    <row r="284" spans="1:14" x14ac:dyDescent="0.25">
      <c r="A284" s="225">
        <v>661</v>
      </c>
      <c r="B284" s="226">
        <v>45878</v>
      </c>
      <c r="C284" s="227">
        <v>0.64652777777777781</v>
      </c>
      <c r="D284" s="227">
        <v>0.65208333333333335</v>
      </c>
      <c r="E284" s="224">
        <v>5</v>
      </c>
      <c r="F284" s="224">
        <v>43.274487000000001</v>
      </c>
      <c r="G284" s="224">
        <v>-116.1011993</v>
      </c>
      <c r="H284" s="224">
        <v>0.25</v>
      </c>
      <c r="I284" s="223" t="s">
        <v>285</v>
      </c>
      <c r="K284" s="199" t="s">
        <v>1874</v>
      </c>
      <c r="L284" s="99" t="s">
        <v>304</v>
      </c>
      <c r="M284" s="99">
        <v>0.25</v>
      </c>
      <c r="N284" s="200" t="str">
        <f t="shared" si="8"/>
        <v>A</v>
      </c>
    </row>
    <row r="285" spans="1:14" x14ac:dyDescent="0.25">
      <c r="A285" s="225">
        <v>663</v>
      </c>
      <c r="B285" s="226">
        <v>45878</v>
      </c>
      <c r="C285" s="227">
        <v>0.68125000000000002</v>
      </c>
      <c r="D285" s="227">
        <v>0.68263888888888891</v>
      </c>
      <c r="E285" s="224">
        <v>5</v>
      </c>
      <c r="F285" s="224">
        <v>43.275854000000002</v>
      </c>
      <c r="G285" s="224">
        <v>-116.0998359</v>
      </c>
      <c r="H285" s="224">
        <v>0.25</v>
      </c>
      <c r="I285" s="223" t="s">
        <v>285</v>
      </c>
      <c r="K285" s="199" t="s">
        <v>1875</v>
      </c>
      <c r="L285" s="99" t="s">
        <v>304</v>
      </c>
      <c r="M285" s="99">
        <v>0.25</v>
      </c>
      <c r="N285" s="200" t="str">
        <f t="shared" si="8"/>
        <v>A</v>
      </c>
    </row>
    <row r="286" spans="1:14" x14ac:dyDescent="0.25">
      <c r="A286" s="92">
        <v>669</v>
      </c>
      <c r="B286" s="221">
        <v>45891</v>
      </c>
      <c r="C286" s="222">
        <v>0.80625000000000002</v>
      </c>
      <c r="D286" s="222">
        <v>0.80763888888888891</v>
      </c>
      <c r="E286" s="99">
        <v>5</v>
      </c>
      <c r="F286" s="99">
        <v>43.274548099999997</v>
      </c>
      <c r="G286" s="99">
        <v>-116.0986597</v>
      </c>
      <c r="H286" s="99">
        <v>0.25</v>
      </c>
      <c r="I286" s="223" t="s">
        <v>285</v>
      </c>
      <c r="K286" s="199" t="s">
        <v>1876</v>
      </c>
      <c r="L286" s="99" t="s">
        <v>304</v>
      </c>
      <c r="M286" s="99">
        <v>0.25</v>
      </c>
      <c r="N286" s="200" t="str">
        <f t="shared" si="8"/>
        <v>A</v>
      </c>
    </row>
    <row r="287" spans="1:14" x14ac:dyDescent="0.25">
      <c r="A287" s="301">
        <v>671</v>
      </c>
      <c r="B287" s="319">
        <v>45891</v>
      </c>
      <c r="C287" s="320">
        <v>0.47152777777777777</v>
      </c>
      <c r="D287" s="320">
        <v>0.47291666666666665</v>
      </c>
      <c r="E287" s="321">
        <v>5</v>
      </c>
      <c r="F287" s="321">
        <v>43.274548099999997</v>
      </c>
      <c r="G287" s="321">
        <v>-116.09866</v>
      </c>
      <c r="H287" s="321">
        <v>0.25</v>
      </c>
      <c r="I287" s="223" t="s">
        <v>285</v>
      </c>
      <c r="K287" s="199" t="s">
        <v>1877</v>
      </c>
      <c r="L287" s="99" t="s">
        <v>304</v>
      </c>
      <c r="M287" s="99">
        <v>0.25</v>
      </c>
      <c r="N287" s="200" t="str">
        <f t="shared" si="8"/>
        <v>A</v>
      </c>
    </row>
    <row r="288" spans="1:14" x14ac:dyDescent="0.25">
      <c r="A288" s="322">
        <v>672</v>
      </c>
      <c r="B288" s="323">
        <v>45891</v>
      </c>
      <c r="C288" s="324">
        <v>0.66597222222222219</v>
      </c>
      <c r="D288" s="324">
        <v>0.66666666666666663</v>
      </c>
      <c r="E288" s="314" t="s">
        <v>604</v>
      </c>
      <c r="F288" s="314">
        <v>43.195495000000001</v>
      </c>
      <c r="G288" s="314">
        <v>-116.027012</v>
      </c>
      <c r="H288" s="314">
        <v>0.25</v>
      </c>
      <c r="I288" s="223" t="s">
        <v>285</v>
      </c>
      <c r="K288" s="199" t="s">
        <v>1878</v>
      </c>
      <c r="L288" s="99" t="s">
        <v>304</v>
      </c>
      <c r="M288" s="99">
        <v>0.25</v>
      </c>
      <c r="N288" s="200" t="str">
        <f t="shared" si="8"/>
        <v>A</v>
      </c>
    </row>
    <row r="289" spans="1:14" x14ac:dyDescent="0.25">
      <c r="A289" s="92">
        <v>674</v>
      </c>
      <c r="B289" s="221">
        <v>45892</v>
      </c>
      <c r="C289" s="222">
        <v>0.3576388888888889</v>
      </c>
      <c r="D289" s="222">
        <v>0.3659722222222222</v>
      </c>
      <c r="E289" s="99">
        <v>5</v>
      </c>
      <c r="F289" s="99">
        <v>43.272943400000003</v>
      </c>
      <c r="G289" s="99">
        <v>-116.1007168</v>
      </c>
      <c r="H289" s="99">
        <v>0.25</v>
      </c>
      <c r="I289" s="223" t="s">
        <v>285</v>
      </c>
      <c r="K289" s="199" t="s">
        <v>1879</v>
      </c>
      <c r="L289" s="99" t="s">
        <v>304</v>
      </c>
      <c r="M289" s="99">
        <v>0.25</v>
      </c>
      <c r="N289" s="200" t="str">
        <f t="shared" si="8"/>
        <v>A</v>
      </c>
    </row>
    <row r="290" spans="1:14" x14ac:dyDescent="0.25">
      <c r="A290" s="225">
        <v>675</v>
      </c>
      <c r="B290" s="226">
        <v>45892</v>
      </c>
      <c r="C290" s="227">
        <v>0.37361111111111112</v>
      </c>
      <c r="D290" s="227">
        <v>0.37916666666666665</v>
      </c>
      <c r="E290" s="224">
        <v>5</v>
      </c>
      <c r="F290" s="224">
        <v>43.274595499999997</v>
      </c>
      <c r="G290" s="224">
        <v>-116.1001132</v>
      </c>
      <c r="H290" s="224">
        <v>0.25</v>
      </c>
      <c r="I290" s="223" t="s">
        <v>285</v>
      </c>
      <c r="K290" s="199" t="s">
        <v>1880</v>
      </c>
      <c r="L290" s="99" t="s">
        <v>304</v>
      </c>
      <c r="M290" s="99">
        <v>0.25</v>
      </c>
      <c r="N290" s="200" t="str">
        <f t="shared" si="8"/>
        <v>A</v>
      </c>
    </row>
    <row r="291" spans="1:14" x14ac:dyDescent="0.25">
      <c r="A291" s="225">
        <v>676</v>
      </c>
      <c r="B291" s="226">
        <v>45892</v>
      </c>
      <c r="C291" s="227">
        <v>0.40555555555555556</v>
      </c>
      <c r="D291" s="227">
        <v>0.40763888888888888</v>
      </c>
      <c r="E291" s="224">
        <v>5</v>
      </c>
      <c r="F291" s="224">
        <v>43.271893200000001</v>
      </c>
      <c r="G291" s="224">
        <v>-116.0988468</v>
      </c>
      <c r="H291" s="224">
        <v>0.25</v>
      </c>
      <c r="I291" s="223" t="s">
        <v>285</v>
      </c>
      <c r="K291" s="199" t="s">
        <v>1881</v>
      </c>
      <c r="L291" s="99" t="s">
        <v>304</v>
      </c>
      <c r="M291" s="99">
        <v>0.25</v>
      </c>
      <c r="N291" s="200" t="str">
        <f t="shared" si="8"/>
        <v>A</v>
      </c>
    </row>
    <row r="292" spans="1:14" x14ac:dyDescent="0.25">
      <c r="A292" s="225">
        <v>678</v>
      </c>
      <c r="B292" s="226">
        <v>45892</v>
      </c>
      <c r="C292" s="227">
        <v>0.42916666666666664</v>
      </c>
      <c r="D292" s="227">
        <v>0.44097222222222221</v>
      </c>
      <c r="E292" s="224">
        <v>5</v>
      </c>
      <c r="F292" s="224">
        <v>43.273879800000003</v>
      </c>
      <c r="G292" s="224">
        <v>-116.100703</v>
      </c>
      <c r="H292" s="224">
        <v>0.25</v>
      </c>
      <c r="I292" s="223" t="s">
        <v>285</v>
      </c>
      <c r="K292" s="199" t="s">
        <v>1882</v>
      </c>
      <c r="L292" s="99" t="s">
        <v>304</v>
      </c>
      <c r="M292" s="99">
        <v>0.25</v>
      </c>
      <c r="N292" s="200" t="str">
        <f t="shared" si="8"/>
        <v>A</v>
      </c>
    </row>
    <row r="293" spans="1:14" x14ac:dyDescent="0.25">
      <c r="A293" s="92">
        <v>681</v>
      </c>
      <c r="B293" s="221">
        <v>45892</v>
      </c>
      <c r="C293" s="222">
        <v>0.48194444444444445</v>
      </c>
      <c r="D293" s="222">
        <v>0.48194444444444445</v>
      </c>
      <c r="E293" s="99">
        <v>5</v>
      </c>
      <c r="F293" s="99">
        <v>43.273994500000001</v>
      </c>
      <c r="G293" s="99">
        <v>-116.09925939999999</v>
      </c>
      <c r="H293" s="99">
        <v>0.1</v>
      </c>
      <c r="I293" s="223" t="s">
        <v>285</v>
      </c>
      <c r="K293" s="199" t="s">
        <v>1883</v>
      </c>
      <c r="L293" s="99" t="s">
        <v>304</v>
      </c>
      <c r="M293" s="99">
        <v>0.1</v>
      </c>
      <c r="N293" s="200" t="str">
        <f t="shared" si="8"/>
        <v>A</v>
      </c>
    </row>
    <row r="294" spans="1:14" x14ac:dyDescent="0.25">
      <c r="A294" s="225">
        <v>682</v>
      </c>
      <c r="B294" s="226">
        <v>45892</v>
      </c>
      <c r="C294" s="227">
        <v>0.48333333333333334</v>
      </c>
      <c r="D294" s="227">
        <v>0.48402777777777778</v>
      </c>
      <c r="E294" s="224">
        <v>14</v>
      </c>
      <c r="F294" s="224">
        <v>43.198327300000003</v>
      </c>
      <c r="G294" s="224">
        <v>-116.0265608</v>
      </c>
      <c r="H294" s="224">
        <v>0.25</v>
      </c>
      <c r="I294" s="223" t="s">
        <v>285</v>
      </c>
      <c r="K294" s="199" t="s">
        <v>1884</v>
      </c>
      <c r="L294" s="99" t="s">
        <v>304</v>
      </c>
      <c r="M294" s="99">
        <v>0.25</v>
      </c>
      <c r="N294" s="200" t="str">
        <f t="shared" si="8"/>
        <v>A</v>
      </c>
    </row>
    <row r="295" spans="1:14" x14ac:dyDescent="0.25">
      <c r="A295" s="225">
        <v>683</v>
      </c>
      <c r="B295" s="226">
        <v>45892</v>
      </c>
      <c r="C295" s="227">
        <v>0.50694444444444442</v>
      </c>
      <c r="D295" s="227">
        <v>0.52222222222222225</v>
      </c>
      <c r="E295" s="224">
        <v>14</v>
      </c>
      <c r="F295" s="224">
        <v>43.198039999999999</v>
      </c>
      <c r="G295" s="224">
        <v>-116.03196869999999</v>
      </c>
      <c r="H295" s="224">
        <v>2</v>
      </c>
      <c r="I295" s="223" t="s">
        <v>285</v>
      </c>
      <c r="K295" s="199" t="s">
        <v>1885</v>
      </c>
      <c r="L295" s="99" t="s">
        <v>304</v>
      </c>
      <c r="M295" s="99">
        <v>2</v>
      </c>
      <c r="N295" s="200" t="str">
        <f t="shared" si="8"/>
        <v>B</v>
      </c>
    </row>
    <row r="296" spans="1:14" x14ac:dyDescent="0.25">
      <c r="A296" s="225">
        <v>684</v>
      </c>
      <c r="B296" s="226">
        <v>45892</v>
      </c>
      <c r="C296" s="227">
        <v>0.52222222222222225</v>
      </c>
      <c r="D296" s="227">
        <v>0.52500000000000002</v>
      </c>
      <c r="E296" s="224">
        <v>5</v>
      </c>
      <c r="F296" s="224">
        <v>43.276133999999999</v>
      </c>
      <c r="G296" s="224">
        <v>-116.0999427</v>
      </c>
      <c r="H296" s="224">
        <v>0.1</v>
      </c>
      <c r="I296" s="223" t="s">
        <v>285</v>
      </c>
      <c r="K296" s="199" t="s">
        <v>1886</v>
      </c>
      <c r="L296" s="99" t="s">
        <v>304</v>
      </c>
      <c r="M296" s="99">
        <v>0.1</v>
      </c>
      <c r="N296" s="200" t="str">
        <f t="shared" si="8"/>
        <v>A</v>
      </c>
    </row>
    <row r="297" spans="1:14" x14ac:dyDescent="0.25">
      <c r="A297" s="92">
        <v>685</v>
      </c>
      <c r="B297" s="221">
        <v>45892</v>
      </c>
      <c r="C297" s="222">
        <v>0.54791666666666672</v>
      </c>
      <c r="D297" s="222">
        <v>0.55069444444444449</v>
      </c>
      <c r="E297" s="99">
        <v>14</v>
      </c>
      <c r="F297" s="99">
        <v>43.197316499999999</v>
      </c>
      <c r="G297" s="99">
        <v>-116.0294816</v>
      </c>
      <c r="H297" s="99">
        <v>0.25</v>
      </c>
      <c r="I297" s="223" t="s">
        <v>285</v>
      </c>
      <c r="K297" s="199" t="s">
        <v>1887</v>
      </c>
      <c r="L297" s="99" t="s">
        <v>304</v>
      </c>
      <c r="M297" s="99">
        <v>0.25</v>
      </c>
      <c r="N297" s="200" t="str">
        <f t="shared" si="8"/>
        <v>A</v>
      </c>
    </row>
    <row r="298" spans="1:14" x14ac:dyDescent="0.25">
      <c r="A298" s="92">
        <v>686</v>
      </c>
      <c r="B298" s="221">
        <v>45892</v>
      </c>
      <c r="C298" s="222">
        <v>0.56319444444444444</v>
      </c>
      <c r="D298" s="222">
        <v>0.57152777777777775</v>
      </c>
      <c r="E298" s="99">
        <v>14</v>
      </c>
      <c r="F298" s="99">
        <v>43.1980711</v>
      </c>
      <c r="G298" s="99">
        <v>-116.03138970000001</v>
      </c>
      <c r="H298" s="99">
        <v>1.5</v>
      </c>
      <c r="I298" s="223" t="s">
        <v>285</v>
      </c>
      <c r="K298" s="199" t="s">
        <v>1888</v>
      </c>
      <c r="L298" s="99" t="s">
        <v>304</v>
      </c>
      <c r="M298" s="99">
        <v>1.5</v>
      </c>
      <c r="N298" s="200" t="str">
        <f t="shared" si="8"/>
        <v>B</v>
      </c>
    </row>
    <row r="299" spans="1:14" x14ac:dyDescent="0.25">
      <c r="A299" s="225">
        <v>687</v>
      </c>
      <c r="B299" s="226">
        <v>45892</v>
      </c>
      <c r="C299" s="227">
        <v>0.57986111111111116</v>
      </c>
      <c r="D299" s="227">
        <v>0.58263888888888893</v>
      </c>
      <c r="E299" s="224">
        <v>5</v>
      </c>
      <c r="F299" s="224">
        <v>43.280202699999997</v>
      </c>
      <c r="G299" s="224">
        <v>-116.09862560000001</v>
      </c>
      <c r="H299" s="224">
        <v>0.25</v>
      </c>
      <c r="I299" s="223" t="s">
        <v>285</v>
      </c>
      <c r="K299" s="199" t="s">
        <v>1889</v>
      </c>
      <c r="L299" s="99" t="s">
        <v>304</v>
      </c>
      <c r="M299" s="99">
        <v>0.25</v>
      </c>
      <c r="N299" s="200" t="str">
        <f t="shared" si="8"/>
        <v>A</v>
      </c>
    </row>
    <row r="300" spans="1:14" x14ac:dyDescent="0.25">
      <c r="A300" s="225">
        <v>688</v>
      </c>
      <c r="B300" s="226">
        <v>45892</v>
      </c>
      <c r="C300" s="227">
        <v>0.58888888888888891</v>
      </c>
      <c r="D300" s="227">
        <v>0.59305555555555556</v>
      </c>
      <c r="E300" s="224">
        <v>14</v>
      </c>
      <c r="F300" s="224">
        <v>43.197436799999998</v>
      </c>
      <c r="G300" s="224">
        <v>-116.03199050000001</v>
      </c>
      <c r="H300" s="224">
        <v>0.25</v>
      </c>
      <c r="I300" s="223" t="s">
        <v>285</v>
      </c>
      <c r="K300" s="199" t="s">
        <v>1890</v>
      </c>
      <c r="L300" s="99" t="s">
        <v>304</v>
      </c>
      <c r="M300" s="99">
        <v>0.25</v>
      </c>
      <c r="N300" s="200" t="str">
        <f t="shared" si="8"/>
        <v>A</v>
      </c>
    </row>
    <row r="301" spans="1:14" x14ac:dyDescent="0.25">
      <c r="A301" s="301">
        <v>689</v>
      </c>
      <c r="B301" s="319">
        <v>45892</v>
      </c>
      <c r="C301" s="320">
        <v>0.60277777777777775</v>
      </c>
      <c r="D301" s="320">
        <v>0.61111111111111116</v>
      </c>
      <c r="E301" s="321">
        <v>14</v>
      </c>
      <c r="F301" s="321">
        <v>43.197329199999999</v>
      </c>
      <c r="G301" s="321">
        <v>-116.0309707</v>
      </c>
      <c r="H301" s="321">
        <v>0.75</v>
      </c>
      <c r="I301" s="223" t="s">
        <v>285</v>
      </c>
      <c r="K301" s="199" t="s">
        <v>1891</v>
      </c>
      <c r="L301" s="99" t="s">
        <v>304</v>
      </c>
      <c r="M301" s="99">
        <v>0.75</v>
      </c>
      <c r="N301" s="200" t="str">
        <f t="shared" si="8"/>
        <v>B</v>
      </c>
    </row>
    <row r="302" spans="1:14" x14ac:dyDescent="0.25">
      <c r="A302" s="92">
        <v>701</v>
      </c>
      <c r="B302" s="221">
        <v>45906</v>
      </c>
      <c r="C302" s="222">
        <v>0.59513888888888888</v>
      </c>
      <c r="D302" s="222">
        <v>0.59652777777777777</v>
      </c>
      <c r="E302" s="99">
        <v>10</v>
      </c>
      <c r="F302" s="99">
        <v>43.244888400000001</v>
      </c>
      <c r="G302" s="99">
        <v>-116.0252777</v>
      </c>
      <c r="H302" s="99">
        <v>0.25</v>
      </c>
      <c r="I302" s="223" t="s">
        <v>285</v>
      </c>
      <c r="K302" s="199" t="s">
        <v>1892</v>
      </c>
      <c r="L302" s="99" t="s">
        <v>304</v>
      </c>
      <c r="M302" s="99">
        <v>0.25</v>
      </c>
      <c r="N302" s="200" t="str">
        <f t="shared" si="8"/>
        <v>A</v>
      </c>
    </row>
    <row r="303" spans="1:14" x14ac:dyDescent="0.25">
      <c r="A303" s="225">
        <v>702</v>
      </c>
      <c r="B303" s="226">
        <v>45906</v>
      </c>
      <c r="C303" s="227">
        <v>0.64583333333333337</v>
      </c>
      <c r="D303" s="227">
        <v>0.65277777777777779</v>
      </c>
      <c r="E303" s="224">
        <v>5</v>
      </c>
      <c r="F303" s="224">
        <v>43.270253400000001</v>
      </c>
      <c r="G303" s="224">
        <v>-116.0987231</v>
      </c>
      <c r="H303" s="224">
        <v>0.25</v>
      </c>
      <c r="I303" s="223" t="s">
        <v>285</v>
      </c>
      <c r="K303" s="199" t="s">
        <v>1893</v>
      </c>
      <c r="L303" s="99" t="s">
        <v>304</v>
      </c>
      <c r="M303" s="99">
        <v>0.25</v>
      </c>
      <c r="N303" s="200" t="str">
        <f t="shared" si="8"/>
        <v>A</v>
      </c>
    </row>
    <row r="304" spans="1:14" x14ac:dyDescent="0.25">
      <c r="A304" s="225">
        <v>703</v>
      </c>
      <c r="B304" s="226">
        <v>45906</v>
      </c>
      <c r="C304" s="227">
        <v>0.67152777777777772</v>
      </c>
      <c r="D304" s="227">
        <v>0.67500000000000004</v>
      </c>
      <c r="E304" s="224">
        <v>10</v>
      </c>
      <c r="F304" s="224">
        <v>43.242093599999997</v>
      </c>
      <c r="G304" s="224">
        <v>-116.0301752</v>
      </c>
      <c r="H304" s="224">
        <v>0.25</v>
      </c>
      <c r="I304" s="223" t="s">
        <v>285</v>
      </c>
      <c r="K304" s="199" t="s">
        <v>1894</v>
      </c>
      <c r="L304" s="99" t="s">
        <v>304</v>
      </c>
      <c r="M304" s="99">
        <v>0.25</v>
      </c>
      <c r="N304" s="200" t="str">
        <f t="shared" si="8"/>
        <v>A</v>
      </c>
    </row>
    <row r="305" spans="1:14" x14ac:dyDescent="0.25">
      <c r="A305" s="225">
        <v>704</v>
      </c>
      <c r="B305" s="226">
        <v>45906</v>
      </c>
      <c r="C305" s="227">
        <v>0.68472222222222223</v>
      </c>
      <c r="D305" s="227">
        <v>0.6875</v>
      </c>
      <c r="E305" s="224">
        <v>5</v>
      </c>
      <c r="F305" s="224">
        <v>43.274321100000002</v>
      </c>
      <c r="G305" s="224">
        <v>-116.0984289</v>
      </c>
      <c r="H305" s="224">
        <v>0.25</v>
      </c>
      <c r="I305" s="223" t="s">
        <v>285</v>
      </c>
      <c r="K305" s="199" t="s">
        <v>1895</v>
      </c>
      <c r="L305" s="99" t="s">
        <v>304</v>
      </c>
      <c r="M305" s="99">
        <v>0.25</v>
      </c>
      <c r="N305" s="200" t="str">
        <f t="shared" si="8"/>
        <v>A</v>
      </c>
    </row>
    <row r="306" spans="1:14" x14ac:dyDescent="0.25">
      <c r="A306" s="92">
        <v>705</v>
      </c>
      <c r="B306" s="221">
        <v>45906</v>
      </c>
      <c r="C306" s="222">
        <v>0.68611111111111112</v>
      </c>
      <c r="D306" s="222">
        <v>0.68819444444444444</v>
      </c>
      <c r="E306" s="99">
        <v>10</v>
      </c>
      <c r="F306" s="99">
        <v>43.246600999999998</v>
      </c>
      <c r="G306" s="99">
        <v>-116.02336579999999</v>
      </c>
      <c r="H306" s="99">
        <v>0.25</v>
      </c>
      <c r="I306" s="223" t="s">
        <v>285</v>
      </c>
      <c r="K306" s="199" t="s">
        <v>1896</v>
      </c>
      <c r="L306" s="99" t="s">
        <v>304</v>
      </c>
      <c r="M306" s="99">
        <v>0.25</v>
      </c>
      <c r="N306" s="200" t="str">
        <f t="shared" si="8"/>
        <v>A</v>
      </c>
    </row>
    <row r="307" spans="1:14" x14ac:dyDescent="0.25">
      <c r="A307" s="225">
        <v>707</v>
      </c>
      <c r="B307" s="226">
        <v>45906</v>
      </c>
      <c r="C307" s="227">
        <v>0.71458333333333335</v>
      </c>
      <c r="D307" s="227">
        <v>0.71666666666666667</v>
      </c>
      <c r="E307" s="224">
        <v>10</v>
      </c>
      <c r="F307" s="224">
        <v>43.241610000000001</v>
      </c>
      <c r="G307" s="224">
        <v>-116.03079</v>
      </c>
      <c r="H307" s="224">
        <v>0.25</v>
      </c>
      <c r="I307" s="223" t="s">
        <v>285</v>
      </c>
      <c r="K307" s="199" t="s">
        <v>1897</v>
      </c>
      <c r="L307" s="99" t="s">
        <v>304</v>
      </c>
      <c r="M307" s="99">
        <v>0.25</v>
      </c>
      <c r="N307" s="200" t="str">
        <f t="shared" si="8"/>
        <v>A</v>
      </c>
    </row>
    <row r="308" spans="1:14" x14ac:dyDescent="0.25">
      <c r="A308" s="92">
        <v>708</v>
      </c>
      <c r="B308" s="221">
        <v>45906</v>
      </c>
      <c r="C308" s="222">
        <v>0.7270833333333333</v>
      </c>
      <c r="D308" s="222">
        <v>0.73263888888888884</v>
      </c>
      <c r="E308" s="99">
        <v>5</v>
      </c>
      <c r="F308" s="99">
        <v>43.276600000000002</v>
      </c>
      <c r="G308" s="99">
        <v>-116.09768</v>
      </c>
      <c r="H308" s="99">
        <v>0.25</v>
      </c>
      <c r="I308" s="223" t="s">
        <v>285</v>
      </c>
      <c r="K308" s="199" t="s">
        <v>1898</v>
      </c>
      <c r="L308" s="99" t="s">
        <v>304</v>
      </c>
      <c r="M308" s="99">
        <v>0.25</v>
      </c>
      <c r="N308" s="200" t="str">
        <f t="shared" si="8"/>
        <v>A</v>
      </c>
    </row>
    <row r="309" spans="1:14" x14ac:dyDescent="0.25">
      <c r="A309" s="92">
        <v>709</v>
      </c>
      <c r="B309" s="221">
        <v>45906</v>
      </c>
      <c r="C309" s="222">
        <v>0.72986111111111107</v>
      </c>
      <c r="D309" s="222">
        <v>0.72986111111111107</v>
      </c>
      <c r="E309" s="99">
        <v>10</v>
      </c>
      <c r="F309" s="99">
        <v>43.246070000000003</v>
      </c>
      <c r="G309" s="99">
        <v>-116.02381</v>
      </c>
      <c r="H309" s="99">
        <v>0.25</v>
      </c>
      <c r="I309" s="223" t="s">
        <v>285</v>
      </c>
      <c r="K309" s="199" t="s">
        <v>1949</v>
      </c>
      <c r="L309" s="99" t="s">
        <v>304</v>
      </c>
      <c r="M309" s="99">
        <v>0.25</v>
      </c>
      <c r="N309" s="200" t="str">
        <f t="shared" si="8"/>
        <v>A</v>
      </c>
    </row>
    <row r="310" spans="1:14" x14ac:dyDescent="0.25">
      <c r="A310" s="225">
        <v>710</v>
      </c>
      <c r="B310" s="226">
        <v>45906</v>
      </c>
      <c r="C310" s="227">
        <v>0.75</v>
      </c>
      <c r="D310" s="227">
        <v>0.75069444444444444</v>
      </c>
      <c r="E310" s="224">
        <v>5</v>
      </c>
      <c r="F310" s="224">
        <v>43.274160000000002</v>
      </c>
      <c r="G310" s="224">
        <v>-116.09805</v>
      </c>
      <c r="H310" s="224">
        <v>0.25</v>
      </c>
      <c r="I310" s="223" t="s">
        <v>285</v>
      </c>
      <c r="K310" s="199" t="s">
        <v>1950</v>
      </c>
      <c r="L310" s="99" t="s">
        <v>304</v>
      </c>
      <c r="M310" s="99">
        <v>0.25</v>
      </c>
      <c r="N310" s="200" t="str">
        <f t="shared" si="8"/>
        <v>A</v>
      </c>
    </row>
    <row r="311" spans="1:14" x14ac:dyDescent="0.25">
      <c r="A311" s="225">
        <v>712</v>
      </c>
      <c r="B311" s="226">
        <v>45906</v>
      </c>
      <c r="C311" s="227">
        <v>0.80625000000000002</v>
      </c>
      <c r="D311" s="227">
        <v>0.80763888888888891</v>
      </c>
      <c r="E311" s="224">
        <v>10</v>
      </c>
      <c r="F311" s="224">
        <v>43.241700000000002</v>
      </c>
      <c r="G311" s="224">
        <v>-116.0307</v>
      </c>
      <c r="H311" s="224">
        <v>0.25</v>
      </c>
      <c r="I311" s="223" t="s">
        <v>285</v>
      </c>
      <c r="K311" s="199" t="s">
        <v>1951</v>
      </c>
      <c r="L311" s="99" t="s">
        <v>304</v>
      </c>
      <c r="M311" s="99">
        <v>0.25</v>
      </c>
      <c r="N311" s="200" t="str">
        <f t="shared" si="8"/>
        <v>A</v>
      </c>
    </row>
    <row r="312" spans="1:14" x14ac:dyDescent="0.25">
      <c r="A312" s="225">
        <v>713</v>
      </c>
      <c r="B312" s="226">
        <v>45906</v>
      </c>
      <c r="C312" s="227">
        <v>0.82361111111111107</v>
      </c>
      <c r="D312" s="227">
        <v>0.8256944444444444</v>
      </c>
      <c r="E312" s="224">
        <v>5</v>
      </c>
      <c r="F312" s="224">
        <v>43.274099999999997</v>
      </c>
      <c r="G312" s="224">
        <v>-116.09978</v>
      </c>
      <c r="H312" s="224">
        <v>0.25</v>
      </c>
      <c r="I312" s="223" t="s">
        <v>285</v>
      </c>
      <c r="K312" s="199" t="s">
        <v>1952</v>
      </c>
      <c r="L312" s="99" t="s">
        <v>304</v>
      </c>
      <c r="M312" s="99">
        <v>0.25</v>
      </c>
      <c r="N312" s="200" t="str">
        <f t="shared" si="8"/>
        <v>A</v>
      </c>
    </row>
    <row r="313" spans="1:14" x14ac:dyDescent="0.25">
      <c r="A313" s="92">
        <v>715</v>
      </c>
      <c r="B313" s="221">
        <v>45906</v>
      </c>
      <c r="C313" s="222">
        <v>0.84861111111111109</v>
      </c>
      <c r="D313" s="222">
        <v>0.8520833333333333</v>
      </c>
      <c r="E313" s="99">
        <v>5</v>
      </c>
      <c r="F313" s="99">
        <v>43.275770000000001</v>
      </c>
      <c r="G313" s="99">
        <v>-116.10066</v>
      </c>
      <c r="H313" s="99">
        <v>0.25</v>
      </c>
      <c r="I313" s="223" t="s">
        <v>285</v>
      </c>
      <c r="K313" s="199" t="s">
        <v>1953</v>
      </c>
      <c r="L313" s="99" t="s">
        <v>304</v>
      </c>
      <c r="M313" s="99">
        <v>0.25</v>
      </c>
      <c r="N313" s="200" t="str">
        <f t="shared" si="8"/>
        <v>A</v>
      </c>
    </row>
    <row r="314" spans="1:14" x14ac:dyDescent="0.25">
      <c r="A314" s="225">
        <v>718</v>
      </c>
      <c r="B314" s="226">
        <v>45907</v>
      </c>
      <c r="C314" s="227">
        <v>0.42777777777777776</v>
      </c>
      <c r="D314" s="227">
        <v>0.42916666666666664</v>
      </c>
      <c r="E314" s="224">
        <v>10</v>
      </c>
      <c r="F314" s="224">
        <v>43.245103700000001</v>
      </c>
      <c r="G314" s="224">
        <v>-116.0251758</v>
      </c>
      <c r="H314" s="224">
        <v>0.25</v>
      </c>
      <c r="I314" s="223" t="s">
        <v>285</v>
      </c>
      <c r="K314" s="199" t="s">
        <v>1954</v>
      </c>
      <c r="L314" s="99" t="s">
        <v>304</v>
      </c>
      <c r="M314" s="99">
        <v>0.25</v>
      </c>
      <c r="N314" s="200" t="str">
        <f t="shared" si="8"/>
        <v>A</v>
      </c>
    </row>
    <row r="315" spans="1:14" x14ac:dyDescent="0.25">
      <c r="A315" s="92">
        <v>719</v>
      </c>
      <c r="B315" s="221">
        <v>45907</v>
      </c>
      <c r="C315" s="222">
        <v>0.43055555555555558</v>
      </c>
      <c r="D315" s="222">
        <v>0.43194444444444446</v>
      </c>
      <c r="E315" s="99">
        <v>10</v>
      </c>
      <c r="F315" s="99">
        <v>43.2423146</v>
      </c>
      <c r="G315" s="99">
        <v>-116.0296913</v>
      </c>
      <c r="H315" s="99">
        <v>0.25</v>
      </c>
      <c r="I315" s="223" t="s">
        <v>285</v>
      </c>
      <c r="K315" s="199" t="s">
        <v>1955</v>
      </c>
      <c r="L315" s="99" t="s">
        <v>304</v>
      </c>
      <c r="M315" s="99">
        <v>0.25</v>
      </c>
      <c r="N315" s="200" t="str">
        <f t="shared" si="8"/>
        <v>A</v>
      </c>
    </row>
    <row r="316" spans="1:14" x14ac:dyDescent="0.25">
      <c r="A316" s="92">
        <v>720</v>
      </c>
      <c r="B316" s="221">
        <v>45907</v>
      </c>
      <c r="C316" s="222">
        <v>0.44791666666666669</v>
      </c>
      <c r="D316" s="222">
        <v>0.45</v>
      </c>
      <c r="E316" s="99">
        <v>10</v>
      </c>
      <c r="F316" s="99">
        <v>43.246264699999998</v>
      </c>
      <c r="G316" s="99">
        <v>-116.0240486</v>
      </c>
      <c r="H316" s="99">
        <v>0.25</v>
      </c>
      <c r="I316" s="223" t="s">
        <v>285</v>
      </c>
      <c r="K316" s="199" t="s">
        <v>1956</v>
      </c>
      <c r="L316" s="99" t="s">
        <v>304</v>
      </c>
      <c r="M316" s="99">
        <v>0.25</v>
      </c>
      <c r="N316" s="200" t="str">
        <f t="shared" si="8"/>
        <v>A</v>
      </c>
    </row>
    <row r="317" spans="1:14" x14ac:dyDescent="0.25">
      <c r="A317" s="225">
        <v>722</v>
      </c>
      <c r="B317" s="226">
        <v>45907</v>
      </c>
      <c r="C317" s="227">
        <v>0.47222222222222221</v>
      </c>
      <c r="D317" s="227">
        <v>0.4777777777777778</v>
      </c>
      <c r="E317" s="224">
        <v>14</v>
      </c>
      <c r="F317" s="224">
        <v>43.197293000000002</v>
      </c>
      <c r="G317" s="224">
        <v>-116.02988809999999</v>
      </c>
      <c r="H317" s="224">
        <v>0.25</v>
      </c>
      <c r="I317" s="223" t="s">
        <v>285</v>
      </c>
      <c r="K317" s="199" t="s">
        <v>1957</v>
      </c>
      <c r="L317" s="99" t="s">
        <v>304</v>
      </c>
      <c r="M317" s="99">
        <v>0.25</v>
      </c>
      <c r="N317" s="200" t="str">
        <f t="shared" si="8"/>
        <v>A</v>
      </c>
    </row>
    <row r="318" spans="1:14" x14ac:dyDescent="0.25">
      <c r="A318" s="301">
        <v>725</v>
      </c>
      <c r="B318" s="319">
        <v>45907</v>
      </c>
      <c r="C318" s="320">
        <v>0.53680555555555554</v>
      </c>
      <c r="D318" s="320">
        <v>0.54513888888888884</v>
      </c>
      <c r="E318" s="321">
        <v>14</v>
      </c>
      <c r="F318" s="321">
        <v>43.197442600000002</v>
      </c>
      <c r="G318" s="321">
        <v>-116.0337382</v>
      </c>
      <c r="H318" s="321">
        <v>0.25</v>
      </c>
      <c r="I318" s="326" t="s">
        <v>285</v>
      </c>
      <c r="K318" s="199" t="s">
        <v>1958</v>
      </c>
      <c r="L318" s="99" t="s">
        <v>304</v>
      </c>
      <c r="M318" s="99">
        <v>0.25</v>
      </c>
      <c r="N318" s="200" t="str">
        <f t="shared" si="8"/>
        <v>A</v>
      </c>
    </row>
    <row r="319" spans="1:14" x14ac:dyDescent="0.25">
      <c r="A319" s="92">
        <v>726</v>
      </c>
      <c r="B319" s="221">
        <v>45908</v>
      </c>
      <c r="C319" s="222">
        <v>0.64375000000000004</v>
      </c>
      <c r="D319" s="222">
        <v>0.68263888888888891</v>
      </c>
      <c r="E319" s="99">
        <v>30</v>
      </c>
      <c r="F319" s="99">
        <v>43.210034</v>
      </c>
      <c r="G319" s="99">
        <v>-116.177469</v>
      </c>
      <c r="H319" s="99">
        <v>5</v>
      </c>
      <c r="I319" s="223" t="s">
        <v>285</v>
      </c>
      <c r="K319" s="199" t="s">
        <v>1959</v>
      </c>
      <c r="L319" s="99" t="s">
        <v>304</v>
      </c>
      <c r="M319" s="99">
        <v>5</v>
      </c>
      <c r="N319" s="200" t="str">
        <f t="shared" si="8"/>
        <v>B</v>
      </c>
    </row>
    <row r="320" spans="1:14" x14ac:dyDescent="0.25">
      <c r="A320" s="225">
        <v>737</v>
      </c>
      <c r="B320" s="226">
        <v>45915</v>
      </c>
      <c r="C320" s="227">
        <v>0.47152777777777777</v>
      </c>
      <c r="D320" s="227">
        <v>0.50069444444444444</v>
      </c>
      <c r="E320" s="224">
        <v>10</v>
      </c>
      <c r="F320" s="224">
        <v>43.242732400000001</v>
      </c>
      <c r="G320" s="224">
        <v>-116.04833290000001</v>
      </c>
      <c r="H320" s="224">
        <v>0.25</v>
      </c>
      <c r="I320" s="223" t="s">
        <v>285</v>
      </c>
      <c r="K320" s="199" t="s">
        <v>1960</v>
      </c>
      <c r="L320" s="99" t="s">
        <v>304</v>
      </c>
      <c r="M320" s="99">
        <v>0.25</v>
      </c>
      <c r="N320" s="200" t="str">
        <f t="shared" si="8"/>
        <v>A</v>
      </c>
    </row>
    <row r="321" spans="1:14" x14ac:dyDescent="0.25">
      <c r="A321" s="92">
        <v>738</v>
      </c>
      <c r="B321" s="221">
        <v>45915</v>
      </c>
      <c r="C321" s="222">
        <v>0.5180555555555556</v>
      </c>
      <c r="D321" s="222">
        <v>0.52222222222222225</v>
      </c>
      <c r="E321" s="99">
        <v>10</v>
      </c>
      <c r="F321" s="99">
        <v>43.241389599999998</v>
      </c>
      <c r="G321" s="99">
        <v>-116.03636950000001</v>
      </c>
      <c r="H321" s="99">
        <v>0.25</v>
      </c>
      <c r="I321" s="223" t="s">
        <v>285</v>
      </c>
      <c r="K321" s="199" t="s">
        <v>1961</v>
      </c>
      <c r="L321" s="99" t="s">
        <v>304</v>
      </c>
      <c r="M321" s="99">
        <v>0.25</v>
      </c>
      <c r="N321" s="200" t="str">
        <f t="shared" si="8"/>
        <v>A</v>
      </c>
    </row>
    <row r="322" spans="1:14" x14ac:dyDescent="0.25">
      <c r="A322" s="92">
        <v>744</v>
      </c>
      <c r="B322" s="221">
        <v>45916</v>
      </c>
      <c r="C322" s="222">
        <v>0.45</v>
      </c>
      <c r="D322" s="222">
        <v>0.46388888888888891</v>
      </c>
      <c r="E322" s="99">
        <v>10</v>
      </c>
      <c r="F322" s="99">
        <v>43.243304500000001</v>
      </c>
      <c r="G322" s="99">
        <v>-116.0360067</v>
      </c>
      <c r="H322" s="99">
        <v>0.25</v>
      </c>
      <c r="I322" s="223" t="s">
        <v>285</v>
      </c>
      <c r="K322" s="199" t="s">
        <v>1962</v>
      </c>
      <c r="L322" s="99" t="s">
        <v>304</v>
      </c>
      <c r="M322" s="99">
        <v>0.25</v>
      </c>
      <c r="N322" s="200" t="str">
        <f t="shared" si="8"/>
        <v>A</v>
      </c>
    </row>
    <row r="323" spans="1:14" x14ac:dyDescent="0.25">
      <c r="A323" s="225">
        <v>745</v>
      </c>
      <c r="B323" s="226">
        <v>45916</v>
      </c>
      <c r="C323" s="227">
        <v>0.48819444444444443</v>
      </c>
      <c r="D323" s="227">
        <v>0.50208333333333333</v>
      </c>
      <c r="E323" s="224">
        <v>10</v>
      </c>
      <c r="F323" s="224">
        <v>43.244084399999998</v>
      </c>
      <c r="G323" s="224">
        <v>-116.0313261</v>
      </c>
      <c r="H323" s="224">
        <v>1.25</v>
      </c>
      <c r="I323" s="223" t="s">
        <v>285</v>
      </c>
      <c r="K323" s="199" t="s">
        <v>1963</v>
      </c>
      <c r="L323" s="99" t="s">
        <v>304</v>
      </c>
      <c r="M323" s="99">
        <v>1.25</v>
      </c>
      <c r="N323" s="200" t="str">
        <f t="shared" si="8"/>
        <v>B</v>
      </c>
    </row>
    <row r="324" spans="1:14" x14ac:dyDescent="0.25">
      <c r="A324" s="225">
        <v>746</v>
      </c>
      <c r="B324" s="226">
        <v>45916</v>
      </c>
      <c r="C324" s="227">
        <v>0.51249999999999996</v>
      </c>
      <c r="D324" s="227">
        <v>0.52986111111111112</v>
      </c>
      <c r="E324" s="224">
        <v>10</v>
      </c>
      <c r="F324" s="224">
        <v>43.241559799999997</v>
      </c>
      <c r="G324" s="224">
        <v>-116.0351967</v>
      </c>
      <c r="H324" s="224">
        <v>0.5</v>
      </c>
      <c r="I324" s="223" t="s">
        <v>285</v>
      </c>
      <c r="K324" s="199" t="s">
        <v>1964</v>
      </c>
      <c r="L324" s="99" t="s">
        <v>304</v>
      </c>
      <c r="M324" s="99">
        <v>0.5</v>
      </c>
      <c r="N324" s="200" t="str">
        <f t="shared" si="8"/>
        <v>B</v>
      </c>
    </row>
    <row r="325" spans="1:14" x14ac:dyDescent="0.25">
      <c r="A325" s="225">
        <v>747</v>
      </c>
      <c r="B325" s="226">
        <v>45916</v>
      </c>
      <c r="C325" s="227">
        <v>0.54652777777777772</v>
      </c>
      <c r="D325" s="227">
        <v>0.58263888888888893</v>
      </c>
      <c r="E325" s="224">
        <v>10</v>
      </c>
      <c r="F325" s="224">
        <v>43.2391085</v>
      </c>
      <c r="G325" s="224">
        <v>-116.05763899999999</v>
      </c>
      <c r="H325" s="224">
        <v>5</v>
      </c>
      <c r="I325" s="223" t="s">
        <v>285</v>
      </c>
      <c r="K325" s="199" t="s">
        <v>1965</v>
      </c>
      <c r="L325" s="99" t="s">
        <v>304</v>
      </c>
      <c r="M325" s="99">
        <v>5</v>
      </c>
      <c r="N325" s="200" t="str">
        <f t="shared" si="8"/>
        <v>B</v>
      </c>
    </row>
    <row r="326" spans="1:14" x14ac:dyDescent="0.25">
      <c r="A326" s="322">
        <v>749</v>
      </c>
      <c r="B326" s="323">
        <v>45916</v>
      </c>
      <c r="C326" s="324">
        <v>0.65486111111111112</v>
      </c>
      <c r="D326" s="324">
        <v>0.72222222222222221</v>
      </c>
      <c r="E326" s="314">
        <v>1</v>
      </c>
      <c r="F326" s="314">
        <v>43.245497499999999</v>
      </c>
      <c r="G326" s="314">
        <v>-116.140562</v>
      </c>
      <c r="H326" s="314">
        <v>60</v>
      </c>
      <c r="I326" s="223" t="s">
        <v>285</v>
      </c>
      <c r="K326" s="199" t="s">
        <v>1966</v>
      </c>
      <c r="L326" s="99" t="s">
        <v>304</v>
      </c>
      <c r="M326" s="99">
        <v>60</v>
      </c>
      <c r="N326" s="200" t="str">
        <f t="shared" si="8"/>
        <v>C</v>
      </c>
    </row>
    <row r="327" spans="1:14" x14ac:dyDescent="0.25">
      <c r="A327" s="301">
        <v>750</v>
      </c>
      <c r="B327" s="319">
        <v>45916</v>
      </c>
      <c r="C327" s="320">
        <v>0.66805555555555551</v>
      </c>
      <c r="D327" s="320">
        <v>0.76527777777777772</v>
      </c>
      <c r="E327" s="321">
        <v>1</v>
      </c>
      <c r="F327" s="321">
        <v>43.228181200000002</v>
      </c>
      <c r="G327" s="321">
        <v>-116.1623677</v>
      </c>
      <c r="H327" s="321">
        <v>60</v>
      </c>
      <c r="I327" s="223" t="s">
        <v>285</v>
      </c>
      <c r="K327" s="199" t="s">
        <v>1967</v>
      </c>
      <c r="L327" s="99" t="s">
        <v>304</v>
      </c>
      <c r="M327" s="99">
        <v>60</v>
      </c>
      <c r="N327" s="200" t="str">
        <f t="shared" si="8"/>
        <v>C</v>
      </c>
    </row>
    <row r="328" spans="1:14" x14ac:dyDescent="0.25">
      <c r="A328" s="92">
        <v>753</v>
      </c>
      <c r="B328" s="221">
        <v>45917</v>
      </c>
      <c r="C328" s="222">
        <v>0.37986111111111109</v>
      </c>
      <c r="D328" s="222">
        <v>0.39166666666666666</v>
      </c>
      <c r="E328" s="99">
        <v>10</v>
      </c>
      <c r="F328" s="99">
        <v>43.242237899999999</v>
      </c>
      <c r="G328" s="99">
        <v>-116.0312691</v>
      </c>
      <c r="H328" s="99">
        <v>0.5</v>
      </c>
      <c r="I328" s="223" t="s">
        <v>285</v>
      </c>
      <c r="K328" s="199" t="s">
        <v>1968</v>
      </c>
      <c r="L328" s="99" t="s">
        <v>304</v>
      </c>
      <c r="M328" s="99">
        <v>0.5</v>
      </c>
      <c r="N328" s="200" t="str">
        <f t="shared" si="8"/>
        <v>B</v>
      </c>
    </row>
    <row r="329" spans="1:14" x14ac:dyDescent="0.25">
      <c r="A329" s="225">
        <v>754</v>
      </c>
      <c r="B329" s="226">
        <v>45917</v>
      </c>
      <c r="C329" s="227">
        <v>0.40833333333333333</v>
      </c>
      <c r="D329" s="227">
        <v>0.42569444444444443</v>
      </c>
      <c r="E329" s="224">
        <v>10</v>
      </c>
      <c r="F329" s="224">
        <v>43.243558999999998</v>
      </c>
      <c r="G329" s="224">
        <v>-116.0459551</v>
      </c>
      <c r="H329" s="224">
        <v>0.75</v>
      </c>
      <c r="I329" s="223" t="s">
        <v>285</v>
      </c>
      <c r="K329" s="199" t="s">
        <v>1969</v>
      </c>
      <c r="L329" s="99" t="s">
        <v>304</v>
      </c>
      <c r="M329" s="99">
        <v>0.75</v>
      </c>
      <c r="N329" s="200" t="str">
        <f t="shared" si="8"/>
        <v>B</v>
      </c>
    </row>
    <row r="330" spans="1:14" x14ac:dyDescent="0.25">
      <c r="A330" s="301">
        <v>755</v>
      </c>
      <c r="B330" s="319">
        <v>45917</v>
      </c>
      <c r="C330" s="320">
        <v>0.45624999999999999</v>
      </c>
      <c r="D330" s="320">
        <v>0.74583333333333335</v>
      </c>
      <c r="E330" s="321">
        <v>10</v>
      </c>
      <c r="F330" s="321">
        <v>43.248346699999999</v>
      </c>
      <c r="G330" s="321">
        <v>-116.0608594</v>
      </c>
      <c r="H330" s="321">
        <v>659.8</v>
      </c>
      <c r="I330" s="223" t="s">
        <v>285</v>
      </c>
      <c r="K330" s="199" t="s">
        <v>1970</v>
      </c>
      <c r="L330" s="99" t="s">
        <v>304</v>
      </c>
      <c r="M330" s="99">
        <v>659.8</v>
      </c>
      <c r="N330" s="200" t="str">
        <f t="shared" si="8"/>
        <v>E</v>
      </c>
    </row>
    <row r="331" spans="1:14" x14ac:dyDescent="0.25">
      <c r="A331" s="322">
        <v>759</v>
      </c>
      <c r="B331" s="323">
        <v>45918</v>
      </c>
      <c r="C331" s="324">
        <v>0.43472222222222223</v>
      </c>
      <c r="D331" s="324">
        <v>0.45624999999999999</v>
      </c>
      <c r="E331" s="314">
        <v>10</v>
      </c>
      <c r="F331" s="314">
        <v>43.243883500000003</v>
      </c>
      <c r="G331" s="314">
        <v>-116.0568509</v>
      </c>
      <c r="H331" s="314">
        <v>4</v>
      </c>
      <c r="I331" s="223" t="s">
        <v>285</v>
      </c>
      <c r="K331" s="199" t="s">
        <v>1971</v>
      </c>
      <c r="L331" s="99" t="s">
        <v>304</v>
      </c>
      <c r="M331" s="99">
        <v>4</v>
      </c>
      <c r="N331" s="200" t="str">
        <f t="shared" si="8"/>
        <v>B</v>
      </c>
    </row>
    <row r="332" spans="1:14" x14ac:dyDescent="0.25">
      <c r="A332" s="301">
        <v>760</v>
      </c>
      <c r="B332" s="319">
        <v>45918</v>
      </c>
      <c r="C332" s="320">
        <v>0.48749999999999999</v>
      </c>
      <c r="D332" s="320">
        <v>0.52430555555555558</v>
      </c>
      <c r="E332" s="321">
        <v>10</v>
      </c>
      <c r="F332" s="321">
        <v>43.243883500000003</v>
      </c>
      <c r="G332" s="321">
        <v>-116.0568509</v>
      </c>
      <c r="H332" s="321">
        <v>0.5</v>
      </c>
      <c r="I332" s="223" t="s">
        <v>285</v>
      </c>
      <c r="K332" s="199" t="s">
        <v>1972</v>
      </c>
      <c r="L332" s="99" t="s">
        <v>304</v>
      </c>
      <c r="M332" s="99">
        <v>0.5</v>
      </c>
      <c r="N332" s="200" t="str">
        <f t="shared" si="8"/>
        <v>B</v>
      </c>
    </row>
    <row r="333" spans="1:14" x14ac:dyDescent="0.25">
      <c r="A333" s="92">
        <v>762</v>
      </c>
      <c r="B333" s="221">
        <v>45918</v>
      </c>
      <c r="C333" s="222">
        <v>0.5625</v>
      </c>
      <c r="D333" s="222">
        <v>0.58750000000000002</v>
      </c>
      <c r="E333" s="99">
        <v>10</v>
      </c>
      <c r="F333" s="99">
        <v>43.244592500000003</v>
      </c>
      <c r="G333" s="99">
        <v>-116.0664477</v>
      </c>
      <c r="H333" s="99">
        <v>2</v>
      </c>
      <c r="I333" s="223" t="s">
        <v>285</v>
      </c>
      <c r="K333" s="199" t="s">
        <v>1973</v>
      </c>
      <c r="L333" s="99" t="s">
        <v>304</v>
      </c>
      <c r="M333" s="99">
        <v>2</v>
      </c>
      <c r="N333" s="200" t="str">
        <f t="shared" si="8"/>
        <v>B</v>
      </c>
    </row>
    <row r="334" spans="1:14" x14ac:dyDescent="0.25">
      <c r="A334" s="92">
        <v>763</v>
      </c>
      <c r="B334" s="221">
        <v>45918</v>
      </c>
      <c r="C334" s="222">
        <v>0.56944444444444442</v>
      </c>
      <c r="D334" s="222">
        <v>0.58194444444444449</v>
      </c>
      <c r="E334" s="99">
        <v>10</v>
      </c>
      <c r="F334" s="99">
        <v>43.240328900000002</v>
      </c>
      <c r="G334" s="99">
        <v>-116.0648008</v>
      </c>
      <c r="H334" s="99">
        <v>1</v>
      </c>
      <c r="I334" s="223" t="s">
        <v>285</v>
      </c>
      <c r="K334" s="199" t="s">
        <v>1974</v>
      </c>
      <c r="L334" s="99" t="s">
        <v>304</v>
      </c>
      <c r="M334" s="99">
        <v>1</v>
      </c>
      <c r="N334" s="200" t="str">
        <f t="shared" si="8"/>
        <v>B</v>
      </c>
    </row>
    <row r="335" spans="1:14" x14ac:dyDescent="0.25">
      <c r="A335" s="225">
        <v>764</v>
      </c>
      <c r="B335" s="226">
        <v>45918</v>
      </c>
      <c r="C335" s="227">
        <v>0.61111111111111116</v>
      </c>
      <c r="D335" s="227">
        <v>0.62222222222222223</v>
      </c>
      <c r="E335" s="224">
        <v>10</v>
      </c>
      <c r="F335" s="224">
        <v>43.235779299999997</v>
      </c>
      <c r="G335" s="224">
        <v>-116.06233330000001</v>
      </c>
      <c r="H335" s="224">
        <v>0.5</v>
      </c>
      <c r="I335" s="223" t="s">
        <v>285</v>
      </c>
      <c r="K335" s="199" t="s">
        <v>1975</v>
      </c>
      <c r="L335" s="99" t="s">
        <v>304</v>
      </c>
      <c r="M335" s="99">
        <v>0.5</v>
      </c>
      <c r="N335" s="200" t="str">
        <f t="shared" si="8"/>
        <v>B</v>
      </c>
    </row>
    <row r="336" spans="1:14" x14ac:dyDescent="0.25">
      <c r="A336" s="225">
        <v>765</v>
      </c>
      <c r="B336" s="226">
        <v>45918</v>
      </c>
      <c r="C336" s="227">
        <v>0.64583333333333337</v>
      </c>
      <c r="D336" s="227">
        <v>0.6645833333333333</v>
      </c>
      <c r="E336" s="224">
        <v>10</v>
      </c>
      <c r="F336" s="224">
        <v>43.242092399999997</v>
      </c>
      <c r="G336" s="224">
        <v>-116.0364323</v>
      </c>
      <c r="H336" s="224">
        <v>2.5</v>
      </c>
      <c r="I336" s="223" t="s">
        <v>285</v>
      </c>
      <c r="K336" s="199" t="s">
        <v>1976</v>
      </c>
      <c r="L336" s="99" t="s">
        <v>304</v>
      </c>
      <c r="M336" s="99">
        <v>2.5</v>
      </c>
      <c r="N336" s="200" t="str">
        <f t="shared" si="8"/>
        <v>B</v>
      </c>
    </row>
    <row r="337" spans="1:14" x14ac:dyDescent="0.25">
      <c r="A337" s="225">
        <v>767</v>
      </c>
      <c r="B337" s="226">
        <v>45919</v>
      </c>
      <c r="C337" s="227">
        <v>0.37847222222222221</v>
      </c>
      <c r="D337" s="227">
        <v>0.38055555555555554</v>
      </c>
      <c r="E337" s="224">
        <v>10</v>
      </c>
      <c r="F337" s="224">
        <v>43.236505700000002</v>
      </c>
      <c r="G337" s="224">
        <v>-116.0597728</v>
      </c>
      <c r="H337" s="224">
        <v>0.25</v>
      </c>
      <c r="I337" s="223" t="s">
        <v>285</v>
      </c>
      <c r="K337" s="199" t="s">
        <v>1977</v>
      </c>
      <c r="L337" s="99" t="s">
        <v>304</v>
      </c>
      <c r="M337" s="99">
        <v>0.25</v>
      </c>
      <c r="N337" s="200" t="str">
        <f t="shared" si="8"/>
        <v>A</v>
      </c>
    </row>
    <row r="338" spans="1:14" x14ac:dyDescent="0.25">
      <c r="A338" s="92">
        <v>768</v>
      </c>
      <c r="B338" s="221">
        <v>45919</v>
      </c>
      <c r="C338" s="222">
        <v>0.40833333333333333</v>
      </c>
      <c r="D338" s="222">
        <v>0.41388888888888886</v>
      </c>
      <c r="E338" s="224">
        <v>10</v>
      </c>
      <c r="F338" s="99">
        <v>43.237270199999998</v>
      </c>
      <c r="G338" s="99">
        <v>-116.0574902</v>
      </c>
      <c r="H338" s="99">
        <v>0.25</v>
      </c>
      <c r="I338" s="223" t="s">
        <v>285</v>
      </c>
      <c r="K338" s="199" t="s">
        <v>1978</v>
      </c>
      <c r="L338" s="99" t="s">
        <v>304</v>
      </c>
      <c r="M338" s="99">
        <v>0.25</v>
      </c>
      <c r="N338" s="200" t="str">
        <f t="shared" si="8"/>
        <v>A</v>
      </c>
    </row>
    <row r="339" spans="1:14" x14ac:dyDescent="0.25">
      <c r="A339" s="301">
        <v>769</v>
      </c>
      <c r="B339" s="319">
        <v>45919</v>
      </c>
      <c r="C339" s="320">
        <v>0.41597222222222224</v>
      </c>
      <c r="D339" s="320">
        <v>0.44305555555555554</v>
      </c>
      <c r="E339" s="321">
        <v>10</v>
      </c>
      <c r="F339" s="321">
        <v>43.236539499999999</v>
      </c>
      <c r="G339" s="321">
        <v>-116.0627897</v>
      </c>
      <c r="H339" s="321">
        <v>0.25</v>
      </c>
      <c r="I339" s="223" t="s">
        <v>285</v>
      </c>
      <c r="K339" s="199" t="s">
        <v>1979</v>
      </c>
      <c r="L339" s="99" t="s">
        <v>304</v>
      </c>
      <c r="M339" s="99">
        <v>0.25</v>
      </c>
      <c r="N339" s="200" t="str">
        <f t="shared" si="8"/>
        <v>A</v>
      </c>
    </row>
    <row r="340" spans="1:14" x14ac:dyDescent="0.25">
      <c r="A340" s="322">
        <v>770</v>
      </c>
      <c r="B340" s="323">
        <v>45919</v>
      </c>
      <c r="C340" s="324">
        <v>0.42638888888888887</v>
      </c>
      <c r="D340" s="324">
        <v>0.44305555555555554</v>
      </c>
      <c r="E340" s="321">
        <v>10</v>
      </c>
      <c r="F340" s="314">
        <v>43.234445999999998</v>
      </c>
      <c r="G340" s="314">
        <v>-116.06444596999999</v>
      </c>
      <c r="H340" s="314">
        <v>0.25</v>
      </c>
      <c r="I340" s="223" t="s">
        <v>285</v>
      </c>
      <c r="K340" s="199" t="s">
        <v>1980</v>
      </c>
      <c r="L340" s="99" t="s">
        <v>304</v>
      </c>
      <c r="M340" s="99">
        <v>0.25</v>
      </c>
      <c r="N340" s="200" t="str">
        <f t="shared" si="8"/>
        <v>A</v>
      </c>
    </row>
    <row r="341" spans="1:14" x14ac:dyDescent="0.25">
      <c r="A341" s="92">
        <v>771</v>
      </c>
      <c r="B341" s="221">
        <v>45919</v>
      </c>
      <c r="C341" s="222">
        <v>0.4548611111111111</v>
      </c>
      <c r="D341" s="222">
        <v>0.4777777777777778</v>
      </c>
      <c r="E341" s="224">
        <v>10</v>
      </c>
      <c r="F341" s="99">
        <v>43.239938899999999</v>
      </c>
      <c r="G341" s="99">
        <v>-116.03732840000001</v>
      </c>
      <c r="H341" s="99">
        <v>5</v>
      </c>
      <c r="I341" s="223" t="s">
        <v>285</v>
      </c>
      <c r="K341" s="199" t="s">
        <v>1981</v>
      </c>
      <c r="L341" s="99" t="s">
        <v>304</v>
      </c>
      <c r="M341" s="99">
        <v>5</v>
      </c>
      <c r="N341" s="200" t="str">
        <f t="shared" si="8"/>
        <v>B</v>
      </c>
    </row>
    <row r="342" spans="1:14" x14ac:dyDescent="0.25">
      <c r="A342" s="225">
        <v>773</v>
      </c>
      <c r="B342" s="226">
        <v>45919</v>
      </c>
      <c r="C342" s="227">
        <v>0.56388888888888888</v>
      </c>
      <c r="D342" s="227">
        <v>0.56874999999999998</v>
      </c>
      <c r="E342" s="224">
        <v>10</v>
      </c>
      <c r="F342" s="224">
        <v>43.236522899999997</v>
      </c>
      <c r="G342" s="224">
        <v>-116.059674</v>
      </c>
      <c r="H342" s="224">
        <v>3</v>
      </c>
      <c r="I342" s="223" t="s">
        <v>285</v>
      </c>
      <c r="K342" s="199" t="s">
        <v>1982</v>
      </c>
      <c r="L342" s="99" t="s">
        <v>304</v>
      </c>
      <c r="M342" s="99">
        <v>3</v>
      </c>
      <c r="N342" s="200" t="str">
        <f t="shared" si="8"/>
        <v>B</v>
      </c>
    </row>
    <row r="343" spans="1:14" x14ac:dyDescent="0.25">
      <c r="A343" s="225">
        <v>774</v>
      </c>
      <c r="B343" s="226">
        <v>45919</v>
      </c>
      <c r="C343" s="227">
        <v>0.59375</v>
      </c>
      <c r="D343" s="227">
        <v>0.59722222222222221</v>
      </c>
      <c r="E343" s="224">
        <v>10</v>
      </c>
      <c r="F343" s="224">
        <v>43.235016100000003</v>
      </c>
      <c r="G343" s="224">
        <v>-116.0681087</v>
      </c>
      <c r="H343" s="224">
        <v>0.25</v>
      </c>
      <c r="I343" s="223" t="s">
        <v>285</v>
      </c>
      <c r="K343" s="199" t="s">
        <v>1983</v>
      </c>
      <c r="L343" s="99" t="s">
        <v>304</v>
      </c>
      <c r="M343" s="99">
        <v>0.25</v>
      </c>
      <c r="N343" s="200" t="str">
        <f t="shared" si="8"/>
        <v>A</v>
      </c>
    </row>
    <row r="344" spans="1:14" x14ac:dyDescent="0.25">
      <c r="A344" s="225">
        <v>775</v>
      </c>
      <c r="B344" s="226">
        <v>45919</v>
      </c>
      <c r="C344" s="227">
        <v>0.61319444444444449</v>
      </c>
      <c r="D344" s="227">
        <v>0.61875000000000002</v>
      </c>
      <c r="E344" s="224">
        <v>10</v>
      </c>
      <c r="F344" s="224">
        <v>43.2394192</v>
      </c>
      <c r="G344" s="224">
        <v>-116.0376322</v>
      </c>
      <c r="H344" s="224">
        <v>0.5</v>
      </c>
      <c r="I344" s="223" t="s">
        <v>285</v>
      </c>
      <c r="K344" s="199" t="s">
        <v>1984</v>
      </c>
      <c r="L344" s="99" t="s">
        <v>304</v>
      </c>
      <c r="M344" s="99">
        <v>0.5</v>
      </c>
      <c r="N344" s="200" t="str">
        <f t="shared" si="8"/>
        <v>B</v>
      </c>
    </row>
    <row r="345" spans="1:14" x14ac:dyDescent="0.25">
      <c r="A345" s="225">
        <v>776</v>
      </c>
      <c r="B345" s="226">
        <v>45919</v>
      </c>
      <c r="C345" s="227">
        <v>0.6333333333333333</v>
      </c>
      <c r="D345" s="227">
        <v>0.64652777777777781</v>
      </c>
      <c r="E345" s="224">
        <v>10</v>
      </c>
      <c r="F345" s="224">
        <v>43.241719000000003</v>
      </c>
      <c r="G345" s="224">
        <v>-116.0402072</v>
      </c>
      <c r="H345" s="224">
        <v>0.5</v>
      </c>
      <c r="I345" s="223" t="s">
        <v>285</v>
      </c>
      <c r="K345" s="199" t="s">
        <v>1985</v>
      </c>
      <c r="L345" s="99" t="s">
        <v>304</v>
      </c>
      <c r="M345" s="99">
        <v>0.5</v>
      </c>
      <c r="N345" s="200" t="str">
        <f t="shared" ref="N345:N348" si="9">IF(M345&gt;4999.9,"G",IF(M345&gt;999.9,"F",IF(M345&gt;299.9,"E",IF(M345&gt;99.9,"D",IF(M345&gt;9.9,"C",IF(M345&gt;0.25,"B",IF(M345&gt;0,"A","")))))))</f>
        <v>B</v>
      </c>
    </row>
    <row r="346" spans="1:14" x14ac:dyDescent="0.25">
      <c r="A346" s="225">
        <v>777</v>
      </c>
      <c r="B346" s="226">
        <v>45919</v>
      </c>
      <c r="C346" s="227">
        <v>0.63680555555555551</v>
      </c>
      <c r="D346" s="227">
        <v>0.64375000000000004</v>
      </c>
      <c r="E346" s="224">
        <v>10</v>
      </c>
      <c r="F346" s="224">
        <v>43.158427000000003</v>
      </c>
      <c r="G346" s="224">
        <v>-116.0446859</v>
      </c>
      <c r="H346" s="224">
        <v>0.5</v>
      </c>
      <c r="I346" s="223" t="s">
        <v>285</v>
      </c>
      <c r="K346" s="199" t="s">
        <v>1986</v>
      </c>
      <c r="L346" s="99" t="s">
        <v>304</v>
      </c>
      <c r="M346" s="99">
        <v>0.5</v>
      </c>
      <c r="N346" s="200" t="str">
        <f t="shared" si="9"/>
        <v>B</v>
      </c>
    </row>
    <row r="347" spans="1:14" x14ac:dyDescent="0.25">
      <c r="A347" s="92">
        <v>779</v>
      </c>
      <c r="B347" s="221">
        <v>45922</v>
      </c>
      <c r="C347" s="222">
        <v>0.46250000000000002</v>
      </c>
      <c r="D347" s="222">
        <v>0.46875</v>
      </c>
      <c r="E347" s="99">
        <v>10</v>
      </c>
      <c r="F347" s="99">
        <v>43.237659899999997</v>
      </c>
      <c r="G347" s="99">
        <v>-116.05559220000001</v>
      </c>
      <c r="H347" s="99">
        <v>0.25</v>
      </c>
      <c r="I347" s="223" t="s">
        <v>285</v>
      </c>
      <c r="K347" s="199" t="s">
        <v>1987</v>
      </c>
      <c r="L347" s="99" t="s">
        <v>304</v>
      </c>
      <c r="M347" s="99">
        <v>0.25</v>
      </c>
      <c r="N347" s="200" t="str">
        <f t="shared" si="9"/>
        <v>A</v>
      </c>
    </row>
    <row r="348" spans="1:14" x14ac:dyDescent="0.25">
      <c r="A348" s="92">
        <v>780</v>
      </c>
      <c r="B348" s="221">
        <v>45922</v>
      </c>
      <c r="C348" s="222">
        <v>0.47361111111111109</v>
      </c>
      <c r="D348" s="222">
        <v>0.6166666666666667</v>
      </c>
      <c r="E348" s="99">
        <v>10</v>
      </c>
      <c r="F348" s="99">
        <v>43.228211799999997</v>
      </c>
      <c r="G348" s="99">
        <v>-116.0718205</v>
      </c>
      <c r="H348" s="99">
        <v>200</v>
      </c>
      <c r="I348" s="223" t="s">
        <v>285</v>
      </c>
      <c r="K348" s="199" t="s">
        <v>1988</v>
      </c>
      <c r="L348" s="99" t="s">
        <v>304</v>
      </c>
      <c r="M348" s="99">
        <v>200</v>
      </c>
      <c r="N348" s="200" t="str">
        <f t="shared" si="9"/>
        <v>D</v>
      </c>
    </row>
    <row r="349" spans="1:14" x14ac:dyDescent="0.25">
      <c r="A349" s="225">
        <v>782</v>
      </c>
      <c r="B349" s="226">
        <v>45923</v>
      </c>
      <c r="C349" s="227">
        <v>0.40208333333333335</v>
      </c>
      <c r="D349" s="227">
        <v>0.41111111111111109</v>
      </c>
      <c r="E349" s="224">
        <v>10</v>
      </c>
      <c r="F349" s="224">
        <v>43.240798099999999</v>
      </c>
      <c r="G349" s="224">
        <v>-116.06272439999999</v>
      </c>
      <c r="H349" s="224">
        <v>0.25</v>
      </c>
      <c r="I349" s="223" t="s">
        <v>285</v>
      </c>
      <c r="K349" s="199" t="s">
        <v>1989</v>
      </c>
      <c r="L349" s="99" t="s">
        <v>304</v>
      </c>
      <c r="M349" s="99">
        <v>0.25</v>
      </c>
      <c r="N349" s="200" t="str">
        <f t="shared" ref="N349:N359" si="10">IF(M349&gt;4999.9,"G",IF(M349&gt;999.9,"F",IF(M349&gt;299.9,"E",IF(M349&gt;99.9,"D",IF(M349&gt;9.9,"C",IF(M349&gt;0.25,"B",IF(M349&gt;0,"A","")))))))</f>
        <v>A</v>
      </c>
    </row>
    <row r="350" spans="1:14" x14ac:dyDescent="0.25">
      <c r="A350" s="92">
        <v>783</v>
      </c>
      <c r="B350" s="221">
        <v>45923</v>
      </c>
      <c r="C350" s="222">
        <v>0.44374999999999998</v>
      </c>
      <c r="D350" s="222">
        <v>0.46458333333333335</v>
      </c>
      <c r="E350" s="99">
        <v>10</v>
      </c>
      <c r="F350" s="99">
        <v>43.232763300000002</v>
      </c>
      <c r="G350" s="99">
        <v>-116.0734509</v>
      </c>
      <c r="H350" s="99">
        <v>2</v>
      </c>
      <c r="I350" s="223" t="s">
        <v>285</v>
      </c>
      <c r="K350" s="199" t="s">
        <v>1990</v>
      </c>
      <c r="L350" s="99" t="s">
        <v>304</v>
      </c>
      <c r="M350" s="99">
        <v>2</v>
      </c>
      <c r="N350" s="200" t="str">
        <f t="shared" si="10"/>
        <v>B</v>
      </c>
    </row>
    <row r="351" spans="1:14" x14ac:dyDescent="0.25">
      <c r="A351" s="225">
        <v>784</v>
      </c>
      <c r="B351" s="226">
        <v>45923</v>
      </c>
      <c r="C351" s="227">
        <v>0.51597222222222228</v>
      </c>
      <c r="D351" s="227">
        <v>0.52569444444444446</v>
      </c>
      <c r="E351" s="224">
        <v>10</v>
      </c>
      <c r="F351" s="224">
        <v>43.240426100000001</v>
      </c>
      <c r="G351" s="224">
        <v>-116.0438855</v>
      </c>
      <c r="H351" s="224">
        <v>0.5</v>
      </c>
      <c r="I351" s="223" t="s">
        <v>285</v>
      </c>
      <c r="K351" s="199" t="s">
        <v>1991</v>
      </c>
      <c r="L351" s="99" t="s">
        <v>304</v>
      </c>
      <c r="M351" s="99">
        <v>0.5</v>
      </c>
      <c r="N351" s="200" t="str">
        <f t="shared" si="10"/>
        <v>B</v>
      </c>
    </row>
    <row r="352" spans="1:14" x14ac:dyDescent="0.25">
      <c r="A352" s="92">
        <v>787</v>
      </c>
      <c r="B352" s="221">
        <v>45925</v>
      </c>
      <c r="C352" s="222">
        <v>0.41736111111111113</v>
      </c>
      <c r="D352" s="222">
        <v>0.42499999999999999</v>
      </c>
      <c r="E352" s="99">
        <v>10</v>
      </c>
      <c r="F352" s="99">
        <v>43.239180500000003</v>
      </c>
      <c r="G352" s="99">
        <v>-116.0532778</v>
      </c>
      <c r="H352" s="99">
        <v>0.25</v>
      </c>
      <c r="I352" s="223" t="s">
        <v>285</v>
      </c>
      <c r="K352" s="199" t="s">
        <v>1992</v>
      </c>
      <c r="L352" s="99" t="s">
        <v>304</v>
      </c>
      <c r="M352" s="99">
        <v>0.25</v>
      </c>
      <c r="N352" s="200" t="str">
        <f t="shared" si="10"/>
        <v>A</v>
      </c>
    </row>
    <row r="353" spans="1:14" x14ac:dyDescent="0.25">
      <c r="A353" s="290"/>
      <c r="B353" s="291"/>
      <c r="C353" s="292"/>
      <c r="D353" s="292"/>
      <c r="E353" s="98"/>
      <c r="F353" s="98"/>
      <c r="G353" s="98"/>
      <c r="H353" s="98"/>
      <c r="I353" s="293"/>
      <c r="K353" s="199"/>
      <c r="L353" s="99"/>
      <c r="M353" s="99"/>
      <c r="N353" s="200" t="str">
        <f t="shared" si="10"/>
        <v/>
      </c>
    </row>
    <row r="354" spans="1:14" x14ac:dyDescent="0.25">
      <c r="A354" s="290"/>
      <c r="B354" s="291"/>
      <c r="C354" s="292"/>
      <c r="D354" s="292"/>
      <c r="E354" s="98"/>
      <c r="F354" s="98"/>
      <c r="G354" s="98"/>
      <c r="H354" s="98"/>
      <c r="I354" s="293"/>
      <c r="K354" s="199"/>
      <c r="L354" s="99"/>
      <c r="M354" s="99"/>
      <c r="N354" s="200" t="str">
        <f t="shared" si="10"/>
        <v/>
      </c>
    </row>
    <row r="355" spans="1:14" x14ac:dyDescent="0.25">
      <c r="A355" s="290"/>
      <c r="B355" s="291"/>
      <c r="C355" s="292"/>
      <c r="D355" s="292"/>
      <c r="E355" s="98"/>
      <c r="F355" s="98"/>
      <c r="G355" s="98"/>
      <c r="H355" s="98"/>
      <c r="I355" s="293"/>
      <c r="K355" s="199"/>
      <c r="L355" s="99"/>
      <c r="M355" s="99"/>
      <c r="N355" s="200" t="str">
        <f t="shared" si="10"/>
        <v/>
      </c>
    </row>
    <row r="356" spans="1:14" x14ac:dyDescent="0.25">
      <c r="A356" s="290"/>
      <c r="B356" s="291"/>
      <c r="C356" s="292"/>
      <c r="D356" s="292"/>
      <c r="E356" s="98"/>
      <c r="F356" s="98"/>
      <c r="G356" s="98"/>
      <c r="H356" s="98"/>
      <c r="I356" s="293"/>
      <c r="K356" s="199"/>
      <c r="L356" s="99"/>
      <c r="M356" s="99"/>
      <c r="N356" s="200" t="str">
        <f t="shared" si="10"/>
        <v/>
      </c>
    </row>
    <row r="357" spans="1:14" x14ac:dyDescent="0.25">
      <c r="A357" s="290"/>
      <c r="B357" s="291"/>
      <c r="C357" s="292"/>
      <c r="D357" s="292"/>
      <c r="E357" s="98"/>
      <c r="F357" s="98"/>
      <c r="G357" s="98"/>
      <c r="H357" s="98"/>
      <c r="I357" s="293"/>
      <c r="K357" s="194"/>
      <c r="L357" s="194"/>
      <c r="M357" s="194"/>
      <c r="N357" s="194"/>
    </row>
    <row r="358" spans="1:14" x14ac:dyDescent="0.25">
      <c r="A358" s="290"/>
      <c r="B358" s="291"/>
      <c r="C358" s="292"/>
      <c r="D358" s="292"/>
      <c r="E358" s="98"/>
      <c r="F358" s="98"/>
      <c r="G358" s="98"/>
      <c r="H358" s="98"/>
      <c r="I358" s="293"/>
      <c r="K358" s="199"/>
      <c r="L358" s="99"/>
      <c r="M358" s="99"/>
      <c r="N358" s="200" t="str">
        <f t="shared" si="10"/>
        <v/>
      </c>
    </row>
    <row r="359" spans="1:14" x14ac:dyDescent="0.25">
      <c r="A359" s="290"/>
      <c r="B359" s="291"/>
      <c r="C359" s="292"/>
      <c r="D359" s="292"/>
      <c r="E359" s="98"/>
      <c r="F359" s="98"/>
      <c r="G359" s="98"/>
      <c r="H359" s="98"/>
      <c r="I359" s="293"/>
      <c r="K359" s="199"/>
      <c r="L359" s="99"/>
      <c r="M359" s="99"/>
      <c r="N359" s="200" t="str">
        <f t="shared" si="10"/>
        <v/>
      </c>
    </row>
    <row r="360" spans="1:14" x14ac:dyDescent="0.25">
      <c r="A360" s="290"/>
      <c r="B360" s="291"/>
      <c r="C360" s="292"/>
      <c r="D360" s="292"/>
      <c r="E360" s="98"/>
      <c r="F360" s="98"/>
      <c r="G360" s="98"/>
      <c r="H360" s="98"/>
      <c r="I360" s="293"/>
      <c r="K360" s="199"/>
      <c r="L360" s="99"/>
      <c r="M360" s="99"/>
      <c r="N360" s="199"/>
    </row>
    <row r="361" spans="1:14" x14ac:dyDescent="0.25">
      <c r="A361" s="290"/>
      <c r="B361" s="291"/>
      <c r="C361" s="292"/>
      <c r="D361" s="292"/>
      <c r="E361" s="98"/>
      <c r="F361" s="98"/>
      <c r="G361" s="98"/>
      <c r="H361" s="98"/>
      <c r="I361" s="293"/>
      <c r="K361" s="199"/>
      <c r="L361" s="99"/>
      <c r="M361" s="99"/>
      <c r="N361" s="199"/>
    </row>
    <row r="362" spans="1:14" x14ac:dyDescent="0.25">
      <c r="A362" s="290"/>
      <c r="B362" s="291"/>
      <c r="C362" s="292"/>
      <c r="D362" s="292"/>
      <c r="E362" s="98"/>
      <c r="F362" s="98"/>
      <c r="G362" s="98"/>
      <c r="H362" s="98"/>
      <c r="I362" s="293"/>
      <c r="K362" s="199"/>
      <c r="L362" s="99"/>
      <c r="M362" s="99"/>
      <c r="N362" s="199"/>
    </row>
    <row r="363" spans="1:14" x14ac:dyDescent="0.25">
      <c r="A363" s="290"/>
      <c r="B363" s="291"/>
      <c r="C363" s="292"/>
      <c r="D363" s="292"/>
      <c r="E363" s="98"/>
      <c r="F363" s="98"/>
      <c r="G363" s="98"/>
      <c r="H363" s="98"/>
      <c r="I363" s="293"/>
      <c r="K363" s="199"/>
      <c r="L363" s="99"/>
      <c r="M363" s="99"/>
      <c r="N363" s="199"/>
    </row>
    <row r="364" spans="1:14" x14ac:dyDescent="0.25">
      <c r="A364" s="290"/>
      <c r="B364" s="291"/>
      <c r="C364" s="292"/>
      <c r="D364" s="292"/>
      <c r="E364" s="98"/>
      <c r="F364" s="98"/>
      <c r="G364" s="98"/>
      <c r="H364" s="98"/>
      <c r="I364" s="293"/>
      <c r="K364" s="199"/>
      <c r="L364" s="99"/>
      <c r="M364" s="99"/>
      <c r="N364" s="199"/>
    </row>
    <row r="365" spans="1:14" x14ac:dyDescent="0.25">
      <c r="A365" s="290"/>
      <c r="B365" s="291"/>
      <c r="C365" s="292"/>
      <c r="D365" s="292"/>
      <c r="E365" s="98"/>
      <c r="F365" s="98"/>
      <c r="G365" s="98"/>
      <c r="H365" s="98"/>
      <c r="I365" s="293"/>
      <c r="K365" s="199"/>
      <c r="L365" s="99"/>
      <c r="M365" s="99"/>
      <c r="N365" s="199"/>
    </row>
    <row r="366" spans="1:14" x14ac:dyDescent="0.25">
      <c r="A366" s="290"/>
      <c r="B366" s="291"/>
      <c r="C366" s="292"/>
      <c r="D366" s="292"/>
      <c r="E366" s="98"/>
      <c r="F366" s="98"/>
      <c r="G366" s="98"/>
      <c r="H366" s="98"/>
      <c r="I366" s="293"/>
      <c r="K366" s="199"/>
      <c r="L366" s="99"/>
      <c r="M366" s="99"/>
      <c r="N366" s="199"/>
    </row>
    <row r="367" spans="1:14" x14ac:dyDescent="0.25">
      <c r="A367" s="290"/>
      <c r="B367" s="291"/>
      <c r="C367" s="292"/>
      <c r="D367" s="292"/>
      <c r="E367" s="98"/>
      <c r="F367" s="98"/>
      <c r="G367" s="98"/>
      <c r="H367" s="98"/>
      <c r="I367" s="293"/>
      <c r="K367" s="199"/>
      <c r="L367" s="99"/>
      <c r="M367" s="99"/>
      <c r="N367" s="199"/>
    </row>
    <row r="368" spans="1:14" x14ac:dyDescent="0.25">
      <c r="A368" s="290"/>
      <c r="B368" s="291"/>
      <c r="C368" s="292"/>
      <c r="D368" s="292"/>
      <c r="E368" s="98"/>
      <c r="F368" s="98"/>
      <c r="G368" s="98"/>
      <c r="H368" s="98"/>
      <c r="I368" s="293"/>
      <c r="K368" s="199"/>
      <c r="L368" s="99"/>
      <c r="M368" s="99"/>
      <c r="N368" s="199"/>
    </row>
    <row r="369" spans="1:14" x14ac:dyDescent="0.25">
      <c r="A369" s="290"/>
      <c r="B369" s="291"/>
      <c r="C369" s="292"/>
      <c r="D369" s="292"/>
      <c r="E369" s="98"/>
      <c r="F369" s="98"/>
      <c r="G369" s="98"/>
      <c r="H369" s="98"/>
      <c r="I369" s="293"/>
      <c r="K369" s="199"/>
      <c r="L369" s="99"/>
      <c r="M369" s="99"/>
      <c r="N369" s="199"/>
    </row>
    <row r="370" spans="1:14" x14ac:dyDescent="0.25">
      <c r="A370" s="290"/>
      <c r="B370" s="291"/>
      <c r="C370" s="292"/>
      <c r="D370" s="292"/>
      <c r="E370" s="98"/>
      <c r="F370" s="98"/>
      <c r="G370" s="98"/>
      <c r="H370" s="98"/>
      <c r="I370" s="293"/>
      <c r="K370" s="199"/>
      <c r="L370" s="99"/>
      <c r="M370" s="99"/>
      <c r="N370" s="199"/>
    </row>
    <row r="371" spans="1:14" x14ac:dyDescent="0.25">
      <c r="A371" s="290"/>
      <c r="B371" s="291"/>
      <c r="C371" s="292"/>
      <c r="D371" s="292"/>
      <c r="E371" s="98"/>
      <c r="F371" s="98"/>
      <c r="G371" s="98"/>
      <c r="H371" s="98"/>
      <c r="I371" s="293"/>
      <c r="K371" s="199"/>
      <c r="L371" s="99"/>
      <c r="M371" s="99"/>
      <c r="N371" s="199"/>
    </row>
    <row r="372" spans="1:14" x14ac:dyDescent="0.25">
      <c r="A372" s="290"/>
      <c r="B372" s="291"/>
      <c r="C372" s="292"/>
      <c r="D372" s="292"/>
      <c r="E372" s="98"/>
      <c r="F372" s="98"/>
      <c r="G372" s="98"/>
      <c r="H372" s="98"/>
      <c r="I372" s="293"/>
      <c r="K372" s="199"/>
      <c r="L372" s="99"/>
      <c r="M372" s="99"/>
      <c r="N372" s="199"/>
    </row>
    <row r="373" spans="1:14" x14ac:dyDescent="0.25">
      <c r="A373" s="290"/>
      <c r="B373" s="291"/>
      <c r="C373" s="292"/>
      <c r="D373" s="292"/>
      <c r="E373" s="98"/>
      <c r="F373" s="98"/>
      <c r="G373" s="98"/>
      <c r="H373" s="98"/>
      <c r="I373" s="293"/>
      <c r="K373" s="199"/>
      <c r="L373" s="99"/>
      <c r="M373" s="99"/>
      <c r="N373" s="199"/>
    </row>
    <row r="374" spans="1:14" x14ac:dyDescent="0.25">
      <c r="A374" s="290"/>
      <c r="B374" s="291"/>
      <c r="C374" s="292"/>
      <c r="D374" s="292"/>
      <c r="E374" s="98"/>
      <c r="F374" s="98"/>
      <c r="G374" s="98"/>
      <c r="H374" s="98"/>
      <c r="I374" s="293"/>
      <c r="K374" s="199"/>
      <c r="L374" s="99"/>
      <c r="M374" s="99"/>
      <c r="N374" s="199"/>
    </row>
    <row r="375" spans="1:14" x14ac:dyDescent="0.25">
      <c r="A375" s="290"/>
      <c r="B375" s="291"/>
      <c r="C375" s="292"/>
      <c r="D375" s="292"/>
      <c r="E375" s="98"/>
      <c r="F375" s="98"/>
      <c r="G375" s="98"/>
      <c r="H375" s="98"/>
      <c r="I375" s="293"/>
      <c r="K375" s="199"/>
      <c r="L375" s="99"/>
      <c r="M375" s="99"/>
      <c r="N375" s="199"/>
    </row>
    <row r="376" spans="1:14" x14ac:dyDescent="0.25">
      <c r="A376" s="290"/>
      <c r="B376" s="291"/>
      <c r="C376" s="292"/>
      <c r="D376" s="292"/>
      <c r="E376" s="98"/>
      <c r="F376" s="98"/>
      <c r="G376" s="98"/>
      <c r="H376" s="98"/>
      <c r="I376" s="293"/>
      <c r="K376" s="199"/>
      <c r="L376" s="99"/>
      <c r="M376" s="99"/>
      <c r="N376" s="199"/>
    </row>
    <row r="377" spans="1:14" x14ac:dyDescent="0.25">
      <c r="A377" s="290"/>
      <c r="B377" s="291"/>
      <c r="C377" s="292"/>
      <c r="D377" s="292"/>
      <c r="E377" s="98"/>
      <c r="F377" s="98"/>
      <c r="G377" s="98"/>
      <c r="H377" s="98"/>
      <c r="I377" s="293"/>
      <c r="K377" s="199"/>
      <c r="L377" s="99"/>
      <c r="M377" s="99"/>
      <c r="N377" s="199"/>
    </row>
    <row r="378" spans="1:14" x14ac:dyDescent="0.25">
      <c r="A378" s="290"/>
      <c r="B378" s="291"/>
      <c r="C378" s="292"/>
      <c r="D378" s="292"/>
      <c r="E378" s="98"/>
      <c r="F378" s="98"/>
      <c r="G378" s="98"/>
      <c r="H378" s="98"/>
      <c r="I378" s="293"/>
      <c r="K378" s="199"/>
      <c r="L378" s="99"/>
      <c r="M378" s="99"/>
      <c r="N378" s="199"/>
    </row>
    <row r="379" spans="1:14" x14ac:dyDescent="0.25">
      <c r="A379" s="290"/>
      <c r="B379" s="291"/>
      <c r="C379" s="292"/>
      <c r="D379" s="292"/>
      <c r="E379" s="98"/>
      <c r="F379" s="98"/>
      <c r="G379" s="98"/>
      <c r="H379" s="98"/>
      <c r="I379" s="293"/>
      <c r="K379" s="199"/>
      <c r="L379" s="99"/>
      <c r="M379" s="99"/>
      <c r="N379" s="199"/>
    </row>
    <row r="380" spans="1:14" x14ac:dyDescent="0.25">
      <c r="A380" s="290"/>
      <c r="B380" s="291"/>
      <c r="C380" s="292"/>
      <c r="D380" s="292"/>
      <c r="E380" s="98"/>
      <c r="F380" s="98"/>
      <c r="G380" s="98"/>
      <c r="H380" s="98"/>
      <c r="I380" s="293"/>
      <c r="K380" s="199"/>
      <c r="L380" s="99"/>
      <c r="M380" s="99"/>
      <c r="N380" s="199"/>
    </row>
    <row r="381" spans="1:14" x14ac:dyDescent="0.25">
      <c r="A381" s="290"/>
      <c r="B381" s="291"/>
      <c r="C381" s="292"/>
      <c r="D381" s="292"/>
      <c r="E381" s="98"/>
      <c r="F381" s="98"/>
      <c r="G381" s="98"/>
      <c r="H381" s="98"/>
      <c r="I381" s="293"/>
      <c r="K381" s="199"/>
      <c r="L381" s="99"/>
      <c r="M381" s="99"/>
      <c r="N381" s="199"/>
    </row>
    <row r="382" spans="1:14" x14ac:dyDescent="0.25">
      <c r="A382" s="290"/>
      <c r="B382" s="291"/>
      <c r="C382" s="292"/>
      <c r="D382" s="292"/>
      <c r="E382" s="98"/>
      <c r="F382" s="98"/>
      <c r="G382" s="98"/>
      <c r="H382" s="98"/>
      <c r="I382" s="293"/>
      <c r="K382" s="199"/>
      <c r="L382" s="99"/>
      <c r="M382" s="99"/>
      <c r="N382" s="199"/>
    </row>
    <row r="383" spans="1:14" x14ac:dyDescent="0.25">
      <c r="A383" s="290"/>
      <c r="B383" s="291"/>
      <c r="C383" s="292"/>
      <c r="D383" s="292"/>
      <c r="E383" s="98"/>
      <c r="F383" s="98"/>
      <c r="G383" s="98"/>
      <c r="H383" s="98"/>
      <c r="I383" s="293"/>
      <c r="K383" s="199"/>
      <c r="L383" s="99"/>
      <c r="M383" s="99"/>
      <c r="N383" s="199"/>
    </row>
    <row r="384" spans="1:14" x14ac:dyDescent="0.25">
      <c r="A384" s="290"/>
      <c r="B384" s="291"/>
      <c r="C384" s="292"/>
      <c r="D384" s="292"/>
      <c r="E384" s="98"/>
      <c r="F384" s="98"/>
      <c r="G384" s="98"/>
      <c r="H384" s="98"/>
      <c r="I384" s="293"/>
      <c r="K384" s="199"/>
      <c r="L384" s="99"/>
      <c r="M384" s="99"/>
      <c r="N384" s="199"/>
    </row>
    <row r="385" spans="1:14" x14ac:dyDescent="0.25">
      <c r="A385" s="290"/>
      <c r="B385" s="291"/>
      <c r="C385" s="292"/>
      <c r="D385" s="292"/>
      <c r="E385" s="98"/>
      <c r="F385" s="98"/>
      <c r="G385" s="98"/>
      <c r="H385" s="98"/>
      <c r="I385" s="293"/>
      <c r="K385" s="199"/>
      <c r="L385" s="99"/>
      <c r="M385" s="99"/>
      <c r="N385" s="199"/>
    </row>
    <row r="386" spans="1:14" x14ac:dyDescent="0.25">
      <c r="A386" s="290"/>
      <c r="B386" s="291"/>
      <c r="C386" s="292"/>
      <c r="D386" s="292"/>
      <c r="E386" s="98"/>
      <c r="F386" s="98"/>
      <c r="G386" s="98"/>
      <c r="H386" s="98"/>
      <c r="I386" s="293"/>
      <c r="K386" s="199"/>
      <c r="L386" s="99"/>
      <c r="M386" s="99"/>
      <c r="N386" s="199"/>
    </row>
    <row r="387" spans="1:14" x14ac:dyDescent="0.25">
      <c r="A387" s="290"/>
      <c r="B387" s="291"/>
      <c r="C387" s="292"/>
      <c r="D387" s="292"/>
      <c r="E387" s="98"/>
      <c r="F387" s="98"/>
      <c r="G387" s="98"/>
      <c r="H387" s="98"/>
      <c r="I387" s="293"/>
      <c r="K387" s="199"/>
      <c r="L387" s="99"/>
      <c r="M387" s="99"/>
      <c r="N387" s="199"/>
    </row>
    <row r="388" spans="1:14" x14ac:dyDescent="0.25">
      <c r="A388" s="290"/>
      <c r="B388" s="291"/>
      <c r="C388" s="292"/>
      <c r="D388" s="292"/>
      <c r="E388" s="98"/>
      <c r="F388" s="98"/>
      <c r="G388" s="98"/>
      <c r="H388" s="98"/>
      <c r="I388" s="293"/>
      <c r="K388" s="199"/>
      <c r="L388" s="99"/>
      <c r="M388" s="99"/>
      <c r="N388" s="199"/>
    </row>
    <row r="389" spans="1:14" x14ac:dyDescent="0.25">
      <c r="A389" s="290"/>
      <c r="B389" s="291"/>
      <c r="C389" s="292"/>
      <c r="D389" s="292"/>
      <c r="E389" s="98"/>
      <c r="F389" s="98"/>
      <c r="G389" s="98"/>
      <c r="H389" s="98"/>
      <c r="I389" s="293"/>
      <c r="K389" s="199"/>
      <c r="L389" s="99"/>
      <c r="M389" s="99"/>
      <c r="N389" s="199"/>
    </row>
    <row r="390" spans="1:14" x14ac:dyDescent="0.25">
      <c r="A390" s="290"/>
      <c r="B390" s="291"/>
      <c r="C390" s="292"/>
      <c r="D390" s="292"/>
      <c r="E390" s="98"/>
      <c r="F390" s="98"/>
      <c r="G390" s="98"/>
      <c r="H390" s="98"/>
      <c r="I390" s="293"/>
      <c r="K390" s="199"/>
      <c r="L390" s="99"/>
      <c r="M390" s="99"/>
      <c r="N390" s="199"/>
    </row>
    <row r="391" spans="1:14" x14ac:dyDescent="0.25">
      <c r="A391" s="290"/>
      <c r="B391" s="291"/>
      <c r="C391" s="292"/>
      <c r="D391" s="292"/>
      <c r="E391" s="98"/>
      <c r="F391" s="98"/>
      <c r="G391" s="98"/>
      <c r="H391" s="98"/>
      <c r="I391" s="293"/>
      <c r="K391" s="199"/>
      <c r="L391" s="99"/>
      <c r="M391" s="99"/>
      <c r="N391" s="199"/>
    </row>
    <row r="392" spans="1:14" x14ac:dyDescent="0.25">
      <c r="A392" s="290"/>
      <c r="B392" s="291"/>
      <c r="C392" s="292"/>
      <c r="D392" s="292"/>
      <c r="E392" s="98"/>
      <c r="F392" s="98"/>
      <c r="G392" s="98"/>
      <c r="H392" s="98"/>
      <c r="I392" s="293"/>
      <c r="K392" s="199"/>
      <c r="L392" s="99"/>
      <c r="M392" s="99"/>
      <c r="N392" s="199"/>
    </row>
    <row r="393" spans="1:14" x14ac:dyDescent="0.25">
      <c r="A393" s="290"/>
      <c r="B393" s="291"/>
      <c r="C393" s="292"/>
      <c r="D393" s="292"/>
      <c r="E393" s="98"/>
      <c r="F393" s="98"/>
      <c r="G393" s="98"/>
      <c r="H393" s="98"/>
      <c r="I393" s="293"/>
      <c r="K393" s="199"/>
      <c r="L393" s="99"/>
      <c r="M393" s="99"/>
      <c r="N393" s="199"/>
    </row>
    <row r="394" spans="1:14" x14ac:dyDescent="0.25">
      <c r="A394" s="290"/>
      <c r="B394" s="291"/>
      <c r="C394" s="292"/>
      <c r="D394" s="292"/>
      <c r="E394" s="98"/>
      <c r="F394" s="98"/>
      <c r="G394" s="98"/>
      <c r="H394" s="98"/>
      <c r="I394" s="293"/>
      <c r="K394" s="199"/>
      <c r="L394" s="99"/>
      <c r="M394" s="99"/>
      <c r="N394" s="199"/>
    </row>
    <row r="395" spans="1:14" x14ac:dyDescent="0.25">
      <c r="A395" s="290"/>
      <c r="B395" s="291"/>
      <c r="C395" s="292"/>
      <c r="D395" s="292"/>
      <c r="E395" s="98"/>
      <c r="F395" s="98"/>
      <c r="G395" s="98"/>
      <c r="H395" s="98"/>
      <c r="I395" s="293"/>
      <c r="K395" s="199"/>
      <c r="L395" s="99"/>
      <c r="M395" s="99"/>
      <c r="N395" s="199"/>
    </row>
    <row r="396" spans="1:14" x14ac:dyDescent="0.25">
      <c r="A396" s="290"/>
      <c r="B396" s="291"/>
      <c r="C396" s="292"/>
      <c r="D396" s="292"/>
      <c r="E396" s="98"/>
      <c r="F396" s="98"/>
      <c r="G396" s="98"/>
      <c r="H396" s="98"/>
      <c r="I396" s="293"/>
      <c r="K396" s="199"/>
      <c r="L396" s="99"/>
      <c r="M396" s="99"/>
      <c r="N396" s="199"/>
    </row>
    <row r="397" spans="1:14" x14ac:dyDescent="0.25">
      <c r="A397" s="290"/>
      <c r="B397" s="291"/>
      <c r="C397" s="292"/>
      <c r="D397" s="292"/>
      <c r="E397" s="98"/>
      <c r="F397" s="98"/>
      <c r="G397" s="98"/>
      <c r="H397" s="98"/>
      <c r="I397" s="293"/>
      <c r="K397" s="199"/>
      <c r="L397" s="99"/>
      <c r="M397" s="99"/>
      <c r="N397" s="199"/>
    </row>
    <row r="398" spans="1:14" x14ac:dyDescent="0.25">
      <c r="A398" s="290"/>
      <c r="B398" s="291"/>
      <c r="C398" s="292"/>
      <c r="D398" s="292"/>
      <c r="E398" s="98"/>
      <c r="F398" s="98"/>
      <c r="G398" s="98"/>
      <c r="H398" s="98"/>
      <c r="I398" s="293"/>
      <c r="K398" s="199"/>
      <c r="L398" s="99"/>
      <c r="M398" s="99"/>
      <c r="N398" s="199"/>
    </row>
    <row r="399" spans="1:14" x14ac:dyDescent="0.25">
      <c r="A399" s="290"/>
      <c r="B399" s="291"/>
      <c r="C399" s="292"/>
      <c r="D399" s="292"/>
      <c r="E399" s="98"/>
      <c r="F399" s="98"/>
      <c r="G399" s="98"/>
      <c r="H399" s="98"/>
      <c r="I399" s="293"/>
      <c r="K399" s="199"/>
      <c r="L399" s="99"/>
      <c r="M399" s="99"/>
      <c r="N399" s="199"/>
    </row>
    <row r="400" spans="1:14" x14ac:dyDescent="0.25">
      <c r="A400" s="290"/>
      <c r="B400" s="291"/>
      <c r="C400" s="292"/>
      <c r="D400" s="292"/>
      <c r="E400" s="98"/>
      <c r="F400" s="98"/>
      <c r="G400" s="98"/>
      <c r="H400" s="98"/>
      <c r="I400" s="293"/>
      <c r="K400" s="199"/>
      <c r="L400" s="99"/>
      <c r="M400" s="99"/>
      <c r="N400" s="199"/>
    </row>
    <row r="401" spans="1:14" x14ac:dyDescent="0.25">
      <c r="A401" s="290"/>
      <c r="B401" s="291"/>
      <c r="C401" s="292"/>
      <c r="D401" s="292"/>
      <c r="E401" s="98"/>
      <c r="F401" s="98"/>
      <c r="G401" s="98"/>
      <c r="H401" s="98"/>
      <c r="I401" s="293"/>
      <c r="K401" s="199"/>
      <c r="L401" s="99"/>
      <c r="M401" s="99"/>
      <c r="N401" s="199"/>
    </row>
    <row r="402" spans="1:14" x14ac:dyDescent="0.25">
      <c r="A402" s="290"/>
      <c r="B402" s="291"/>
      <c r="C402" s="292"/>
      <c r="D402" s="292"/>
      <c r="E402" s="98"/>
      <c r="F402" s="98"/>
      <c r="G402" s="98"/>
      <c r="H402" s="98"/>
      <c r="I402" s="293"/>
      <c r="K402" s="199"/>
      <c r="L402" s="99"/>
      <c r="M402" s="99"/>
      <c r="N402" s="199"/>
    </row>
    <row r="403" spans="1:14" x14ac:dyDescent="0.25">
      <c r="A403" s="290"/>
      <c r="B403" s="291"/>
      <c r="C403" s="292"/>
      <c r="D403" s="292"/>
      <c r="E403" s="98"/>
      <c r="F403" s="98"/>
      <c r="G403" s="98"/>
      <c r="H403" s="98"/>
      <c r="I403" s="293"/>
      <c r="K403" s="199"/>
      <c r="L403" s="99"/>
      <c r="M403" s="99"/>
      <c r="N403" s="199"/>
    </row>
    <row r="404" spans="1:14" x14ac:dyDescent="0.25">
      <c r="A404" s="290"/>
      <c r="B404" s="291"/>
      <c r="C404" s="292"/>
      <c r="D404" s="292"/>
      <c r="E404" s="98"/>
      <c r="F404" s="98"/>
      <c r="G404" s="98"/>
      <c r="H404" s="98"/>
      <c r="I404" s="293"/>
      <c r="K404" s="199"/>
      <c r="L404" s="99"/>
      <c r="M404" s="99"/>
      <c r="N404" s="199"/>
    </row>
    <row r="405" spans="1:14" x14ac:dyDescent="0.25">
      <c r="A405" s="290"/>
      <c r="B405" s="291"/>
      <c r="C405" s="292"/>
      <c r="D405" s="292"/>
      <c r="E405" s="98"/>
      <c r="F405" s="98"/>
      <c r="G405" s="98"/>
      <c r="H405" s="98"/>
      <c r="I405" s="293"/>
      <c r="K405" s="199"/>
      <c r="L405" s="99"/>
      <c r="M405" s="99"/>
      <c r="N405" s="199"/>
    </row>
    <row r="406" spans="1:14" x14ac:dyDescent="0.25">
      <c r="A406" s="290"/>
      <c r="B406" s="291"/>
      <c r="C406" s="292"/>
      <c r="D406" s="292"/>
      <c r="E406" s="98"/>
      <c r="F406" s="98"/>
      <c r="G406" s="98"/>
      <c r="H406" s="98"/>
      <c r="I406" s="293"/>
      <c r="K406" s="199"/>
      <c r="L406" s="99"/>
      <c r="M406" s="99"/>
      <c r="N406" s="199"/>
    </row>
    <row r="407" spans="1:14" x14ac:dyDescent="0.25">
      <c r="A407" s="290"/>
      <c r="B407" s="291"/>
      <c r="C407" s="292"/>
      <c r="D407" s="292"/>
      <c r="E407" s="98"/>
      <c r="F407" s="98"/>
      <c r="G407" s="98"/>
      <c r="H407" s="98"/>
      <c r="I407" s="293"/>
      <c r="K407" s="199"/>
      <c r="L407" s="99"/>
      <c r="M407" s="99"/>
      <c r="N407" s="199"/>
    </row>
    <row r="408" spans="1:14" x14ac:dyDescent="0.25">
      <c r="A408" s="290"/>
      <c r="B408" s="291"/>
      <c r="C408" s="292"/>
      <c r="D408" s="292"/>
      <c r="E408" s="98"/>
      <c r="F408" s="98"/>
      <c r="G408" s="98"/>
      <c r="H408" s="98"/>
      <c r="I408" s="293"/>
      <c r="K408" s="199"/>
      <c r="L408" s="99"/>
      <c r="M408" s="99"/>
      <c r="N408" s="199"/>
    </row>
    <row r="409" spans="1:14" x14ac:dyDescent="0.25">
      <c r="A409" s="290"/>
      <c r="B409" s="291"/>
      <c r="C409" s="292"/>
      <c r="D409" s="292"/>
      <c r="E409" s="98"/>
      <c r="F409" s="98"/>
      <c r="G409" s="98"/>
      <c r="H409" s="98"/>
      <c r="I409" s="293"/>
      <c r="K409" s="199"/>
      <c r="L409" s="99"/>
      <c r="M409" s="99"/>
      <c r="N409" s="199"/>
    </row>
    <row r="410" spans="1:14" x14ac:dyDescent="0.25">
      <c r="A410" s="290"/>
      <c r="B410" s="291"/>
      <c r="C410" s="292"/>
      <c r="D410" s="292"/>
      <c r="E410" s="98"/>
      <c r="F410" s="98"/>
      <c r="G410" s="98"/>
      <c r="H410" s="98"/>
      <c r="I410" s="293"/>
      <c r="K410" s="199"/>
      <c r="L410" s="99"/>
      <c r="M410" s="99"/>
      <c r="N410" s="199"/>
    </row>
    <row r="411" spans="1:14" x14ac:dyDescent="0.25">
      <c r="A411" s="290"/>
      <c r="B411" s="291"/>
      <c r="C411" s="292"/>
      <c r="D411" s="292"/>
      <c r="E411" s="98"/>
      <c r="F411" s="98"/>
      <c r="G411" s="98"/>
      <c r="H411" s="98"/>
      <c r="I411" s="293"/>
      <c r="K411" s="199"/>
      <c r="L411" s="99"/>
      <c r="M411" s="99"/>
      <c r="N411" s="199"/>
    </row>
    <row r="412" spans="1:14" x14ac:dyDescent="0.25">
      <c r="A412" s="290"/>
      <c r="B412" s="291"/>
      <c r="C412" s="292"/>
      <c r="D412" s="292"/>
      <c r="E412" s="98"/>
      <c r="F412" s="98"/>
      <c r="G412" s="98"/>
      <c r="H412" s="98"/>
      <c r="I412" s="293"/>
      <c r="K412" s="199"/>
      <c r="L412" s="99"/>
      <c r="M412" s="99"/>
      <c r="N412" s="199"/>
    </row>
    <row r="413" spans="1:14" x14ac:dyDescent="0.25">
      <c r="A413" s="290"/>
      <c r="B413" s="291"/>
      <c r="C413" s="292"/>
      <c r="D413" s="292"/>
      <c r="E413" s="98"/>
      <c r="F413" s="98"/>
      <c r="G413" s="98"/>
      <c r="H413" s="98"/>
      <c r="I413" s="293"/>
      <c r="K413" s="199"/>
      <c r="L413" s="99"/>
      <c r="M413" s="99"/>
      <c r="N413" s="199"/>
    </row>
    <row r="414" spans="1:14" x14ac:dyDescent="0.25">
      <c r="A414" s="290"/>
      <c r="B414" s="291"/>
      <c r="C414" s="292"/>
      <c r="D414" s="292"/>
      <c r="E414" s="98"/>
      <c r="F414" s="98"/>
      <c r="G414" s="98"/>
      <c r="H414" s="98"/>
      <c r="I414" s="293"/>
      <c r="K414" s="199"/>
      <c r="L414" s="99"/>
      <c r="M414" s="99"/>
      <c r="N414" s="199"/>
    </row>
    <row r="415" spans="1:14" x14ac:dyDescent="0.25">
      <c r="A415" s="290"/>
      <c r="B415" s="291"/>
      <c r="C415" s="292"/>
      <c r="D415" s="292"/>
      <c r="E415" s="98"/>
      <c r="F415" s="98"/>
      <c r="G415" s="98"/>
      <c r="H415" s="98"/>
      <c r="I415" s="293"/>
      <c r="K415" s="199"/>
      <c r="L415" s="99"/>
      <c r="M415" s="99"/>
      <c r="N415" s="199"/>
    </row>
    <row r="416" spans="1:14" x14ac:dyDescent="0.25">
      <c r="K416" s="199"/>
      <c r="L416" s="99"/>
      <c r="M416" s="99"/>
      <c r="N416" s="199"/>
    </row>
    <row r="417" spans="11:14" x14ac:dyDescent="0.25">
      <c r="K417" s="199"/>
      <c r="L417" s="99"/>
      <c r="M417" s="99"/>
      <c r="N417" s="199"/>
    </row>
    <row r="418" spans="11:14" x14ac:dyDescent="0.25">
      <c r="K418" s="199"/>
      <c r="L418" s="99"/>
      <c r="M418" s="99"/>
      <c r="N418" s="199"/>
    </row>
    <row r="419" spans="11:14" x14ac:dyDescent="0.25">
      <c r="K419" s="199"/>
      <c r="L419" s="99"/>
      <c r="M419" s="99"/>
      <c r="N419" s="199"/>
    </row>
    <row r="420" spans="11:14" x14ac:dyDescent="0.25">
      <c r="K420" s="199"/>
      <c r="L420" s="99"/>
      <c r="M420" s="99"/>
      <c r="N420" s="199"/>
    </row>
  </sheetData>
  <mergeCells count="2">
    <mergeCell ref="O13:W14"/>
    <mergeCell ref="O16:T18"/>
  </mergeCells>
  <phoneticPr fontId="28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  <pageSetUpPr fitToPage="1"/>
  </sheetPr>
  <dimension ref="A1:BH469"/>
  <sheetViews>
    <sheetView tabSelected="1" zoomScaleNormal="100" workbookViewId="0">
      <pane xSplit="7" ySplit="4" topLeftCell="H153" activePane="bottomRight" state="frozen"/>
      <selection pane="topRight" activeCell="I1" sqref="I1"/>
      <selection pane="bottomLeft" activeCell="A5" sqref="A5"/>
      <selection pane="bottomRight" activeCell="H173" sqref="H173"/>
    </sheetView>
  </sheetViews>
  <sheetFormatPr defaultColWidth="8.5703125" defaultRowHeight="15" customHeight="1" x14ac:dyDescent="0.25"/>
  <cols>
    <col min="1" max="1" width="8.42578125" style="49" bestFit="1" customWidth="1"/>
    <col min="2" max="4" width="7.7109375" style="49" customWidth="1"/>
    <col min="5" max="5" width="7.7109375" style="50" customWidth="1"/>
    <col min="6" max="6" width="7.28515625" style="49" customWidth="1"/>
    <col min="7" max="7" width="35.42578125" style="49" customWidth="1"/>
    <col min="8" max="8" width="16.28515625" style="49" bestFit="1" customWidth="1"/>
    <col min="9" max="9" width="15.7109375" style="49" customWidth="1"/>
    <col min="10" max="10" width="6.7109375" style="49" customWidth="1"/>
    <col min="11" max="11" width="13.85546875" style="49" customWidth="1"/>
    <col min="12" max="12" width="14.85546875" style="49" customWidth="1"/>
    <col min="13" max="13" width="9" style="49" customWidth="1"/>
    <col min="14" max="14" width="8.28515625" style="49" bestFit="1" customWidth="1"/>
    <col min="15" max="15" width="8.42578125" style="49" customWidth="1"/>
    <col min="16" max="17" width="8.28515625" style="49" customWidth="1"/>
    <col min="18" max="18" width="8.5703125" style="2" customWidth="1"/>
    <col min="19" max="20" width="8.5703125" style="2"/>
    <col min="21" max="21" width="8.5703125" style="2" customWidth="1"/>
    <col min="22" max="39" width="8.5703125" style="2"/>
    <col min="40" max="40" width="8.7109375" style="49" customWidth="1"/>
    <col min="41" max="41" width="11.5703125" style="49" customWidth="1"/>
    <col min="42" max="42" width="7.85546875" style="49" customWidth="1"/>
    <col min="43" max="43" width="5.5703125" style="49" customWidth="1"/>
    <col min="44" max="44" width="9.28515625" style="49" customWidth="1"/>
    <col min="45" max="46" width="8.7109375" style="49" customWidth="1"/>
    <col min="47" max="47" width="7" style="49" customWidth="1"/>
    <col min="48" max="48" width="10.140625" style="49" customWidth="1"/>
    <col min="49" max="49" width="12.7109375" style="49" customWidth="1"/>
    <col min="50" max="50" width="9.85546875" style="49" customWidth="1"/>
    <col min="51" max="51" width="11" style="22" customWidth="1"/>
    <col min="52" max="55" width="8.5703125" style="2"/>
    <col min="56" max="56" width="10.42578125" style="2" customWidth="1"/>
    <col min="57" max="16384" width="8.5703125" style="2"/>
  </cols>
  <sheetData>
    <row r="1" spans="1:60" ht="15" customHeight="1" x14ac:dyDescent="0.25">
      <c r="A1" s="180" t="s">
        <v>213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AN1" s="49" t="s">
        <v>5</v>
      </c>
    </row>
    <row r="2" spans="1:60" ht="16.5" customHeight="1" x14ac:dyDescent="0.25">
      <c r="A2" s="344" t="s">
        <v>0</v>
      </c>
      <c r="B2" s="344" t="s">
        <v>8</v>
      </c>
      <c r="C2" s="337" t="s">
        <v>200</v>
      </c>
      <c r="D2" s="335" t="s">
        <v>11</v>
      </c>
      <c r="E2" s="353" t="s">
        <v>1</v>
      </c>
      <c r="F2" s="344" t="s">
        <v>50</v>
      </c>
      <c r="G2" s="344" t="s">
        <v>6</v>
      </c>
      <c r="H2" s="344" t="s">
        <v>170</v>
      </c>
      <c r="I2" s="335" t="s">
        <v>29</v>
      </c>
      <c r="J2" s="344" t="s">
        <v>10</v>
      </c>
      <c r="K2" s="335" t="s">
        <v>195</v>
      </c>
      <c r="L2" s="335" t="s">
        <v>196</v>
      </c>
      <c r="M2" s="349" t="s">
        <v>7</v>
      </c>
      <c r="N2" s="349"/>
      <c r="O2" s="349"/>
      <c r="P2" s="349"/>
      <c r="Q2" s="349"/>
      <c r="R2" s="350" t="s">
        <v>2</v>
      </c>
      <c r="S2" s="351"/>
      <c r="T2" s="351"/>
      <c r="U2" s="351"/>
      <c r="V2" s="351"/>
      <c r="W2" s="351"/>
      <c r="X2" s="351"/>
      <c r="Y2" s="351"/>
      <c r="Z2" s="351"/>
      <c r="AA2" s="351"/>
      <c r="AB2" s="351"/>
      <c r="AC2" s="351"/>
      <c r="AD2" s="351"/>
      <c r="AE2" s="351"/>
      <c r="AF2" s="351"/>
      <c r="AG2" s="351"/>
      <c r="AH2" s="351"/>
      <c r="AI2" s="351"/>
      <c r="AJ2" s="351"/>
      <c r="AK2" s="351"/>
      <c r="AL2" s="351"/>
      <c r="AM2" s="352"/>
      <c r="AN2" s="339" t="s">
        <v>12</v>
      </c>
      <c r="AO2" s="344" t="s">
        <v>13</v>
      </c>
      <c r="AP2" s="344" t="s">
        <v>62</v>
      </c>
      <c r="AQ2" s="344" t="s">
        <v>14</v>
      </c>
      <c r="AR2" s="333" t="s">
        <v>92</v>
      </c>
      <c r="AS2" s="333" t="s">
        <v>143</v>
      </c>
      <c r="AT2" s="333" t="s">
        <v>91</v>
      </c>
      <c r="AU2" s="335" t="s">
        <v>53</v>
      </c>
      <c r="AV2" s="333" t="s">
        <v>54</v>
      </c>
      <c r="AW2" s="333" t="s">
        <v>69</v>
      </c>
      <c r="AX2" s="333" t="s">
        <v>181</v>
      </c>
    </row>
    <row r="3" spans="1:60" s="3" customFormat="1" ht="29.25" customHeight="1" x14ac:dyDescent="0.25">
      <c r="A3" s="345"/>
      <c r="B3" s="345"/>
      <c r="C3" s="338"/>
      <c r="D3" s="336"/>
      <c r="E3" s="354"/>
      <c r="F3" s="345"/>
      <c r="G3" s="345"/>
      <c r="H3" s="345"/>
      <c r="I3" s="342"/>
      <c r="J3" s="345"/>
      <c r="K3" s="336"/>
      <c r="L3" s="336"/>
      <c r="M3" s="54" t="s">
        <v>9</v>
      </c>
      <c r="N3" s="54" t="s">
        <v>15</v>
      </c>
      <c r="O3" s="54" t="s">
        <v>16</v>
      </c>
      <c r="P3" s="54" t="s">
        <v>17</v>
      </c>
      <c r="Q3" s="108" t="s">
        <v>18</v>
      </c>
      <c r="R3" s="15" t="s">
        <v>4</v>
      </c>
      <c r="S3" s="12" t="s">
        <v>25</v>
      </c>
      <c r="T3" s="10" t="s">
        <v>26</v>
      </c>
      <c r="U3" s="11" t="s">
        <v>28</v>
      </c>
      <c r="V3" s="9" t="s">
        <v>80</v>
      </c>
      <c r="W3" s="42" t="s">
        <v>81</v>
      </c>
      <c r="X3" s="9" t="s">
        <v>83</v>
      </c>
      <c r="Y3" s="42" t="s">
        <v>77</v>
      </c>
      <c r="Z3" s="9" t="s">
        <v>84</v>
      </c>
      <c r="AA3" s="42" t="s">
        <v>78</v>
      </c>
      <c r="AB3" s="9" t="s">
        <v>79</v>
      </c>
      <c r="AC3" s="42" t="s">
        <v>85</v>
      </c>
      <c r="AD3" s="9" t="s">
        <v>76</v>
      </c>
      <c r="AE3" s="42" t="s">
        <v>82</v>
      </c>
      <c r="AF3" s="53" t="s">
        <v>66</v>
      </c>
      <c r="AG3" s="13" t="s">
        <v>67</v>
      </c>
      <c r="AH3" s="16" t="s">
        <v>68</v>
      </c>
      <c r="AI3" s="38" t="s">
        <v>70</v>
      </c>
      <c r="AJ3" s="87" t="s">
        <v>87</v>
      </c>
      <c r="AK3" s="54" t="s">
        <v>88</v>
      </c>
      <c r="AL3" s="54" t="s">
        <v>171</v>
      </c>
      <c r="AM3" s="54" t="s">
        <v>90</v>
      </c>
      <c r="AN3" s="340"/>
      <c r="AO3" s="345"/>
      <c r="AP3" s="345"/>
      <c r="AQ3" s="345"/>
      <c r="AR3" s="334"/>
      <c r="AS3" s="343"/>
      <c r="AT3" s="334"/>
      <c r="AU3" s="342"/>
      <c r="AV3" s="341"/>
      <c r="AW3" s="334"/>
      <c r="AX3" s="334"/>
      <c r="AY3" s="39"/>
      <c r="AZ3" s="12" t="s">
        <v>34</v>
      </c>
      <c r="BA3" s="14" t="s">
        <v>35</v>
      </c>
      <c r="BB3" s="10" t="s">
        <v>36</v>
      </c>
      <c r="BC3" s="16" t="s">
        <v>2</v>
      </c>
    </row>
    <row r="4" spans="1:60" s="3" customFormat="1" ht="15" customHeight="1" x14ac:dyDescent="0.25">
      <c r="A4" s="346"/>
      <c r="B4" s="347"/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347"/>
      <c r="Q4" s="348"/>
      <c r="R4" s="15">
        <f t="shared" ref="R4:AJ4" si="0">SUM(R5:R267)</f>
        <v>55326.199999999939</v>
      </c>
      <c r="S4" s="15">
        <f t="shared" si="0"/>
        <v>43679.249999999985</v>
      </c>
      <c r="T4" s="15">
        <f t="shared" si="0"/>
        <v>1941.6999999999991</v>
      </c>
      <c r="U4" s="15">
        <f t="shared" si="0"/>
        <v>2385.65</v>
      </c>
      <c r="V4" s="15">
        <f t="shared" si="0"/>
        <v>4554.8500000000004</v>
      </c>
      <c r="W4" s="15">
        <f t="shared" si="0"/>
        <v>140.19999999999999</v>
      </c>
      <c r="X4" s="15">
        <f t="shared" si="0"/>
        <v>45.7</v>
      </c>
      <c r="Y4" s="15">
        <f t="shared" si="0"/>
        <v>0.1</v>
      </c>
      <c r="Z4" s="15">
        <f t="shared" si="0"/>
        <v>0</v>
      </c>
      <c r="AA4" s="15">
        <f t="shared" si="0"/>
        <v>0</v>
      </c>
      <c r="AB4" s="15">
        <f t="shared" si="0"/>
        <v>74.05</v>
      </c>
      <c r="AC4" s="15">
        <f t="shared" si="0"/>
        <v>0</v>
      </c>
      <c r="AD4" s="15">
        <f t="shared" si="0"/>
        <v>51.3</v>
      </c>
      <c r="AE4" s="15">
        <f t="shared" si="0"/>
        <v>831.90000000000009</v>
      </c>
      <c r="AF4" s="15">
        <f t="shared" si="0"/>
        <v>0.1</v>
      </c>
      <c r="AG4" s="15">
        <f t="shared" si="0"/>
        <v>0</v>
      </c>
      <c r="AH4" s="15">
        <f t="shared" si="0"/>
        <v>1.7</v>
      </c>
      <c r="AI4" s="15">
        <f t="shared" si="0"/>
        <v>349.80000000000007</v>
      </c>
      <c r="AJ4" s="15">
        <f t="shared" si="0"/>
        <v>1269.9000000000001</v>
      </c>
      <c r="AK4" s="15">
        <f>SUMPRODUCT(LEN(AK5:AK267))</f>
        <v>6</v>
      </c>
      <c r="AL4" s="15">
        <f>SUMPRODUCT(LEN(AL5:AL267))</f>
        <v>34</v>
      </c>
      <c r="AM4" s="15">
        <f>SUMPRODUCT(LEN(AM5:AM267))</f>
        <v>9</v>
      </c>
      <c r="AN4" s="21"/>
      <c r="AO4" s="21">
        <f t="shared" ref="AO4:AV4" si="1">COUNTIF(AO5:AO267,"Y")</f>
        <v>72</v>
      </c>
      <c r="AP4" s="21">
        <f t="shared" si="1"/>
        <v>30</v>
      </c>
      <c r="AQ4" s="21">
        <f t="shared" si="1"/>
        <v>13</v>
      </c>
      <c r="AR4" s="21">
        <f t="shared" si="1"/>
        <v>5</v>
      </c>
      <c r="AS4" s="21">
        <f t="shared" si="1"/>
        <v>93</v>
      </c>
      <c r="AT4" s="21">
        <f t="shared" si="1"/>
        <v>19</v>
      </c>
      <c r="AU4" s="21">
        <f t="shared" si="1"/>
        <v>45</v>
      </c>
      <c r="AV4" s="21">
        <f t="shared" si="1"/>
        <v>17</v>
      </c>
      <c r="AW4" s="21"/>
      <c r="AX4" s="21">
        <f>COUNTIF(AX5:AX267,"Y")</f>
        <v>2</v>
      </c>
      <c r="AY4" s="23" t="s">
        <v>164</v>
      </c>
      <c r="AZ4" s="12">
        <f t="shared" ref="AZ4:AZ15" si="2">COUNTIFS(A:A,"&gt;="&amp;BG4,A:A,"&lt;="&amp;BH4)</f>
        <v>1</v>
      </c>
      <c r="BA4" s="14">
        <f t="shared" ref="BA4:BA15" si="3">COUNTIFS(A:A,"&gt;="&amp;BG4,A:A,"&lt;="&amp;BH4,J:J,"H")</f>
        <v>1</v>
      </c>
      <c r="BB4" s="5">
        <f t="shared" ref="BB4:BB15" si="4">COUNTIFS(A:A,"&gt;="&amp;BG4,A:A,"&lt;="&amp;BH4,J:J,"L")</f>
        <v>0</v>
      </c>
      <c r="BC4" s="16">
        <f t="shared" ref="BC4:BC15" si="5">SUMIFS(R:R,A:A,"&gt;="&amp;BG4,A:A,"&lt;="&amp;BH4)</f>
        <v>0.1</v>
      </c>
      <c r="BG4" s="106">
        <v>45658</v>
      </c>
      <c r="BH4" s="106">
        <v>45688</v>
      </c>
    </row>
    <row r="5" spans="1:60" ht="15" customHeight="1" x14ac:dyDescent="0.25">
      <c r="A5" s="46">
        <v>45687</v>
      </c>
      <c r="B5" s="46" t="s">
        <v>234</v>
      </c>
      <c r="C5" s="46" t="s">
        <v>25</v>
      </c>
      <c r="D5" s="21" t="s">
        <v>25</v>
      </c>
      <c r="E5" s="47">
        <v>43</v>
      </c>
      <c r="F5" s="21" t="s">
        <v>226</v>
      </c>
      <c r="G5" s="4" t="s">
        <v>227</v>
      </c>
      <c r="H5" s="4" t="s">
        <v>228</v>
      </c>
      <c r="I5" s="4"/>
      <c r="J5" s="4" t="s">
        <v>229</v>
      </c>
      <c r="K5" s="4" t="s">
        <v>242</v>
      </c>
      <c r="L5" s="4" t="s">
        <v>243</v>
      </c>
      <c r="M5" s="4" t="s">
        <v>230</v>
      </c>
      <c r="N5" s="4" t="s">
        <v>232</v>
      </c>
      <c r="O5" s="4" t="s">
        <v>233</v>
      </c>
      <c r="P5" s="4">
        <v>568157</v>
      </c>
      <c r="Q5" s="4">
        <v>4811610</v>
      </c>
      <c r="R5" s="91">
        <f>SUM(S5:AJ5)</f>
        <v>0.1</v>
      </c>
      <c r="S5" s="35">
        <v>0.1</v>
      </c>
      <c r="T5" s="5"/>
      <c r="U5" s="6"/>
      <c r="V5" s="4"/>
      <c r="W5" s="20"/>
      <c r="X5" s="4"/>
      <c r="Y5" s="20"/>
      <c r="Z5" s="4"/>
      <c r="AA5" s="20"/>
      <c r="AB5" s="4"/>
      <c r="AC5" s="20"/>
      <c r="AD5" s="4"/>
      <c r="AE5" s="20"/>
      <c r="AF5" s="19"/>
      <c r="AG5" s="8"/>
      <c r="AH5" s="17"/>
      <c r="AI5" s="37"/>
      <c r="AJ5" s="18"/>
      <c r="AK5" s="21"/>
      <c r="AL5" s="21"/>
      <c r="AM5" s="36"/>
      <c r="AN5" s="21" t="s">
        <v>235</v>
      </c>
      <c r="AO5" s="21" t="s">
        <v>231</v>
      </c>
      <c r="AP5" s="21" t="s">
        <v>231</v>
      </c>
      <c r="AQ5" s="21" t="s">
        <v>231</v>
      </c>
      <c r="AR5" s="21" t="s">
        <v>231</v>
      </c>
      <c r="AS5" s="21" t="s">
        <v>231</v>
      </c>
      <c r="AT5" s="21" t="s">
        <v>231</v>
      </c>
      <c r="AU5" s="21" t="s">
        <v>236</v>
      </c>
      <c r="AV5" s="21" t="s">
        <v>236</v>
      </c>
      <c r="AW5" s="4" t="str">
        <f t="shared" ref="AW5:AW72" si="6">IF(R5&gt;4999.9,"G",IF(R5&gt;999.9,"F",IF(R5&gt;299.9,"E",IF(R5&gt;99.9,"D",IF(R5&gt;9.9,"C",IF(R5&gt;0.25,"B",IF(R5&gt;0,"A","")))))))</f>
        <v>A</v>
      </c>
      <c r="AX5" s="45" t="str">
        <f t="shared" ref="AX5:AX49" si="7">IF(AND(AV5="Y",AND(T5&gt;0, T5&lt;300)),"Y","")</f>
        <v/>
      </c>
      <c r="AY5" s="44" t="s">
        <v>51</v>
      </c>
      <c r="AZ5" s="12">
        <f t="shared" si="2"/>
        <v>0</v>
      </c>
      <c r="BA5" s="14">
        <f t="shared" si="3"/>
        <v>0</v>
      </c>
      <c r="BB5" s="5">
        <f t="shared" si="4"/>
        <v>0</v>
      </c>
      <c r="BC5" s="16">
        <f t="shared" si="5"/>
        <v>0</v>
      </c>
      <c r="BG5" s="106">
        <v>45689</v>
      </c>
      <c r="BH5" s="107">
        <v>45716</v>
      </c>
    </row>
    <row r="6" spans="1:60" ht="15" customHeight="1" x14ac:dyDescent="0.25">
      <c r="A6" s="46">
        <v>45723</v>
      </c>
      <c r="B6" s="46" t="s">
        <v>245</v>
      </c>
      <c r="C6" s="46" t="s">
        <v>28</v>
      </c>
      <c r="D6" s="21" t="s">
        <v>79</v>
      </c>
      <c r="E6" s="47">
        <v>79</v>
      </c>
      <c r="F6" s="21" t="s">
        <v>28</v>
      </c>
      <c r="G6" s="4" t="s">
        <v>246</v>
      </c>
      <c r="H6" s="4" t="s">
        <v>247</v>
      </c>
      <c r="I6" s="4" t="s">
        <v>248</v>
      </c>
      <c r="J6" s="4" t="s">
        <v>229</v>
      </c>
      <c r="K6" s="4" t="s">
        <v>258</v>
      </c>
      <c r="L6" s="4" t="s">
        <v>260</v>
      </c>
      <c r="M6" s="4" t="s">
        <v>249</v>
      </c>
      <c r="N6" s="4" t="s">
        <v>250</v>
      </c>
      <c r="O6" s="4" t="s">
        <v>251</v>
      </c>
      <c r="P6" s="91"/>
      <c r="Q6" s="91"/>
      <c r="R6" s="91">
        <f t="shared" ref="R6:R69" si="8">SUM(S6:AJ6)</f>
        <v>3.9</v>
      </c>
      <c r="S6" s="35"/>
      <c r="T6" s="5"/>
      <c r="U6" s="6"/>
      <c r="V6" s="4"/>
      <c r="W6" s="20"/>
      <c r="X6" s="4"/>
      <c r="Y6" s="20"/>
      <c r="Z6" s="4"/>
      <c r="AA6" s="20"/>
      <c r="AB6" s="4">
        <v>3.9</v>
      </c>
      <c r="AC6" s="20"/>
      <c r="AD6" s="4"/>
      <c r="AE6" s="20"/>
      <c r="AF6" s="19"/>
      <c r="AG6" s="8"/>
      <c r="AH6" s="17"/>
      <c r="AI6" s="37"/>
      <c r="AJ6" s="18"/>
      <c r="AK6" s="21"/>
      <c r="AL6" s="21"/>
      <c r="AM6" s="36"/>
      <c r="AN6" s="21" t="s">
        <v>27</v>
      </c>
      <c r="AO6" s="21" t="s">
        <v>231</v>
      </c>
      <c r="AP6" s="21" t="s">
        <v>231</v>
      </c>
      <c r="AQ6" s="21" t="s">
        <v>231</v>
      </c>
      <c r="AR6" s="21" t="s">
        <v>231</v>
      </c>
      <c r="AS6" s="21" t="s">
        <v>206</v>
      </c>
      <c r="AT6" s="21" t="s">
        <v>231</v>
      </c>
      <c r="AU6" s="21" t="s">
        <v>236</v>
      </c>
      <c r="AV6" s="21" t="s">
        <v>236</v>
      </c>
      <c r="AW6" s="4" t="str">
        <f t="shared" si="6"/>
        <v>B</v>
      </c>
      <c r="AX6" s="45" t="str">
        <f t="shared" si="7"/>
        <v/>
      </c>
      <c r="AY6" s="44" t="s">
        <v>37</v>
      </c>
      <c r="AZ6" s="12">
        <f t="shared" si="2"/>
        <v>4</v>
      </c>
      <c r="BA6" s="14">
        <f t="shared" si="3"/>
        <v>4</v>
      </c>
      <c r="BB6" s="5">
        <f t="shared" si="4"/>
        <v>0</v>
      </c>
      <c r="BC6" s="16">
        <f t="shared" si="5"/>
        <v>226.49999999999997</v>
      </c>
      <c r="BG6" s="106">
        <v>45717</v>
      </c>
      <c r="BH6" s="107">
        <v>45747</v>
      </c>
    </row>
    <row r="7" spans="1:60" ht="15" customHeight="1" x14ac:dyDescent="0.25">
      <c r="A7" s="46">
        <v>45724</v>
      </c>
      <c r="B7" s="46" t="s">
        <v>257</v>
      </c>
      <c r="C7" s="46" t="s">
        <v>25</v>
      </c>
      <c r="D7" s="21" t="s">
        <v>25</v>
      </c>
      <c r="E7" s="47">
        <v>82</v>
      </c>
      <c r="F7" s="21" t="s">
        <v>252</v>
      </c>
      <c r="G7" s="4" t="s">
        <v>253</v>
      </c>
      <c r="H7" s="4" t="s">
        <v>259</v>
      </c>
      <c r="I7" s="4"/>
      <c r="J7" s="4" t="s">
        <v>229</v>
      </c>
      <c r="K7" s="4" t="s">
        <v>242</v>
      </c>
      <c r="L7" s="4" t="s">
        <v>243</v>
      </c>
      <c r="M7" s="4" t="s">
        <v>254</v>
      </c>
      <c r="N7" s="4" t="s">
        <v>255</v>
      </c>
      <c r="O7" s="4" t="s">
        <v>256</v>
      </c>
      <c r="P7" s="91"/>
      <c r="Q7" s="91"/>
      <c r="R7" s="91">
        <f t="shared" si="8"/>
        <v>0.1</v>
      </c>
      <c r="S7" s="35">
        <v>0.1</v>
      </c>
      <c r="T7" s="5"/>
      <c r="U7" s="6"/>
      <c r="V7" s="4"/>
      <c r="W7" s="20"/>
      <c r="X7" s="4"/>
      <c r="Y7" s="20"/>
      <c r="Z7" s="4"/>
      <c r="AA7" s="20"/>
      <c r="AB7" s="4"/>
      <c r="AC7" s="20"/>
      <c r="AD7" s="4"/>
      <c r="AE7" s="20"/>
      <c r="AF7" s="19"/>
      <c r="AG7" s="8"/>
      <c r="AH7" s="17"/>
      <c r="AI7" s="37"/>
      <c r="AJ7" s="18"/>
      <c r="AK7" s="21"/>
      <c r="AL7" s="21"/>
      <c r="AM7" s="36"/>
      <c r="AN7" s="21" t="s">
        <v>235</v>
      </c>
      <c r="AO7" s="21" t="s">
        <v>231</v>
      </c>
      <c r="AP7" s="21" t="s">
        <v>206</v>
      </c>
      <c r="AQ7" s="21" t="s">
        <v>231</v>
      </c>
      <c r="AR7" s="21" t="s">
        <v>231</v>
      </c>
      <c r="AS7" s="21" t="s">
        <v>206</v>
      </c>
      <c r="AT7" s="21" t="s">
        <v>231</v>
      </c>
      <c r="AU7" s="21" t="s">
        <v>236</v>
      </c>
      <c r="AV7" s="21" t="s">
        <v>236</v>
      </c>
      <c r="AW7" s="4" t="str">
        <f t="shared" si="6"/>
        <v>A</v>
      </c>
      <c r="AX7" s="45" t="str">
        <f t="shared" si="7"/>
        <v/>
      </c>
      <c r="AY7" s="44" t="s">
        <v>38</v>
      </c>
      <c r="AZ7" s="12">
        <f t="shared" si="2"/>
        <v>5</v>
      </c>
      <c r="BA7" s="14">
        <f t="shared" si="3"/>
        <v>5</v>
      </c>
      <c r="BB7" s="5">
        <f t="shared" si="4"/>
        <v>0</v>
      </c>
      <c r="BC7" s="16">
        <f t="shared" si="5"/>
        <v>2.0500000000000003</v>
      </c>
      <c r="BG7" s="106">
        <v>45748</v>
      </c>
      <c r="BH7" s="107">
        <v>45777</v>
      </c>
    </row>
    <row r="8" spans="1:60" ht="15" customHeight="1" x14ac:dyDescent="0.25">
      <c r="A8" s="46">
        <v>45725</v>
      </c>
      <c r="B8" s="46" t="s">
        <v>265</v>
      </c>
      <c r="C8" s="46" t="s">
        <v>28</v>
      </c>
      <c r="D8" s="21" t="s">
        <v>79</v>
      </c>
      <c r="E8" s="47">
        <v>86</v>
      </c>
      <c r="F8" s="21" t="s">
        <v>28</v>
      </c>
      <c r="G8" s="4" t="s">
        <v>261</v>
      </c>
      <c r="H8" s="4" t="s">
        <v>271</v>
      </c>
      <c r="I8" s="4"/>
      <c r="J8" s="4" t="s">
        <v>229</v>
      </c>
      <c r="K8" s="4" t="s">
        <v>258</v>
      </c>
      <c r="L8" s="4" t="s">
        <v>87</v>
      </c>
      <c r="M8" s="4" t="s">
        <v>262</v>
      </c>
      <c r="N8" s="4" t="s">
        <v>263</v>
      </c>
      <c r="O8" s="4" t="s">
        <v>264</v>
      </c>
      <c r="P8" s="91"/>
      <c r="Q8" s="91"/>
      <c r="R8" s="91">
        <f t="shared" si="8"/>
        <v>5.6</v>
      </c>
      <c r="S8" s="35"/>
      <c r="T8" s="5"/>
      <c r="U8" s="6"/>
      <c r="V8" s="4"/>
      <c r="W8" s="20"/>
      <c r="X8" s="4"/>
      <c r="Y8" s="20"/>
      <c r="Z8" s="4"/>
      <c r="AA8" s="20"/>
      <c r="AB8" s="4">
        <v>5.6</v>
      </c>
      <c r="AC8" s="20"/>
      <c r="AD8" s="4"/>
      <c r="AE8" s="20"/>
      <c r="AF8" s="19"/>
      <c r="AG8" s="8"/>
      <c r="AH8" s="17"/>
      <c r="AI8" s="37"/>
      <c r="AJ8" s="18"/>
      <c r="AK8" s="21"/>
      <c r="AL8" s="21"/>
      <c r="AM8" s="36"/>
      <c r="AN8" s="21" t="s">
        <v>27</v>
      </c>
      <c r="AO8" s="21" t="s">
        <v>206</v>
      </c>
      <c r="AP8" s="21" t="s">
        <v>231</v>
      </c>
      <c r="AQ8" s="21" t="s">
        <v>231</v>
      </c>
      <c r="AR8" s="21" t="s">
        <v>231</v>
      </c>
      <c r="AS8" s="21" t="s">
        <v>206</v>
      </c>
      <c r="AT8" s="21" t="s">
        <v>231</v>
      </c>
      <c r="AU8" s="21" t="s">
        <v>206</v>
      </c>
      <c r="AV8" s="21" t="s">
        <v>236</v>
      </c>
      <c r="AW8" s="4" t="str">
        <f t="shared" si="6"/>
        <v>B</v>
      </c>
      <c r="AX8" s="45" t="str">
        <f t="shared" si="7"/>
        <v/>
      </c>
      <c r="AY8" s="44" t="s">
        <v>39</v>
      </c>
      <c r="AZ8" s="12">
        <f t="shared" si="2"/>
        <v>11</v>
      </c>
      <c r="BA8" s="14">
        <f t="shared" si="3"/>
        <v>11</v>
      </c>
      <c r="BB8" s="5">
        <f t="shared" si="4"/>
        <v>0</v>
      </c>
      <c r="BC8" s="16">
        <f t="shared" si="5"/>
        <v>842.5</v>
      </c>
      <c r="BG8" s="106">
        <v>45778</v>
      </c>
      <c r="BH8" s="107">
        <v>45808</v>
      </c>
    </row>
    <row r="9" spans="1:60" ht="15" customHeight="1" x14ac:dyDescent="0.25">
      <c r="A9" s="46">
        <v>45743</v>
      </c>
      <c r="B9" s="46" t="s">
        <v>272</v>
      </c>
      <c r="C9" s="46" t="s">
        <v>25</v>
      </c>
      <c r="D9" s="21" t="s">
        <v>82</v>
      </c>
      <c r="E9" s="47">
        <v>123</v>
      </c>
      <c r="F9" s="21" t="s">
        <v>269</v>
      </c>
      <c r="G9" s="4" t="s">
        <v>268</v>
      </c>
      <c r="H9" s="4" t="s">
        <v>276</v>
      </c>
      <c r="I9" s="4"/>
      <c r="J9" s="4" t="s">
        <v>229</v>
      </c>
      <c r="K9" s="4" t="s">
        <v>258</v>
      </c>
      <c r="L9" s="4" t="s">
        <v>270</v>
      </c>
      <c r="M9" s="4" t="s">
        <v>273</v>
      </c>
      <c r="N9" s="4" t="s">
        <v>274</v>
      </c>
      <c r="O9" s="4" t="s">
        <v>275</v>
      </c>
      <c r="P9" s="4">
        <v>541843</v>
      </c>
      <c r="Q9" s="4">
        <v>4791470</v>
      </c>
      <c r="R9" s="91">
        <f t="shared" si="8"/>
        <v>216.89999999999998</v>
      </c>
      <c r="S9" s="35">
        <v>33.5</v>
      </c>
      <c r="T9" s="5"/>
      <c r="U9" s="6"/>
      <c r="V9" s="4"/>
      <c r="W9" s="20"/>
      <c r="X9" s="4"/>
      <c r="Y9" s="20"/>
      <c r="Z9" s="4"/>
      <c r="AA9" s="20"/>
      <c r="AB9" s="4"/>
      <c r="AC9" s="20"/>
      <c r="AD9" s="4"/>
      <c r="AE9" s="20">
        <v>0.7</v>
      </c>
      <c r="AF9" s="19"/>
      <c r="AG9" s="8"/>
      <c r="AH9" s="17"/>
      <c r="AI9" s="37">
        <v>182.7</v>
      </c>
      <c r="AJ9" s="18"/>
      <c r="AK9" s="21"/>
      <c r="AL9" s="21"/>
      <c r="AM9" s="36"/>
      <c r="AN9" s="69" t="s">
        <v>235</v>
      </c>
      <c r="AO9" s="69" t="s">
        <v>231</v>
      </c>
      <c r="AP9" s="69" t="s">
        <v>231</v>
      </c>
      <c r="AQ9" s="69" t="s">
        <v>231</v>
      </c>
      <c r="AR9" s="69" t="s">
        <v>231</v>
      </c>
      <c r="AS9" s="69" t="s">
        <v>206</v>
      </c>
      <c r="AT9" s="69" t="s">
        <v>231</v>
      </c>
      <c r="AU9" s="69" t="s">
        <v>206</v>
      </c>
      <c r="AV9" s="21" t="s">
        <v>236</v>
      </c>
      <c r="AW9" s="4" t="str">
        <f t="shared" si="6"/>
        <v>D</v>
      </c>
      <c r="AX9" s="45" t="str">
        <f t="shared" si="7"/>
        <v/>
      </c>
      <c r="AY9" s="44" t="s">
        <v>165</v>
      </c>
      <c r="AZ9" s="12">
        <f t="shared" si="2"/>
        <v>39</v>
      </c>
      <c r="BA9" s="14">
        <f t="shared" si="3"/>
        <v>32</v>
      </c>
      <c r="BB9" s="5">
        <f t="shared" si="4"/>
        <v>7</v>
      </c>
      <c r="BC9" s="16">
        <f t="shared" si="5"/>
        <v>1644.1</v>
      </c>
      <c r="BG9" s="106">
        <v>45809</v>
      </c>
      <c r="BH9" s="107">
        <v>45838</v>
      </c>
    </row>
    <row r="10" spans="1:60" ht="15" customHeight="1" x14ac:dyDescent="0.25">
      <c r="A10" s="46">
        <v>45752</v>
      </c>
      <c r="B10" s="46" t="s">
        <v>283</v>
      </c>
      <c r="C10" s="46" t="s">
        <v>28</v>
      </c>
      <c r="D10" s="21" t="s">
        <v>79</v>
      </c>
      <c r="E10" s="47">
        <v>147</v>
      </c>
      <c r="F10" s="21" t="s">
        <v>28</v>
      </c>
      <c r="G10" s="4" t="s">
        <v>277</v>
      </c>
      <c r="H10" s="4" t="s">
        <v>284</v>
      </c>
      <c r="I10" s="4" t="s">
        <v>278</v>
      </c>
      <c r="J10" s="4" t="s">
        <v>229</v>
      </c>
      <c r="K10" s="4" t="s">
        <v>279</v>
      </c>
      <c r="L10" s="4" t="s">
        <v>87</v>
      </c>
      <c r="M10" s="4" t="s">
        <v>280</v>
      </c>
      <c r="N10" s="4" t="s">
        <v>281</v>
      </c>
      <c r="O10" s="4" t="s">
        <v>282</v>
      </c>
      <c r="P10" s="91"/>
      <c r="Q10" s="91"/>
      <c r="R10" s="91">
        <f t="shared" si="8"/>
        <v>0.1</v>
      </c>
      <c r="S10" s="35"/>
      <c r="T10" s="5"/>
      <c r="U10" s="6"/>
      <c r="V10" s="4"/>
      <c r="W10" s="20"/>
      <c r="X10" s="4"/>
      <c r="Y10" s="20"/>
      <c r="Z10" s="4"/>
      <c r="AA10" s="20"/>
      <c r="AB10" s="4">
        <v>0.1</v>
      </c>
      <c r="AC10" s="20"/>
      <c r="AD10" s="4"/>
      <c r="AE10" s="20"/>
      <c r="AF10" s="19"/>
      <c r="AG10" s="8"/>
      <c r="AH10" s="17"/>
      <c r="AI10" s="37"/>
      <c r="AJ10" s="18"/>
      <c r="AK10" s="21"/>
      <c r="AL10" s="21"/>
      <c r="AM10" s="36"/>
      <c r="AN10" s="21" t="s">
        <v>235</v>
      </c>
      <c r="AO10" s="21" t="s">
        <v>206</v>
      </c>
      <c r="AP10" s="21" t="s">
        <v>231</v>
      </c>
      <c r="AQ10" s="21" t="s">
        <v>231</v>
      </c>
      <c r="AR10" s="21" t="s">
        <v>231</v>
      </c>
      <c r="AS10" s="21" t="s">
        <v>206</v>
      </c>
      <c r="AT10" s="21" t="s">
        <v>231</v>
      </c>
      <c r="AU10" s="21" t="s">
        <v>236</v>
      </c>
      <c r="AV10" s="21" t="s">
        <v>236</v>
      </c>
      <c r="AW10" s="4" t="str">
        <f t="shared" si="6"/>
        <v>A</v>
      </c>
      <c r="AX10" s="45" t="str">
        <f t="shared" si="7"/>
        <v/>
      </c>
      <c r="AY10" s="44" t="s">
        <v>166</v>
      </c>
      <c r="AZ10" s="12">
        <f t="shared" si="2"/>
        <v>72</v>
      </c>
      <c r="BA10" s="14">
        <f t="shared" si="3"/>
        <v>27</v>
      </c>
      <c r="BB10" s="5">
        <f t="shared" si="4"/>
        <v>44</v>
      </c>
      <c r="BC10" s="16">
        <f t="shared" si="5"/>
        <v>41284.799999999981</v>
      </c>
      <c r="BG10" s="106">
        <v>45839</v>
      </c>
      <c r="BH10" s="107">
        <v>45869</v>
      </c>
    </row>
    <row r="11" spans="1:60" ht="15" customHeight="1" x14ac:dyDescent="0.25">
      <c r="A11" s="46">
        <v>45764</v>
      </c>
      <c r="B11" s="46" t="s">
        <v>308</v>
      </c>
      <c r="C11" s="46" t="s">
        <v>25</v>
      </c>
      <c r="D11" s="21" t="s">
        <v>76</v>
      </c>
      <c r="E11" s="47">
        <v>199</v>
      </c>
      <c r="F11" s="21" t="s">
        <v>226</v>
      </c>
      <c r="G11" s="4" t="s">
        <v>309</v>
      </c>
      <c r="H11" s="4" t="s">
        <v>310</v>
      </c>
      <c r="I11" s="4"/>
      <c r="J11" s="4" t="s">
        <v>229</v>
      </c>
      <c r="K11" s="4" t="s">
        <v>311</v>
      </c>
      <c r="L11" s="4" t="s">
        <v>313</v>
      </c>
      <c r="M11" s="4" t="s">
        <v>312</v>
      </c>
      <c r="N11" s="4" t="s">
        <v>314</v>
      </c>
      <c r="O11" s="4" t="s">
        <v>315</v>
      </c>
      <c r="P11" s="4">
        <v>588806</v>
      </c>
      <c r="Q11" s="4">
        <v>4790593</v>
      </c>
      <c r="R11" s="91">
        <f t="shared" si="8"/>
        <v>1</v>
      </c>
      <c r="S11" s="35">
        <v>0.1</v>
      </c>
      <c r="T11" s="5"/>
      <c r="U11" s="6"/>
      <c r="V11" s="4"/>
      <c r="W11" s="20"/>
      <c r="X11" s="4"/>
      <c r="Y11" s="20"/>
      <c r="Z11" s="4"/>
      <c r="AA11" s="20"/>
      <c r="AB11" s="4"/>
      <c r="AC11" s="20"/>
      <c r="AD11" s="4">
        <v>0.9</v>
      </c>
      <c r="AE11" s="20"/>
      <c r="AF11" s="19"/>
      <c r="AG11" s="8"/>
      <c r="AH11" s="17"/>
      <c r="AI11" s="37"/>
      <c r="AJ11" s="18"/>
      <c r="AK11" s="21"/>
      <c r="AL11" s="21"/>
      <c r="AM11" s="36"/>
      <c r="AN11" s="21" t="s">
        <v>235</v>
      </c>
      <c r="AO11" s="21" t="s">
        <v>231</v>
      </c>
      <c r="AP11" s="21" t="s">
        <v>231</v>
      </c>
      <c r="AQ11" s="21" t="s">
        <v>231</v>
      </c>
      <c r="AR11" s="21" t="s">
        <v>231</v>
      </c>
      <c r="AS11" s="21" t="s">
        <v>206</v>
      </c>
      <c r="AT11" s="21" t="s">
        <v>231</v>
      </c>
      <c r="AU11" s="21" t="s">
        <v>236</v>
      </c>
      <c r="AV11" s="21" t="s">
        <v>236</v>
      </c>
      <c r="AW11" s="4" t="str">
        <f>IF(R11&gt;4999.9,"G",IF(R11&gt;999.9,"F",IF(R11&gt;299.9,"E",IF(R11&gt;99.9,"D",IF(R11&gt;9.9,"C",IF(R11&gt;0.25,"B",IF(R11&gt;0,"A","")))))))</f>
        <v>B</v>
      </c>
      <c r="AX11" s="45" t="str">
        <f t="shared" si="7"/>
        <v/>
      </c>
      <c r="AY11" s="44" t="s">
        <v>40</v>
      </c>
      <c r="AZ11" s="12">
        <f t="shared" si="2"/>
        <v>58</v>
      </c>
      <c r="BA11" s="14">
        <f t="shared" si="3"/>
        <v>19</v>
      </c>
      <c r="BB11" s="5">
        <f t="shared" si="4"/>
        <v>39</v>
      </c>
      <c r="BC11" s="16">
        <f t="shared" si="5"/>
        <v>11019.650000000001</v>
      </c>
      <c r="BG11" s="106">
        <v>45870</v>
      </c>
      <c r="BH11" s="107">
        <v>45900</v>
      </c>
    </row>
    <row r="12" spans="1:60" ht="15" customHeight="1" x14ac:dyDescent="0.25">
      <c r="A12" s="46">
        <v>45767</v>
      </c>
      <c r="B12" s="46" t="s">
        <v>320</v>
      </c>
      <c r="C12" s="46" t="s">
        <v>25</v>
      </c>
      <c r="D12" s="21" t="s">
        <v>25</v>
      </c>
      <c r="E12" s="47">
        <v>203</v>
      </c>
      <c r="F12" s="21" t="s">
        <v>269</v>
      </c>
      <c r="G12" s="4" t="s">
        <v>316</v>
      </c>
      <c r="H12" s="4" t="s">
        <v>319</v>
      </c>
      <c r="I12" s="4"/>
      <c r="J12" s="4" t="s">
        <v>229</v>
      </c>
      <c r="K12" s="4" t="s">
        <v>317</v>
      </c>
      <c r="L12" s="4" t="s">
        <v>87</v>
      </c>
      <c r="M12" s="4" t="s">
        <v>318</v>
      </c>
      <c r="N12" s="4" t="s">
        <v>321</v>
      </c>
      <c r="O12" s="4" t="s">
        <v>322</v>
      </c>
      <c r="P12" s="4">
        <v>561944</v>
      </c>
      <c r="Q12" s="4">
        <v>4800738</v>
      </c>
      <c r="R12" s="91">
        <f t="shared" si="8"/>
        <v>0.1</v>
      </c>
      <c r="S12" s="35">
        <v>0.1</v>
      </c>
      <c r="T12" s="5"/>
      <c r="U12" s="6"/>
      <c r="V12" s="4"/>
      <c r="W12" s="20"/>
      <c r="X12" s="4"/>
      <c r="Y12" s="20"/>
      <c r="Z12" s="4"/>
      <c r="AA12" s="20"/>
      <c r="AB12" s="4"/>
      <c r="AC12" s="20"/>
      <c r="AD12" s="4"/>
      <c r="AE12" s="20"/>
      <c r="AF12" s="19"/>
      <c r="AG12" s="8"/>
      <c r="AH12" s="17"/>
      <c r="AI12" s="37"/>
      <c r="AJ12" s="18"/>
      <c r="AK12" s="21"/>
      <c r="AL12" s="21"/>
      <c r="AM12" s="36"/>
      <c r="AN12" s="134" t="s">
        <v>235</v>
      </c>
      <c r="AO12" s="134" t="s">
        <v>231</v>
      </c>
      <c r="AP12" s="134" t="s">
        <v>231</v>
      </c>
      <c r="AQ12" s="134" t="s">
        <v>231</v>
      </c>
      <c r="AR12" s="134" t="s">
        <v>231</v>
      </c>
      <c r="AS12" s="134" t="s">
        <v>231</v>
      </c>
      <c r="AT12" s="134" t="s">
        <v>231</v>
      </c>
      <c r="AU12" s="134" t="s">
        <v>236</v>
      </c>
      <c r="AV12" s="21" t="s">
        <v>236</v>
      </c>
      <c r="AW12" s="4" t="str">
        <f>IF(R12&gt;4999.9,"G",IF(R12&gt;999.9,"F",IF(R12&gt;299.9,"E",IF(R12&gt;99.9,"D",IF(R12&gt;9.9,"C",IF(R12&gt;0.25,"B",IF(R12&gt;0,"A","")))))))</f>
        <v>A</v>
      </c>
      <c r="AX12" s="45" t="str">
        <f t="shared" si="7"/>
        <v/>
      </c>
      <c r="AY12" s="44" t="s">
        <v>41</v>
      </c>
      <c r="AZ12" s="12">
        <f t="shared" si="2"/>
        <v>16</v>
      </c>
      <c r="BA12" s="14">
        <f t="shared" si="3"/>
        <v>10</v>
      </c>
      <c r="BB12" s="5">
        <f t="shared" si="4"/>
        <v>6</v>
      </c>
      <c r="BC12" s="16">
        <f t="shared" si="5"/>
        <v>277.55</v>
      </c>
      <c r="BG12" s="106">
        <v>45901</v>
      </c>
      <c r="BH12" s="107">
        <v>45930</v>
      </c>
    </row>
    <row r="13" spans="1:60" ht="15" customHeight="1" x14ac:dyDescent="0.25">
      <c r="A13" s="46">
        <v>45771</v>
      </c>
      <c r="B13" s="46" t="s">
        <v>334</v>
      </c>
      <c r="C13" s="46" t="s">
        <v>28</v>
      </c>
      <c r="D13" s="21" t="s">
        <v>79</v>
      </c>
      <c r="E13" s="47">
        <v>223</v>
      </c>
      <c r="F13" s="21" t="s">
        <v>28</v>
      </c>
      <c r="G13" s="4" t="s">
        <v>335</v>
      </c>
      <c r="H13" s="4" t="s">
        <v>278</v>
      </c>
      <c r="I13" s="4"/>
      <c r="J13" s="4" t="s">
        <v>229</v>
      </c>
      <c r="K13" s="4" t="s">
        <v>258</v>
      </c>
      <c r="L13" s="4" t="s">
        <v>260</v>
      </c>
      <c r="M13" s="4" t="s">
        <v>336</v>
      </c>
      <c r="N13" s="4" t="s">
        <v>337</v>
      </c>
      <c r="O13" s="4" t="s">
        <v>338</v>
      </c>
      <c r="P13" s="91"/>
      <c r="Q13" s="91"/>
      <c r="R13" s="91">
        <f t="shared" si="8"/>
        <v>0.75</v>
      </c>
      <c r="S13" s="35"/>
      <c r="T13" s="5"/>
      <c r="U13" s="6"/>
      <c r="V13" s="4"/>
      <c r="W13" s="20"/>
      <c r="X13" s="4"/>
      <c r="Y13" s="20"/>
      <c r="Z13" s="4"/>
      <c r="AA13" s="20"/>
      <c r="AB13" s="4">
        <v>0.75</v>
      </c>
      <c r="AC13" s="20"/>
      <c r="AD13" s="4"/>
      <c r="AE13" s="20"/>
      <c r="AF13" s="19"/>
      <c r="AG13" s="8"/>
      <c r="AH13" s="17"/>
      <c r="AI13" s="37"/>
      <c r="AJ13" s="18"/>
      <c r="AK13" s="21"/>
      <c r="AL13" s="21"/>
      <c r="AM13" s="36"/>
      <c r="AN13" s="69" t="s">
        <v>235</v>
      </c>
      <c r="AO13" s="69" t="s">
        <v>206</v>
      </c>
      <c r="AP13" s="69" t="s">
        <v>231</v>
      </c>
      <c r="AQ13" s="69" t="s">
        <v>231</v>
      </c>
      <c r="AR13" s="69" t="s">
        <v>231</v>
      </c>
      <c r="AS13" s="69" t="s">
        <v>206</v>
      </c>
      <c r="AT13" s="69" t="s">
        <v>231</v>
      </c>
      <c r="AU13" s="69" t="s">
        <v>236</v>
      </c>
      <c r="AV13" s="21" t="s">
        <v>236</v>
      </c>
      <c r="AW13" s="4" t="str">
        <f>IF(R13&gt;4999.9,"G",IF(R13&gt;999.9,"F",IF(R13&gt;299.9,"E",IF(R13&gt;99.9,"D",IF(R13&gt;9.9,"C",IF(R13&gt;0.25,"B",IF(R13&gt;0,"A","")))))))</f>
        <v>B</v>
      </c>
      <c r="AX13" s="45" t="str">
        <f t="shared" si="7"/>
        <v/>
      </c>
      <c r="AY13" s="44" t="s">
        <v>42</v>
      </c>
      <c r="AZ13" s="12">
        <f t="shared" si="2"/>
        <v>5</v>
      </c>
      <c r="BA13" s="14">
        <f t="shared" si="3"/>
        <v>4</v>
      </c>
      <c r="BB13" s="5">
        <f t="shared" si="4"/>
        <v>1</v>
      </c>
      <c r="BC13" s="16">
        <f t="shared" si="5"/>
        <v>28.750000000000004</v>
      </c>
      <c r="BG13" s="106">
        <v>45931</v>
      </c>
      <c r="BH13" s="107">
        <v>45961</v>
      </c>
    </row>
    <row r="14" spans="1:60" ht="15" customHeight="1" x14ac:dyDescent="0.25">
      <c r="A14" s="46">
        <v>45773</v>
      </c>
      <c r="B14" s="46" t="s">
        <v>344</v>
      </c>
      <c r="C14" s="46" t="s">
        <v>25</v>
      </c>
      <c r="D14" s="21" t="s">
        <v>25</v>
      </c>
      <c r="E14" s="47">
        <v>228</v>
      </c>
      <c r="F14" s="21" t="s">
        <v>226</v>
      </c>
      <c r="G14" s="4" t="s">
        <v>339</v>
      </c>
      <c r="H14" s="4" t="s">
        <v>340</v>
      </c>
      <c r="I14" s="4"/>
      <c r="J14" s="4" t="s">
        <v>229</v>
      </c>
      <c r="K14" s="4" t="s">
        <v>317</v>
      </c>
      <c r="L14" s="4" t="s">
        <v>87</v>
      </c>
      <c r="M14" s="4" t="s">
        <v>341</v>
      </c>
      <c r="N14" s="4" t="s">
        <v>342</v>
      </c>
      <c r="O14" s="4" t="s">
        <v>343</v>
      </c>
      <c r="P14" s="4">
        <v>516437</v>
      </c>
      <c r="Q14" s="4">
        <v>4852172</v>
      </c>
      <c r="R14" s="91">
        <f t="shared" si="8"/>
        <v>0.1</v>
      </c>
      <c r="S14" s="35">
        <v>0.1</v>
      </c>
      <c r="T14" s="5"/>
      <c r="U14" s="6"/>
      <c r="V14" s="4"/>
      <c r="W14" s="20"/>
      <c r="X14" s="4"/>
      <c r="Y14" s="20"/>
      <c r="Z14" s="4"/>
      <c r="AA14" s="20"/>
      <c r="AB14" s="4"/>
      <c r="AC14" s="20"/>
      <c r="AD14" s="4"/>
      <c r="AE14" s="20"/>
      <c r="AF14" s="19"/>
      <c r="AG14" s="8"/>
      <c r="AH14" s="17"/>
      <c r="AI14" s="37"/>
      <c r="AJ14" s="18"/>
      <c r="AK14" s="21"/>
      <c r="AL14" s="21"/>
      <c r="AM14" s="36"/>
      <c r="AN14" s="69" t="s">
        <v>235</v>
      </c>
      <c r="AO14" s="69" t="s">
        <v>231</v>
      </c>
      <c r="AP14" s="69" t="s">
        <v>231</v>
      </c>
      <c r="AQ14" s="69" t="s">
        <v>231</v>
      </c>
      <c r="AR14" s="69" t="s">
        <v>231</v>
      </c>
      <c r="AS14" s="69" t="s">
        <v>206</v>
      </c>
      <c r="AT14" s="69" t="s">
        <v>231</v>
      </c>
      <c r="AU14" s="69" t="s">
        <v>236</v>
      </c>
      <c r="AV14" s="21" t="s">
        <v>236</v>
      </c>
      <c r="AW14" s="4" t="str">
        <f t="shared" si="6"/>
        <v>A</v>
      </c>
      <c r="AX14" s="45" t="str">
        <f t="shared" si="7"/>
        <v/>
      </c>
      <c r="AY14" s="44" t="s">
        <v>43</v>
      </c>
      <c r="AZ14" s="12">
        <f t="shared" si="2"/>
        <v>2</v>
      </c>
      <c r="BA14" s="14">
        <f t="shared" si="3"/>
        <v>2</v>
      </c>
      <c r="BB14" s="5">
        <f t="shared" si="4"/>
        <v>0</v>
      </c>
      <c r="BC14" s="16">
        <f t="shared" si="5"/>
        <v>0.2</v>
      </c>
      <c r="BG14" s="106">
        <v>45962</v>
      </c>
      <c r="BH14" s="107">
        <v>45991</v>
      </c>
    </row>
    <row r="15" spans="1:60" ht="15" customHeight="1" x14ac:dyDescent="0.25">
      <c r="A15" s="46">
        <v>45779</v>
      </c>
      <c r="B15" s="46" t="s">
        <v>371</v>
      </c>
      <c r="C15" s="46" t="s">
        <v>28</v>
      </c>
      <c r="D15" s="21" t="s">
        <v>28</v>
      </c>
      <c r="E15" s="47">
        <v>265</v>
      </c>
      <c r="F15" s="21" t="s">
        <v>28</v>
      </c>
      <c r="G15" s="4" t="s">
        <v>370</v>
      </c>
      <c r="H15" s="4" t="s">
        <v>247</v>
      </c>
      <c r="I15" s="4"/>
      <c r="J15" s="4" t="s">
        <v>229</v>
      </c>
      <c r="K15" s="4" t="s">
        <v>279</v>
      </c>
      <c r="L15" s="4" t="s">
        <v>87</v>
      </c>
      <c r="M15" s="4" t="s">
        <v>372</v>
      </c>
      <c r="N15" s="4" t="s">
        <v>373</v>
      </c>
      <c r="O15" s="4" t="s">
        <v>374</v>
      </c>
      <c r="P15" s="91"/>
      <c r="Q15" s="91"/>
      <c r="R15" s="91">
        <f t="shared" si="8"/>
        <v>1.7</v>
      </c>
      <c r="S15" s="35"/>
      <c r="T15" s="5"/>
      <c r="U15" s="6">
        <v>1.7</v>
      </c>
      <c r="V15" s="4"/>
      <c r="W15" s="20"/>
      <c r="X15" s="4"/>
      <c r="Y15" s="20"/>
      <c r="Z15" s="4"/>
      <c r="AA15" s="20"/>
      <c r="AB15" s="4"/>
      <c r="AC15" s="20"/>
      <c r="AD15" s="4"/>
      <c r="AE15" s="20"/>
      <c r="AF15" s="19"/>
      <c r="AG15" s="8"/>
      <c r="AH15" s="17"/>
      <c r="AI15" s="37"/>
      <c r="AJ15" s="18"/>
      <c r="AK15" s="21"/>
      <c r="AL15" s="21"/>
      <c r="AM15" s="36"/>
      <c r="AN15" s="21" t="s">
        <v>27</v>
      </c>
      <c r="AO15" s="21" t="s">
        <v>231</v>
      </c>
      <c r="AP15" s="21" t="s">
        <v>231</v>
      </c>
      <c r="AQ15" s="21" t="s">
        <v>231</v>
      </c>
      <c r="AR15" s="21" t="s">
        <v>231</v>
      </c>
      <c r="AS15" s="21" t="s">
        <v>231</v>
      </c>
      <c r="AT15" s="21" t="s">
        <v>231</v>
      </c>
      <c r="AU15" s="21" t="s">
        <v>236</v>
      </c>
      <c r="AV15" s="21" t="s">
        <v>236</v>
      </c>
      <c r="AW15" s="4" t="str">
        <f t="shared" si="6"/>
        <v>B</v>
      </c>
      <c r="AX15" s="45" t="str">
        <f t="shared" si="7"/>
        <v/>
      </c>
      <c r="AY15" s="44" t="s">
        <v>44</v>
      </c>
      <c r="AZ15" s="12">
        <f t="shared" si="2"/>
        <v>0</v>
      </c>
      <c r="BA15" s="14">
        <f t="shared" si="3"/>
        <v>0</v>
      </c>
      <c r="BB15" s="5">
        <f t="shared" si="4"/>
        <v>0</v>
      </c>
      <c r="BC15" s="16">
        <f t="shared" si="5"/>
        <v>0</v>
      </c>
      <c r="BG15" s="106">
        <v>45992</v>
      </c>
      <c r="BH15" s="107">
        <v>46022</v>
      </c>
    </row>
    <row r="16" spans="1:60" ht="15" customHeight="1" x14ac:dyDescent="0.25">
      <c r="A16" s="46">
        <v>45784</v>
      </c>
      <c r="B16" s="46" t="s">
        <v>388</v>
      </c>
      <c r="C16" s="46" t="s">
        <v>28</v>
      </c>
      <c r="D16" s="21" t="s">
        <v>79</v>
      </c>
      <c r="E16" s="47">
        <v>277</v>
      </c>
      <c r="F16" s="21" t="s">
        <v>28</v>
      </c>
      <c r="G16" s="4" t="s">
        <v>384</v>
      </c>
      <c r="H16" s="4" t="s">
        <v>247</v>
      </c>
      <c r="I16" s="4" t="s">
        <v>387</v>
      </c>
      <c r="J16" s="4" t="s">
        <v>229</v>
      </c>
      <c r="K16" s="4" t="s">
        <v>258</v>
      </c>
      <c r="L16" s="4" t="s">
        <v>260</v>
      </c>
      <c r="M16" s="4" t="s">
        <v>224</v>
      </c>
      <c r="N16" s="4" t="s">
        <v>385</v>
      </c>
      <c r="O16" s="4" t="s">
        <v>386</v>
      </c>
      <c r="P16" s="91"/>
      <c r="Q16" s="91"/>
      <c r="R16" s="91">
        <f t="shared" si="8"/>
        <v>0.2</v>
      </c>
      <c r="S16" s="35"/>
      <c r="T16" s="5"/>
      <c r="U16" s="6"/>
      <c r="V16" s="4"/>
      <c r="W16" s="20"/>
      <c r="X16" s="4"/>
      <c r="Y16" s="20"/>
      <c r="Z16" s="4"/>
      <c r="AA16" s="20"/>
      <c r="AB16" s="4">
        <v>0.2</v>
      </c>
      <c r="AC16" s="20"/>
      <c r="AD16" s="4"/>
      <c r="AE16" s="20"/>
      <c r="AF16" s="19"/>
      <c r="AG16" s="8"/>
      <c r="AH16" s="17"/>
      <c r="AI16" s="37"/>
      <c r="AJ16" s="18"/>
      <c r="AK16" s="21"/>
      <c r="AL16" s="21"/>
      <c r="AM16" s="36"/>
      <c r="AN16" s="21" t="s">
        <v>235</v>
      </c>
      <c r="AO16" s="21" t="s">
        <v>206</v>
      </c>
      <c r="AP16" s="21" t="s">
        <v>231</v>
      </c>
      <c r="AQ16" s="21" t="s">
        <v>231</v>
      </c>
      <c r="AR16" s="21" t="s">
        <v>231</v>
      </c>
      <c r="AS16" s="21" t="s">
        <v>206</v>
      </c>
      <c r="AT16" s="21" t="s">
        <v>231</v>
      </c>
      <c r="AU16" s="21" t="s">
        <v>236</v>
      </c>
      <c r="AV16" s="21" t="s">
        <v>236</v>
      </c>
      <c r="AW16" s="4" t="str">
        <f t="shared" si="6"/>
        <v>A</v>
      </c>
      <c r="AX16" s="45" t="str">
        <f t="shared" si="7"/>
        <v/>
      </c>
      <c r="AY16" s="44"/>
      <c r="AZ16" s="12"/>
      <c r="BA16" s="14"/>
      <c r="BB16" s="5"/>
      <c r="BC16" s="16"/>
      <c r="BG16" s="107"/>
      <c r="BH16" s="107"/>
    </row>
    <row r="17" spans="1:60" ht="15" customHeight="1" x14ac:dyDescent="0.25">
      <c r="A17" s="46">
        <v>45784</v>
      </c>
      <c r="B17" s="46" t="s">
        <v>391</v>
      </c>
      <c r="C17" s="46" t="s">
        <v>25</v>
      </c>
      <c r="D17" s="21" t="s">
        <v>25</v>
      </c>
      <c r="E17" s="47">
        <v>278</v>
      </c>
      <c r="F17" s="21" t="s">
        <v>269</v>
      </c>
      <c r="G17" s="4" t="s">
        <v>389</v>
      </c>
      <c r="H17" s="4" t="s">
        <v>392</v>
      </c>
      <c r="I17" s="4" t="s">
        <v>390</v>
      </c>
      <c r="J17" s="4" t="s">
        <v>229</v>
      </c>
      <c r="K17" s="4" t="s">
        <v>242</v>
      </c>
      <c r="L17" s="4" t="s">
        <v>393</v>
      </c>
      <c r="M17" s="4" t="s">
        <v>329</v>
      </c>
      <c r="N17" s="4" t="s">
        <v>396</v>
      </c>
      <c r="O17" s="4" t="s">
        <v>397</v>
      </c>
      <c r="P17" s="4">
        <v>601928</v>
      </c>
      <c r="Q17" s="4">
        <v>4754134</v>
      </c>
      <c r="R17" s="91">
        <f t="shared" si="8"/>
        <v>2</v>
      </c>
      <c r="S17" s="35">
        <v>2</v>
      </c>
      <c r="T17" s="5"/>
      <c r="U17" s="6"/>
      <c r="V17" s="4"/>
      <c r="W17" s="20"/>
      <c r="X17" s="4"/>
      <c r="Y17" s="20"/>
      <c r="Z17" s="4"/>
      <c r="AA17" s="20"/>
      <c r="AB17" s="4"/>
      <c r="AC17" s="20"/>
      <c r="AD17" s="4"/>
      <c r="AE17" s="20"/>
      <c r="AF17" s="19"/>
      <c r="AG17" s="8"/>
      <c r="AH17" s="17"/>
      <c r="AI17" s="37"/>
      <c r="AJ17" s="18"/>
      <c r="AK17" s="21"/>
      <c r="AL17" s="21"/>
      <c r="AM17" s="36"/>
      <c r="AN17" s="21" t="s">
        <v>235</v>
      </c>
      <c r="AO17" s="21" t="s">
        <v>206</v>
      </c>
      <c r="AP17" s="21" t="s">
        <v>231</v>
      </c>
      <c r="AQ17" s="21" t="s">
        <v>231</v>
      </c>
      <c r="AR17" s="21" t="s">
        <v>231</v>
      </c>
      <c r="AS17" s="21" t="s">
        <v>206</v>
      </c>
      <c r="AT17" s="21" t="s">
        <v>231</v>
      </c>
      <c r="AU17" s="21" t="s">
        <v>236</v>
      </c>
      <c r="AV17" s="21" t="s">
        <v>236</v>
      </c>
      <c r="AW17" s="4" t="str">
        <f t="shared" si="6"/>
        <v>B</v>
      </c>
      <c r="AX17" s="45" t="str">
        <f t="shared" si="7"/>
        <v/>
      </c>
      <c r="AY17" s="44" t="s">
        <v>4</v>
      </c>
      <c r="AZ17" s="7">
        <f>SUM(AZ4:AZ15)</f>
        <v>213</v>
      </c>
      <c r="BA17" s="14">
        <f>SUM(BA4:BA15)</f>
        <v>115</v>
      </c>
      <c r="BB17" s="5">
        <f>SUM(BB4:BB15)</f>
        <v>97</v>
      </c>
      <c r="BC17" s="16">
        <f>SUM(BC4:BC15)</f>
        <v>55326.199999999983</v>
      </c>
    </row>
    <row r="18" spans="1:60" ht="15" customHeight="1" x14ac:dyDescent="0.25">
      <c r="A18" s="46">
        <v>45786</v>
      </c>
      <c r="B18" s="46" t="s">
        <v>407</v>
      </c>
      <c r="C18" s="46" t="s">
        <v>25</v>
      </c>
      <c r="D18" s="21" t="s">
        <v>25</v>
      </c>
      <c r="E18" s="47">
        <v>292</v>
      </c>
      <c r="F18" s="21" t="s">
        <v>252</v>
      </c>
      <c r="G18" s="4" t="s">
        <v>401</v>
      </c>
      <c r="H18" s="4" t="s">
        <v>403</v>
      </c>
      <c r="I18" s="4" t="s">
        <v>404</v>
      </c>
      <c r="J18" s="4" t="s">
        <v>229</v>
      </c>
      <c r="K18" s="4" t="s">
        <v>258</v>
      </c>
      <c r="L18" s="4" t="s">
        <v>87</v>
      </c>
      <c r="M18" s="4" t="s">
        <v>402</v>
      </c>
      <c r="N18" s="4" t="s">
        <v>405</v>
      </c>
      <c r="O18" s="4" t="s">
        <v>406</v>
      </c>
      <c r="P18" s="4">
        <v>517337</v>
      </c>
      <c r="Q18" s="4">
        <v>4808260</v>
      </c>
      <c r="R18" s="91">
        <f t="shared" si="8"/>
        <v>6.7</v>
      </c>
      <c r="S18" s="35">
        <v>6.7</v>
      </c>
      <c r="T18" s="5"/>
      <c r="U18" s="6"/>
      <c r="V18" s="4"/>
      <c r="W18" s="20"/>
      <c r="X18" s="4"/>
      <c r="Y18" s="20"/>
      <c r="Z18" s="4"/>
      <c r="AA18" s="20"/>
      <c r="AB18" s="4"/>
      <c r="AC18" s="20"/>
      <c r="AD18" s="4"/>
      <c r="AE18" s="20"/>
      <c r="AF18" s="19"/>
      <c r="AG18" s="8"/>
      <c r="AH18" s="17"/>
      <c r="AI18" s="37"/>
      <c r="AJ18" s="18"/>
      <c r="AK18" s="21"/>
      <c r="AL18" s="21"/>
      <c r="AM18" s="36"/>
      <c r="AN18" s="21" t="s">
        <v>235</v>
      </c>
      <c r="AO18" s="21" t="s">
        <v>231</v>
      </c>
      <c r="AP18" s="21" t="s">
        <v>206</v>
      </c>
      <c r="AQ18" s="21" t="s">
        <v>231</v>
      </c>
      <c r="AR18" s="21" t="s">
        <v>231</v>
      </c>
      <c r="AS18" s="21" t="s">
        <v>206</v>
      </c>
      <c r="AT18" s="21" t="s">
        <v>231</v>
      </c>
      <c r="AU18" s="21" t="s">
        <v>236</v>
      </c>
      <c r="AV18" s="21" t="s">
        <v>236</v>
      </c>
      <c r="AW18" s="4" t="str">
        <f t="shared" si="6"/>
        <v>B</v>
      </c>
      <c r="AX18" s="45" t="str">
        <f t="shared" si="7"/>
        <v/>
      </c>
      <c r="BE18" s="2" t="s">
        <v>5</v>
      </c>
    </row>
    <row r="19" spans="1:60" ht="15" customHeight="1" x14ac:dyDescent="0.25">
      <c r="A19" s="46">
        <v>45800</v>
      </c>
      <c r="B19" s="46" t="s">
        <v>425</v>
      </c>
      <c r="C19" s="46" t="s">
        <v>25</v>
      </c>
      <c r="D19" s="21" t="s">
        <v>25</v>
      </c>
      <c r="E19" s="47">
        <v>332</v>
      </c>
      <c r="F19" s="21" t="s">
        <v>252</v>
      </c>
      <c r="G19" s="4" t="s">
        <v>423</v>
      </c>
      <c r="H19" s="4" t="s">
        <v>424</v>
      </c>
      <c r="I19" s="4"/>
      <c r="J19" s="4" t="s">
        <v>229</v>
      </c>
      <c r="K19" s="4" t="s">
        <v>317</v>
      </c>
      <c r="L19" s="4" t="s">
        <v>87</v>
      </c>
      <c r="M19" s="4" t="s">
        <v>433</v>
      </c>
      <c r="N19" s="4" t="s">
        <v>426</v>
      </c>
      <c r="O19" s="4" t="s">
        <v>427</v>
      </c>
      <c r="P19" s="4">
        <v>523986</v>
      </c>
      <c r="Q19" s="4">
        <v>4790655</v>
      </c>
      <c r="R19" s="91">
        <f t="shared" si="8"/>
        <v>4</v>
      </c>
      <c r="S19" s="35">
        <v>4</v>
      </c>
      <c r="T19" s="5"/>
      <c r="U19" s="6"/>
      <c r="V19" s="4"/>
      <c r="W19" s="20"/>
      <c r="X19" s="4"/>
      <c r="Y19" s="20"/>
      <c r="Z19" s="4"/>
      <c r="AA19" s="20"/>
      <c r="AB19" s="4"/>
      <c r="AC19" s="20"/>
      <c r="AD19" s="4"/>
      <c r="AE19" s="20"/>
      <c r="AF19" s="19"/>
      <c r="AG19" s="8"/>
      <c r="AH19" s="17"/>
      <c r="AI19" s="37"/>
      <c r="AJ19" s="18"/>
      <c r="AK19" s="21"/>
      <c r="AL19" s="21"/>
      <c r="AM19" s="36"/>
      <c r="AN19" s="21" t="s">
        <v>235</v>
      </c>
      <c r="AO19" s="21" t="s">
        <v>231</v>
      </c>
      <c r="AP19" s="21" t="s">
        <v>206</v>
      </c>
      <c r="AQ19" s="21" t="s">
        <v>231</v>
      </c>
      <c r="AR19" s="21" t="s">
        <v>231</v>
      </c>
      <c r="AS19" s="21" t="s">
        <v>231</v>
      </c>
      <c r="AT19" s="21" t="s">
        <v>231</v>
      </c>
      <c r="AU19" s="21" t="s">
        <v>236</v>
      </c>
      <c r="AV19" s="21" t="s">
        <v>236</v>
      </c>
      <c r="AW19" s="4" t="str">
        <f t="shared" si="6"/>
        <v>B</v>
      </c>
      <c r="AX19" s="45" t="str">
        <f t="shared" si="7"/>
        <v/>
      </c>
    </row>
    <row r="20" spans="1:60" ht="15" customHeight="1" x14ac:dyDescent="0.25">
      <c r="A20" s="46">
        <v>45800</v>
      </c>
      <c r="B20" s="46" t="s">
        <v>428</v>
      </c>
      <c r="C20" s="46" t="s">
        <v>25</v>
      </c>
      <c r="D20" s="21" t="s">
        <v>25</v>
      </c>
      <c r="E20" s="47">
        <v>335</v>
      </c>
      <c r="F20" s="21" t="s">
        <v>226</v>
      </c>
      <c r="G20" s="4" t="s">
        <v>429</v>
      </c>
      <c r="H20" s="4" t="s">
        <v>310</v>
      </c>
      <c r="I20" s="4"/>
      <c r="J20" s="4" t="s">
        <v>229</v>
      </c>
      <c r="K20" s="4" t="s">
        <v>317</v>
      </c>
      <c r="L20" s="4" t="s">
        <v>87</v>
      </c>
      <c r="M20" s="4" t="s">
        <v>430</v>
      </c>
      <c r="N20" s="4" t="s">
        <v>431</v>
      </c>
      <c r="O20" s="4" t="s">
        <v>432</v>
      </c>
      <c r="P20" s="4">
        <v>546008</v>
      </c>
      <c r="Q20" s="4">
        <v>4843694</v>
      </c>
      <c r="R20" s="91">
        <f t="shared" si="8"/>
        <v>3</v>
      </c>
      <c r="S20" s="35">
        <v>3</v>
      </c>
      <c r="T20" s="5"/>
      <c r="U20" s="6"/>
      <c r="V20" s="4"/>
      <c r="W20" s="20"/>
      <c r="X20" s="4"/>
      <c r="Y20" s="20"/>
      <c r="Z20" s="4"/>
      <c r="AA20" s="20"/>
      <c r="AB20" s="4"/>
      <c r="AC20" s="20"/>
      <c r="AD20" s="4"/>
      <c r="AE20" s="20"/>
      <c r="AF20" s="19"/>
      <c r="AG20" s="8"/>
      <c r="AH20" s="17"/>
      <c r="AI20" s="37"/>
      <c r="AJ20" s="18"/>
      <c r="AK20" s="21"/>
      <c r="AL20" s="21"/>
      <c r="AM20" s="36"/>
      <c r="AN20" s="21" t="s">
        <v>235</v>
      </c>
      <c r="AO20" s="21" t="s">
        <v>206</v>
      </c>
      <c r="AP20" s="21" t="s">
        <v>231</v>
      </c>
      <c r="AQ20" s="21" t="s">
        <v>206</v>
      </c>
      <c r="AR20" s="21" t="s">
        <v>231</v>
      </c>
      <c r="AS20" s="21" t="s">
        <v>206</v>
      </c>
      <c r="AT20" s="21" t="s">
        <v>231</v>
      </c>
      <c r="AU20" s="21" t="s">
        <v>236</v>
      </c>
      <c r="AV20" s="21" t="s">
        <v>236</v>
      </c>
      <c r="AW20" s="4" t="str">
        <f t="shared" si="6"/>
        <v>B</v>
      </c>
      <c r="AX20" s="45" t="str">
        <f t="shared" si="7"/>
        <v/>
      </c>
    </row>
    <row r="21" spans="1:60" ht="15" customHeight="1" x14ac:dyDescent="0.25">
      <c r="A21" s="46">
        <v>45801</v>
      </c>
      <c r="B21" s="46" t="s">
        <v>434</v>
      </c>
      <c r="C21" s="46" t="s">
        <v>25</v>
      </c>
      <c r="D21" s="21" t="s">
        <v>25</v>
      </c>
      <c r="E21" s="47">
        <v>338</v>
      </c>
      <c r="F21" s="21" t="s">
        <v>269</v>
      </c>
      <c r="G21" s="4" t="s">
        <v>435</v>
      </c>
      <c r="H21" s="4" t="s">
        <v>276</v>
      </c>
      <c r="I21" s="4" t="s">
        <v>436</v>
      </c>
      <c r="J21" s="4" t="s">
        <v>229</v>
      </c>
      <c r="K21" s="4" t="s">
        <v>317</v>
      </c>
      <c r="L21" s="4" t="s">
        <v>87</v>
      </c>
      <c r="M21" s="4" t="s">
        <v>437</v>
      </c>
      <c r="N21" s="4" t="s">
        <v>438</v>
      </c>
      <c r="O21" s="4" t="s">
        <v>439</v>
      </c>
      <c r="P21" s="4">
        <v>560033</v>
      </c>
      <c r="Q21" s="4">
        <v>4802290</v>
      </c>
      <c r="R21" s="91">
        <f t="shared" si="8"/>
        <v>3</v>
      </c>
      <c r="S21" s="35">
        <v>3</v>
      </c>
      <c r="T21" s="5"/>
      <c r="U21" s="6"/>
      <c r="V21" s="4"/>
      <c r="W21" s="20"/>
      <c r="X21" s="4"/>
      <c r="Y21" s="20"/>
      <c r="Z21" s="4"/>
      <c r="AA21" s="20"/>
      <c r="AB21" s="4"/>
      <c r="AC21" s="20"/>
      <c r="AD21" s="4"/>
      <c r="AE21" s="20"/>
      <c r="AF21" s="19"/>
      <c r="AG21" s="8"/>
      <c r="AH21" s="17"/>
      <c r="AI21" s="37"/>
      <c r="AJ21" s="18"/>
      <c r="AK21" s="21"/>
      <c r="AL21" s="21"/>
      <c r="AM21" s="36"/>
      <c r="AN21" s="21" t="s">
        <v>235</v>
      </c>
      <c r="AO21" s="21" t="s">
        <v>231</v>
      </c>
      <c r="AP21" s="21" t="s">
        <v>231</v>
      </c>
      <c r="AQ21" s="21" t="s">
        <v>231</v>
      </c>
      <c r="AR21" s="21" t="s">
        <v>231</v>
      </c>
      <c r="AS21" s="21" t="s">
        <v>206</v>
      </c>
      <c r="AT21" s="21" t="s">
        <v>231</v>
      </c>
      <c r="AU21" s="21" t="s">
        <v>236</v>
      </c>
      <c r="AV21" s="21" t="s">
        <v>236</v>
      </c>
      <c r="AW21" s="4" t="str">
        <f t="shared" si="6"/>
        <v>B</v>
      </c>
      <c r="AX21" s="45" t="str">
        <f t="shared" si="7"/>
        <v/>
      </c>
      <c r="BB21" s="181"/>
      <c r="BC21" s="181"/>
      <c r="BD21" s="181"/>
      <c r="BE21" s="181"/>
      <c r="BF21" s="181"/>
      <c r="BG21" s="181"/>
      <c r="BH21" s="181"/>
    </row>
    <row r="22" spans="1:60" ht="15" customHeight="1" x14ac:dyDescent="0.25">
      <c r="A22" s="46">
        <v>45803</v>
      </c>
      <c r="B22" s="46" t="s">
        <v>446</v>
      </c>
      <c r="C22" s="46" t="s">
        <v>25</v>
      </c>
      <c r="D22" s="21" t="s">
        <v>25</v>
      </c>
      <c r="E22" s="47">
        <v>343</v>
      </c>
      <c r="F22" s="21" t="s">
        <v>226</v>
      </c>
      <c r="G22" s="4" t="s">
        <v>447</v>
      </c>
      <c r="H22" s="4" t="s">
        <v>448</v>
      </c>
      <c r="I22" s="4"/>
      <c r="J22" s="4" t="s">
        <v>229</v>
      </c>
      <c r="K22" s="4" t="s">
        <v>317</v>
      </c>
      <c r="L22" s="4" t="s">
        <v>87</v>
      </c>
      <c r="M22" s="4" t="s">
        <v>449</v>
      </c>
      <c r="N22" s="4" t="s">
        <v>450</v>
      </c>
      <c r="O22" s="4" t="s">
        <v>451</v>
      </c>
      <c r="P22" s="4">
        <v>530971</v>
      </c>
      <c r="Q22" s="4">
        <v>4854246</v>
      </c>
      <c r="R22" s="91">
        <f t="shared" si="8"/>
        <v>1</v>
      </c>
      <c r="S22" s="35">
        <v>1</v>
      </c>
      <c r="T22" s="5"/>
      <c r="U22" s="6"/>
      <c r="V22" s="4"/>
      <c r="W22" s="20"/>
      <c r="X22" s="4"/>
      <c r="Y22" s="20"/>
      <c r="Z22" s="4"/>
      <c r="AA22" s="20"/>
      <c r="AB22" s="4"/>
      <c r="AC22" s="20"/>
      <c r="AD22" s="4"/>
      <c r="AE22" s="20"/>
      <c r="AF22" s="19"/>
      <c r="AG22" s="8"/>
      <c r="AH22" s="17"/>
      <c r="AI22" s="37"/>
      <c r="AJ22" s="18"/>
      <c r="AK22" s="21"/>
      <c r="AL22" s="21"/>
      <c r="AM22" s="36"/>
      <c r="AN22" s="21" t="s">
        <v>235</v>
      </c>
      <c r="AO22" s="21" t="s">
        <v>206</v>
      </c>
      <c r="AP22" s="21" t="s">
        <v>231</v>
      </c>
      <c r="AQ22" s="21" t="s">
        <v>206</v>
      </c>
      <c r="AR22" s="21" t="s">
        <v>231</v>
      </c>
      <c r="AS22" s="21" t="s">
        <v>206</v>
      </c>
      <c r="AT22" s="21" t="s">
        <v>231</v>
      </c>
      <c r="AU22" s="21" t="s">
        <v>236</v>
      </c>
      <c r="AV22" s="21" t="s">
        <v>236</v>
      </c>
      <c r="AW22" s="4" t="str">
        <f t="shared" si="6"/>
        <v>B</v>
      </c>
      <c r="AX22" s="45" t="str">
        <f t="shared" si="7"/>
        <v/>
      </c>
    </row>
    <row r="23" spans="1:60" ht="15" customHeight="1" x14ac:dyDescent="0.25">
      <c r="A23" s="46">
        <v>45806</v>
      </c>
      <c r="B23" s="46" t="s">
        <v>460</v>
      </c>
      <c r="C23" s="46" t="s">
        <v>25</v>
      </c>
      <c r="D23" s="21" t="s">
        <v>25</v>
      </c>
      <c r="E23" s="47">
        <v>359</v>
      </c>
      <c r="F23" s="21" t="s">
        <v>226</v>
      </c>
      <c r="G23" s="4" t="s">
        <v>461</v>
      </c>
      <c r="H23" s="2" t="s">
        <v>462</v>
      </c>
      <c r="I23" s="4"/>
      <c r="J23" s="4" t="s">
        <v>229</v>
      </c>
      <c r="K23" s="4" t="s">
        <v>279</v>
      </c>
      <c r="L23" s="4" t="s">
        <v>87</v>
      </c>
      <c r="M23" s="4" t="s">
        <v>463</v>
      </c>
      <c r="N23" s="4" t="s">
        <v>464</v>
      </c>
      <c r="O23" s="4" t="s">
        <v>465</v>
      </c>
      <c r="P23" s="4">
        <v>598799</v>
      </c>
      <c r="Q23" s="4">
        <v>4749723</v>
      </c>
      <c r="R23" s="91">
        <f t="shared" si="8"/>
        <v>2</v>
      </c>
      <c r="S23" s="35">
        <v>2</v>
      </c>
      <c r="T23" s="5"/>
      <c r="U23" s="6"/>
      <c r="V23" s="4"/>
      <c r="W23" s="20"/>
      <c r="X23" s="4"/>
      <c r="Y23" s="20"/>
      <c r="Z23" s="4"/>
      <c r="AA23" s="20"/>
      <c r="AB23" s="4"/>
      <c r="AC23" s="20"/>
      <c r="AD23" s="4"/>
      <c r="AE23" s="20"/>
      <c r="AF23" s="19"/>
      <c r="AG23" s="8"/>
      <c r="AH23" s="17"/>
      <c r="AI23" s="37"/>
      <c r="AJ23" s="18"/>
      <c r="AK23" s="21"/>
      <c r="AL23" s="21"/>
      <c r="AM23" s="36"/>
      <c r="AN23" s="69" t="s">
        <v>27</v>
      </c>
      <c r="AO23" s="69" t="s">
        <v>231</v>
      </c>
      <c r="AP23" s="69" t="s">
        <v>231</v>
      </c>
      <c r="AQ23" s="69" t="s">
        <v>231</v>
      </c>
      <c r="AR23" s="69" t="s">
        <v>231</v>
      </c>
      <c r="AS23" s="69" t="s">
        <v>231</v>
      </c>
      <c r="AT23" s="69" t="s">
        <v>206</v>
      </c>
      <c r="AU23" s="69" t="s">
        <v>206</v>
      </c>
      <c r="AV23" s="21" t="s">
        <v>236</v>
      </c>
      <c r="AW23" s="4" t="str">
        <f t="shared" si="6"/>
        <v>B</v>
      </c>
      <c r="AX23" s="45" t="str">
        <f t="shared" si="7"/>
        <v/>
      </c>
      <c r="AY23" s="45" t="s">
        <v>59</v>
      </c>
      <c r="AZ23" s="4" t="s">
        <v>58</v>
      </c>
      <c r="BC23" s="174"/>
    </row>
    <row r="24" spans="1:60" ht="15" customHeight="1" x14ac:dyDescent="0.25">
      <c r="A24" s="46">
        <v>45807</v>
      </c>
      <c r="B24" s="46" t="s">
        <v>476</v>
      </c>
      <c r="C24" s="46" t="s">
        <v>25</v>
      </c>
      <c r="D24" s="21" t="s">
        <v>25</v>
      </c>
      <c r="E24" s="47">
        <v>368</v>
      </c>
      <c r="F24" s="21" t="s">
        <v>269</v>
      </c>
      <c r="G24" s="4" t="s">
        <v>470</v>
      </c>
      <c r="H24" s="4" t="s">
        <v>471</v>
      </c>
      <c r="I24" s="4" t="s">
        <v>472</v>
      </c>
      <c r="J24" s="4" t="s">
        <v>229</v>
      </c>
      <c r="K24" s="4" t="s">
        <v>317</v>
      </c>
      <c r="L24" s="4" t="s">
        <v>87</v>
      </c>
      <c r="M24" s="4" t="s">
        <v>473</v>
      </c>
      <c r="N24" s="4" t="s">
        <v>474</v>
      </c>
      <c r="O24" s="4" t="s">
        <v>475</v>
      </c>
      <c r="P24" s="4">
        <v>554983</v>
      </c>
      <c r="Q24" s="4">
        <v>4787807</v>
      </c>
      <c r="R24" s="91">
        <f t="shared" si="8"/>
        <v>796.1</v>
      </c>
      <c r="S24" s="35">
        <v>672.4</v>
      </c>
      <c r="T24" s="5"/>
      <c r="U24" s="6">
        <v>123.7</v>
      </c>
      <c r="V24" s="4"/>
      <c r="W24" s="20"/>
      <c r="X24" s="4"/>
      <c r="Y24" s="20"/>
      <c r="Z24" s="4"/>
      <c r="AA24" s="20"/>
      <c r="AB24" s="4"/>
      <c r="AC24" s="20"/>
      <c r="AD24" s="4"/>
      <c r="AE24" s="20"/>
      <c r="AF24" s="19"/>
      <c r="AG24" s="8"/>
      <c r="AH24" s="17"/>
      <c r="AI24" s="37"/>
      <c r="AJ24" s="18"/>
      <c r="AK24" s="21"/>
      <c r="AL24" s="21"/>
      <c r="AM24" s="36"/>
      <c r="AN24" s="21" t="s">
        <v>235</v>
      </c>
      <c r="AO24" s="21" t="s">
        <v>206</v>
      </c>
      <c r="AP24" s="21" t="s">
        <v>231</v>
      </c>
      <c r="AQ24" s="21" t="s">
        <v>231</v>
      </c>
      <c r="AR24" s="21" t="s">
        <v>231</v>
      </c>
      <c r="AS24" s="21" t="s">
        <v>231</v>
      </c>
      <c r="AT24" s="21" t="s">
        <v>231</v>
      </c>
      <c r="AU24" s="21" t="s">
        <v>236</v>
      </c>
      <c r="AV24" s="21" t="s">
        <v>236</v>
      </c>
      <c r="AW24" s="4" t="str">
        <f t="shared" si="6"/>
        <v>E</v>
      </c>
      <c r="AX24" s="45" t="str">
        <f t="shared" si="7"/>
        <v/>
      </c>
      <c r="AY24" s="100" t="s">
        <v>55</v>
      </c>
      <c r="AZ24" s="20">
        <f>COUNTIF(STATS!AW:AW,"A")</f>
        <v>88</v>
      </c>
      <c r="BC24" s="174"/>
    </row>
    <row r="25" spans="1:60" ht="15" customHeight="1" x14ac:dyDescent="0.25">
      <c r="A25" s="46">
        <v>45808</v>
      </c>
      <c r="B25" s="46" t="s">
        <v>483</v>
      </c>
      <c r="C25" s="46" t="s">
        <v>25</v>
      </c>
      <c r="D25" s="21" t="s">
        <v>25</v>
      </c>
      <c r="E25" s="47">
        <v>370</v>
      </c>
      <c r="F25" s="21" t="s">
        <v>226</v>
      </c>
      <c r="G25" s="4" t="s">
        <v>477</v>
      </c>
      <c r="H25" s="4" t="s">
        <v>479</v>
      </c>
      <c r="I25" s="4" t="s">
        <v>480</v>
      </c>
      <c r="J25" s="4" t="s">
        <v>229</v>
      </c>
      <c r="K25" s="4" t="s">
        <v>317</v>
      </c>
      <c r="L25" s="4" t="s">
        <v>87</v>
      </c>
      <c r="M25" s="4" t="s">
        <v>478</v>
      </c>
      <c r="N25" s="4" t="s">
        <v>481</v>
      </c>
      <c r="O25" s="4" t="s">
        <v>482</v>
      </c>
      <c r="P25" s="4">
        <v>530126</v>
      </c>
      <c r="Q25" s="4">
        <v>4853496</v>
      </c>
      <c r="R25" s="91">
        <f t="shared" si="8"/>
        <v>22.8</v>
      </c>
      <c r="S25" s="35">
        <v>22.8</v>
      </c>
      <c r="T25" s="5"/>
      <c r="U25" s="6"/>
      <c r="V25" s="4"/>
      <c r="W25" s="20"/>
      <c r="X25" s="4"/>
      <c r="Y25" s="20"/>
      <c r="Z25" s="4"/>
      <c r="AA25" s="20"/>
      <c r="AB25" s="4"/>
      <c r="AC25" s="20"/>
      <c r="AD25" s="4"/>
      <c r="AE25" s="20"/>
      <c r="AF25" s="19"/>
      <c r="AG25" s="8"/>
      <c r="AH25" s="17"/>
      <c r="AI25" s="37"/>
      <c r="AJ25" s="18"/>
      <c r="AK25" s="21"/>
      <c r="AL25" s="21"/>
      <c r="AM25" s="36"/>
      <c r="AN25" s="21" t="s">
        <v>235</v>
      </c>
      <c r="AO25" s="21" t="s">
        <v>231</v>
      </c>
      <c r="AP25" s="21" t="s">
        <v>231</v>
      </c>
      <c r="AQ25" s="21" t="s">
        <v>231</v>
      </c>
      <c r="AR25" s="21" t="s">
        <v>231</v>
      </c>
      <c r="AS25" s="21" t="s">
        <v>206</v>
      </c>
      <c r="AT25" s="21" t="s">
        <v>231</v>
      </c>
      <c r="AU25" s="21" t="s">
        <v>236</v>
      </c>
      <c r="AV25" s="21" t="s">
        <v>236</v>
      </c>
      <c r="AW25" s="4" t="str">
        <f t="shared" si="6"/>
        <v>C</v>
      </c>
      <c r="AX25" s="45" t="str">
        <f t="shared" si="7"/>
        <v/>
      </c>
      <c r="AY25" s="45" t="s">
        <v>60</v>
      </c>
      <c r="AZ25" s="4">
        <f>COUNTIF(STATS!AW:AW,"B")</f>
        <v>73</v>
      </c>
      <c r="BC25" s="174"/>
    </row>
    <row r="26" spans="1:60" ht="15" customHeight="1" x14ac:dyDescent="0.25">
      <c r="A26" s="46">
        <v>45809</v>
      </c>
      <c r="B26" s="21" t="s">
        <v>484</v>
      </c>
      <c r="C26" s="21" t="s">
        <v>26</v>
      </c>
      <c r="D26" s="21" t="s">
        <v>26</v>
      </c>
      <c r="E26" s="21">
        <v>373</v>
      </c>
      <c r="F26" s="21" t="s">
        <v>327</v>
      </c>
      <c r="G26" s="4" t="s">
        <v>485</v>
      </c>
      <c r="H26" s="4" t="s">
        <v>486</v>
      </c>
      <c r="I26" s="4"/>
      <c r="J26" s="4" t="s">
        <v>229</v>
      </c>
      <c r="K26" s="4" t="s">
        <v>487</v>
      </c>
      <c r="L26" s="4" t="s">
        <v>488</v>
      </c>
      <c r="M26" s="4" t="s">
        <v>489</v>
      </c>
      <c r="N26" s="4" t="s">
        <v>490</v>
      </c>
      <c r="O26" s="4" t="s">
        <v>491</v>
      </c>
      <c r="P26" s="91"/>
      <c r="Q26" s="91"/>
      <c r="R26" s="91">
        <f t="shared" si="8"/>
        <v>0.1</v>
      </c>
      <c r="S26" s="35"/>
      <c r="T26" s="5">
        <v>0.1</v>
      </c>
      <c r="U26" s="6"/>
      <c r="V26" s="4"/>
      <c r="W26" s="193"/>
      <c r="X26" s="4"/>
      <c r="Y26" s="20"/>
      <c r="Z26" s="4"/>
      <c r="AA26" s="20"/>
      <c r="AB26" s="4"/>
      <c r="AC26" s="20"/>
      <c r="AD26" s="4"/>
      <c r="AE26" s="20"/>
      <c r="AF26" s="19"/>
      <c r="AG26" s="8"/>
      <c r="AH26" s="17"/>
      <c r="AI26" s="37"/>
      <c r="AJ26" s="18"/>
      <c r="AK26" s="21"/>
      <c r="AL26" s="21"/>
      <c r="AM26" s="36"/>
      <c r="AN26" s="46" t="s">
        <v>27</v>
      </c>
      <c r="AO26" s="46" t="s">
        <v>231</v>
      </c>
      <c r="AP26" s="46" t="s">
        <v>231</v>
      </c>
      <c r="AQ26" s="46" t="s">
        <v>231</v>
      </c>
      <c r="AR26" s="46" t="s">
        <v>231</v>
      </c>
      <c r="AS26" s="46" t="s">
        <v>231</v>
      </c>
      <c r="AT26" s="46" t="s">
        <v>231</v>
      </c>
      <c r="AU26" s="46" t="s">
        <v>236</v>
      </c>
      <c r="AV26" s="21" t="s">
        <v>236</v>
      </c>
      <c r="AW26" s="4" t="str">
        <f t="shared" si="6"/>
        <v>A</v>
      </c>
      <c r="AX26" s="45" t="str">
        <f t="shared" si="7"/>
        <v/>
      </c>
      <c r="AY26" s="100" t="s">
        <v>56</v>
      </c>
      <c r="AZ26" s="20">
        <f>COUNTIF(STATS!AW:AW,"C")</f>
        <v>26</v>
      </c>
    </row>
    <row r="27" spans="1:60" ht="15" customHeight="1" x14ac:dyDescent="0.25">
      <c r="A27" s="46">
        <v>45809</v>
      </c>
      <c r="B27" s="46" t="s">
        <v>492</v>
      </c>
      <c r="C27" s="46" t="s">
        <v>25</v>
      </c>
      <c r="D27" s="21" t="s">
        <v>25</v>
      </c>
      <c r="E27" s="47">
        <v>377</v>
      </c>
      <c r="F27" s="21" t="s">
        <v>226</v>
      </c>
      <c r="G27" s="4" t="s">
        <v>493</v>
      </c>
      <c r="H27" s="184" t="s">
        <v>494</v>
      </c>
      <c r="I27" s="4" t="s">
        <v>495</v>
      </c>
      <c r="J27" s="4" t="s">
        <v>229</v>
      </c>
      <c r="K27" s="4" t="s">
        <v>258</v>
      </c>
      <c r="L27" s="4" t="s">
        <v>87</v>
      </c>
      <c r="M27" s="4" t="s">
        <v>496</v>
      </c>
      <c r="N27" s="4" t="s">
        <v>497</v>
      </c>
      <c r="O27" s="4" t="s">
        <v>498</v>
      </c>
      <c r="P27" s="4">
        <v>561663</v>
      </c>
      <c r="Q27" s="4">
        <v>4804669</v>
      </c>
      <c r="R27" s="91">
        <f t="shared" si="8"/>
        <v>35.200000000000003</v>
      </c>
      <c r="S27" s="35">
        <v>35.200000000000003</v>
      </c>
      <c r="T27" s="5"/>
      <c r="U27" s="6"/>
      <c r="V27" s="4"/>
      <c r="W27" s="20"/>
      <c r="X27" s="4"/>
      <c r="Y27" s="20"/>
      <c r="Z27" s="4"/>
      <c r="AA27" s="20"/>
      <c r="AB27" s="4"/>
      <c r="AC27" s="20"/>
      <c r="AD27" s="4"/>
      <c r="AE27" s="20"/>
      <c r="AF27" s="19"/>
      <c r="AG27" s="8"/>
      <c r="AH27" s="17"/>
      <c r="AI27" s="37"/>
      <c r="AJ27" s="18"/>
      <c r="AK27" s="21"/>
      <c r="AL27" s="21"/>
      <c r="AM27" s="36"/>
      <c r="AN27" s="21" t="s">
        <v>235</v>
      </c>
      <c r="AO27" s="21" t="s">
        <v>231</v>
      </c>
      <c r="AP27" s="21" t="s">
        <v>231</v>
      </c>
      <c r="AQ27" s="21" t="s">
        <v>231</v>
      </c>
      <c r="AR27" s="21" t="s">
        <v>231</v>
      </c>
      <c r="AS27" s="21" t="s">
        <v>206</v>
      </c>
      <c r="AT27" s="21" t="s">
        <v>231</v>
      </c>
      <c r="AU27" s="21" t="s">
        <v>236</v>
      </c>
      <c r="AV27" s="21" t="s">
        <v>236</v>
      </c>
      <c r="AW27" s="4" t="str">
        <f t="shared" si="6"/>
        <v>C</v>
      </c>
      <c r="AX27" s="45" t="str">
        <f t="shared" si="7"/>
        <v/>
      </c>
      <c r="AY27" s="45" t="s">
        <v>57</v>
      </c>
      <c r="AZ27" s="4">
        <f>COUNTIF(STATS!AW:AW,"D")</f>
        <v>10</v>
      </c>
    </row>
    <row r="28" spans="1:60" ht="15" customHeight="1" x14ac:dyDescent="0.25">
      <c r="A28" s="46">
        <v>45812</v>
      </c>
      <c r="B28" s="21" t="s">
        <v>520</v>
      </c>
      <c r="C28" s="21" t="s">
        <v>28</v>
      </c>
      <c r="D28" s="21" t="s">
        <v>79</v>
      </c>
      <c r="E28" s="21">
        <v>395</v>
      </c>
      <c r="F28" s="21" t="s">
        <v>28</v>
      </c>
      <c r="G28" s="4" t="s">
        <v>507</v>
      </c>
      <c r="H28" s="4" t="s">
        <v>521</v>
      </c>
      <c r="I28" s="4"/>
      <c r="J28" s="4" t="s">
        <v>229</v>
      </c>
      <c r="K28" s="4" t="s">
        <v>258</v>
      </c>
      <c r="L28" s="4" t="s">
        <v>260</v>
      </c>
      <c r="M28" s="4" t="s">
        <v>510</v>
      </c>
      <c r="N28" s="4" t="s">
        <v>511</v>
      </c>
      <c r="O28" s="4" t="s">
        <v>512</v>
      </c>
      <c r="P28" s="91"/>
      <c r="Q28" s="91"/>
      <c r="R28" s="91">
        <f t="shared" si="8"/>
        <v>0.2</v>
      </c>
      <c r="S28" s="35"/>
      <c r="T28" s="5"/>
      <c r="U28" s="6"/>
      <c r="V28" s="4"/>
      <c r="W28" s="20"/>
      <c r="X28" s="4"/>
      <c r="Y28" s="20"/>
      <c r="Z28" s="4"/>
      <c r="AA28" s="20"/>
      <c r="AB28" s="4">
        <v>0.2</v>
      </c>
      <c r="AC28" s="20"/>
      <c r="AD28" s="4"/>
      <c r="AE28" s="20"/>
      <c r="AF28" s="19"/>
      <c r="AG28" s="8"/>
      <c r="AH28" s="17"/>
      <c r="AI28" s="37"/>
      <c r="AJ28" s="18"/>
      <c r="AK28" s="21"/>
      <c r="AL28" s="21"/>
      <c r="AM28" s="36"/>
      <c r="AN28" s="46" t="s">
        <v>27</v>
      </c>
      <c r="AO28" s="46" t="s">
        <v>206</v>
      </c>
      <c r="AP28" s="46" t="s">
        <v>231</v>
      </c>
      <c r="AQ28" s="46" t="s">
        <v>231</v>
      </c>
      <c r="AR28" s="46" t="s">
        <v>231</v>
      </c>
      <c r="AS28" s="46" t="s">
        <v>206</v>
      </c>
      <c r="AT28" s="46" t="s">
        <v>231</v>
      </c>
      <c r="AU28" s="46" t="s">
        <v>236</v>
      </c>
      <c r="AV28" s="21" t="s">
        <v>236</v>
      </c>
      <c r="AW28" s="4" t="str">
        <f t="shared" si="6"/>
        <v>A</v>
      </c>
      <c r="AX28" s="45" t="str">
        <f t="shared" si="7"/>
        <v/>
      </c>
      <c r="AY28" s="100" t="s">
        <v>52</v>
      </c>
      <c r="AZ28" s="20">
        <f>COUNTIF(STATS!AW:AW,"E")</f>
        <v>8</v>
      </c>
    </row>
    <row r="29" spans="1:60" ht="15" customHeight="1" x14ac:dyDescent="0.25">
      <c r="A29" s="46">
        <v>45812</v>
      </c>
      <c r="B29" s="46" t="s">
        <v>506</v>
      </c>
      <c r="C29" s="46" t="s">
        <v>25</v>
      </c>
      <c r="D29" s="21" t="s">
        <v>76</v>
      </c>
      <c r="E29" s="47">
        <v>396</v>
      </c>
      <c r="F29" s="21" t="s">
        <v>226</v>
      </c>
      <c r="G29" s="4" t="s">
        <v>508</v>
      </c>
      <c r="H29" s="152" t="s">
        <v>509</v>
      </c>
      <c r="I29" s="152"/>
      <c r="J29" s="4" t="s">
        <v>229</v>
      </c>
      <c r="K29" s="4" t="s">
        <v>279</v>
      </c>
      <c r="L29" s="4" t="s">
        <v>87</v>
      </c>
      <c r="M29" s="152" t="s">
        <v>513</v>
      </c>
      <c r="N29" s="152" t="s">
        <v>514</v>
      </c>
      <c r="O29" s="152" t="s">
        <v>515</v>
      </c>
      <c r="P29" s="4">
        <v>594378</v>
      </c>
      <c r="Q29" s="4">
        <v>4787801</v>
      </c>
      <c r="R29" s="91">
        <f t="shared" si="8"/>
        <v>0.1</v>
      </c>
      <c r="S29" s="35"/>
      <c r="T29" s="5"/>
      <c r="U29" s="6"/>
      <c r="V29" s="4"/>
      <c r="W29" s="20"/>
      <c r="X29" s="4"/>
      <c r="Y29" s="20"/>
      <c r="Z29" s="4"/>
      <c r="AA29" s="20"/>
      <c r="AB29" s="4"/>
      <c r="AC29" s="20"/>
      <c r="AD29" s="4">
        <v>0.1</v>
      </c>
      <c r="AE29" s="20"/>
      <c r="AF29" s="19"/>
      <c r="AG29" s="8"/>
      <c r="AH29" s="17"/>
      <c r="AI29" s="37"/>
      <c r="AJ29" s="18"/>
      <c r="AK29" s="21"/>
      <c r="AL29" s="21"/>
      <c r="AM29" s="36"/>
      <c r="AN29" s="46" t="s">
        <v>516</v>
      </c>
      <c r="AO29" s="46" t="s">
        <v>206</v>
      </c>
      <c r="AP29" s="46" t="s">
        <v>231</v>
      </c>
      <c r="AQ29" s="46" t="s">
        <v>231</v>
      </c>
      <c r="AR29" s="46" t="s">
        <v>231</v>
      </c>
      <c r="AS29" s="46" t="s">
        <v>231</v>
      </c>
      <c r="AT29" s="46" t="s">
        <v>231</v>
      </c>
      <c r="AU29" s="46" t="s">
        <v>236</v>
      </c>
      <c r="AV29" s="21" t="s">
        <v>236</v>
      </c>
      <c r="AW29" s="4" t="str">
        <f t="shared" si="6"/>
        <v>A</v>
      </c>
      <c r="AX29" s="45" t="str">
        <f t="shared" si="7"/>
        <v/>
      </c>
      <c r="AY29" s="45" t="s">
        <v>64</v>
      </c>
      <c r="AZ29" s="4">
        <f>COUNTIF(STATS!AW:AW,"F")</f>
        <v>4</v>
      </c>
    </row>
    <row r="30" spans="1:60" ht="15" customHeight="1" x14ac:dyDescent="0.25">
      <c r="A30" s="46">
        <v>45817</v>
      </c>
      <c r="B30" s="46" t="s">
        <v>537</v>
      </c>
      <c r="C30" s="46" t="s">
        <v>25</v>
      </c>
      <c r="D30" s="21" t="s">
        <v>25</v>
      </c>
      <c r="E30" s="47">
        <v>412</v>
      </c>
      <c r="F30" s="21" t="s">
        <v>269</v>
      </c>
      <c r="G30" s="4" t="s">
        <v>532</v>
      </c>
      <c r="H30" s="152" t="s">
        <v>392</v>
      </c>
      <c r="I30" s="152" t="s">
        <v>533</v>
      </c>
      <c r="J30" s="4" t="s">
        <v>229</v>
      </c>
      <c r="K30" s="4" t="s">
        <v>242</v>
      </c>
      <c r="L30" s="4" t="s">
        <v>393</v>
      </c>
      <c r="M30" s="152" t="s">
        <v>534</v>
      </c>
      <c r="N30" s="152" t="s">
        <v>535</v>
      </c>
      <c r="O30" s="152" t="s">
        <v>536</v>
      </c>
      <c r="P30" s="152">
        <v>581533</v>
      </c>
      <c r="Q30" s="152">
        <v>4786271</v>
      </c>
      <c r="R30" s="91">
        <f t="shared" si="8"/>
        <v>337.40000000000003</v>
      </c>
      <c r="S30" s="35">
        <v>322.3</v>
      </c>
      <c r="T30" s="5"/>
      <c r="U30" s="6"/>
      <c r="V30" s="4"/>
      <c r="W30" s="20"/>
      <c r="X30" s="4"/>
      <c r="Y30" s="20"/>
      <c r="Z30" s="4"/>
      <c r="AA30" s="20"/>
      <c r="AB30" s="4"/>
      <c r="AC30" s="20"/>
      <c r="AD30" s="4"/>
      <c r="AE30" s="20"/>
      <c r="AF30" s="19"/>
      <c r="AG30" s="8"/>
      <c r="AH30" s="17"/>
      <c r="AI30" s="37">
        <v>15.1</v>
      </c>
      <c r="AJ30" s="18"/>
      <c r="AK30" s="21"/>
      <c r="AL30" s="21" t="s">
        <v>218</v>
      </c>
      <c r="AM30" s="36"/>
      <c r="AN30" s="46" t="s">
        <v>27</v>
      </c>
      <c r="AO30" s="46" t="s">
        <v>206</v>
      </c>
      <c r="AP30" s="46" t="s">
        <v>231</v>
      </c>
      <c r="AQ30" s="46" t="s">
        <v>206</v>
      </c>
      <c r="AR30" s="46" t="s">
        <v>231</v>
      </c>
      <c r="AS30" s="46" t="s">
        <v>206</v>
      </c>
      <c r="AT30" s="46" t="s">
        <v>231</v>
      </c>
      <c r="AU30" s="46" t="s">
        <v>236</v>
      </c>
      <c r="AV30" s="21" t="s">
        <v>236</v>
      </c>
      <c r="AW30" s="4" t="str">
        <f t="shared" si="6"/>
        <v>E</v>
      </c>
      <c r="AX30" s="45" t="str">
        <f t="shared" si="7"/>
        <v/>
      </c>
      <c r="AY30" s="100" t="s">
        <v>61</v>
      </c>
      <c r="AZ30" s="20">
        <f>COUNTIF(STATS!AW:AW,"G")</f>
        <v>3</v>
      </c>
    </row>
    <row r="31" spans="1:60" ht="15" customHeight="1" x14ac:dyDescent="0.25">
      <c r="A31" s="46">
        <v>45818</v>
      </c>
      <c r="B31" s="21" t="s">
        <v>544</v>
      </c>
      <c r="C31" s="21" t="s">
        <v>25</v>
      </c>
      <c r="D31" s="21" t="s">
        <v>25</v>
      </c>
      <c r="E31" s="21">
        <v>418</v>
      </c>
      <c r="F31" s="21" t="s">
        <v>226</v>
      </c>
      <c r="G31" s="4" t="s">
        <v>538</v>
      </c>
      <c r="H31" s="4" t="s">
        <v>542</v>
      </c>
      <c r="I31" s="4" t="s">
        <v>543</v>
      </c>
      <c r="J31" s="4" t="s">
        <v>229</v>
      </c>
      <c r="K31" s="4" t="s">
        <v>487</v>
      </c>
      <c r="L31" s="4" t="s">
        <v>87</v>
      </c>
      <c r="M31" s="4" t="s">
        <v>539</v>
      </c>
      <c r="N31" s="4" t="s">
        <v>540</v>
      </c>
      <c r="O31" s="4" t="s">
        <v>541</v>
      </c>
      <c r="P31" s="4">
        <v>571024</v>
      </c>
      <c r="Q31" s="4">
        <v>4831069</v>
      </c>
      <c r="R31" s="91">
        <f t="shared" si="8"/>
        <v>0.1</v>
      </c>
      <c r="S31" s="35">
        <v>0.1</v>
      </c>
      <c r="T31" s="5"/>
      <c r="U31" s="6"/>
      <c r="V31" s="4"/>
      <c r="W31" s="20"/>
      <c r="X31" s="4"/>
      <c r="Y31" s="20"/>
      <c r="Z31" s="4"/>
      <c r="AA31" s="20"/>
      <c r="AB31" s="4"/>
      <c r="AC31" s="20"/>
      <c r="AD31" s="4"/>
      <c r="AE31" s="20"/>
      <c r="AF31" s="19"/>
      <c r="AG31" s="8"/>
      <c r="AH31" s="17"/>
      <c r="AI31" s="37"/>
      <c r="AJ31" s="18"/>
      <c r="AK31" s="21"/>
      <c r="AL31" s="21"/>
      <c r="AM31" s="36"/>
      <c r="AN31" s="69" t="s">
        <v>516</v>
      </c>
      <c r="AO31" s="69" t="s">
        <v>206</v>
      </c>
      <c r="AP31" s="69" t="s">
        <v>231</v>
      </c>
      <c r="AQ31" s="69" t="s">
        <v>231</v>
      </c>
      <c r="AR31" s="69" t="s">
        <v>231</v>
      </c>
      <c r="AS31" s="69" t="s">
        <v>231</v>
      </c>
      <c r="AT31" s="69" t="s">
        <v>231</v>
      </c>
      <c r="AU31" s="69" t="s">
        <v>236</v>
      </c>
      <c r="AV31" s="21" t="s">
        <v>236</v>
      </c>
      <c r="AW31" s="4" t="str">
        <f t="shared" si="6"/>
        <v>A</v>
      </c>
      <c r="AX31" s="45" t="str">
        <f t="shared" si="7"/>
        <v/>
      </c>
      <c r="AY31" s="45"/>
      <c r="AZ31" s="4"/>
      <c r="BC31" s="174"/>
    </row>
    <row r="32" spans="1:60" ht="15" customHeight="1" x14ac:dyDescent="0.25">
      <c r="A32" s="46">
        <v>45818</v>
      </c>
      <c r="B32" s="46" t="s">
        <v>548</v>
      </c>
      <c r="C32" s="46" t="s">
        <v>28</v>
      </c>
      <c r="D32" s="21" t="s">
        <v>79</v>
      </c>
      <c r="E32" s="47">
        <v>427</v>
      </c>
      <c r="F32" s="21" t="s">
        <v>28</v>
      </c>
      <c r="G32" s="4" t="s">
        <v>549</v>
      </c>
      <c r="H32" s="4" t="s">
        <v>248</v>
      </c>
      <c r="I32" s="4"/>
      <c r="J32" s="4" t="s">
        <v>229</v>
      </c>
      <c r="K32" s="4" t="s">
        <v>258</v>
      </c>
      <c r="L32" s="4" t="s">
        <v>590</v>
      </c>
      <c r="M32" s="4" t="s">
        <v>550</v>
      </c>
      <c r="N32" s="4" t="s">
        <v>551</v>
      </c>
      <c r="O32" s="4" t="s">
        <v>552</v>
      </c>
      <c r="P32" s="91"/>
      <c r="Q32" s="91"/>
      <c r="R32" s="91">
        <f t="shared" si="8"/>
        <v>0.4</v>
      </c>
      <c r="S32" s="35"/>
      <c r="T32" s="5"/>
      <c r="U32" s="6"/>
      <c r="V32" s="4"/>
      <c r="W32" s="20"/>
      <c r="X32" s="4"/>
      <c r="Y32" s="20"/>
      <c r="Z32" s="4"/>
      <c r="AA32" s="20"/>
      <c r="AB32" s="4">
        <v>0.4</v>
      </c>
      <c r="AC32" s="20"/>
      <c r="AD32" s="4"/>
      <c r="AE32" s="20"/>
      <c r="AF32" s="19"/>
      <c r="AG32" s="8"/>
      <c r="AH32" s="17"/>
      <c r="AI32" s="37"/>
      <c r="AJ32" s="18"/>
      <c r="AK32" s="21"/>
      <c r="AL32" s="21"/>
      <c r="AM32" s="36"/>
      <c r="AN32" s="21" t="s">
        <v>235</v>
      </c>
      <c r="AO32" s="21" t="s">
        <v>206</v>
      </c>
      <c r="AP32" s="21" t="s">
        <v>231</v>
      </c>
      <c r="AQ32" s="21" t="s">
        <v>231</v>
      </c>
      <c r="AR32" s="21" t="s">
        <v>231</v>
      </c>
      <c r="AS32" s="21" t="s">
        <v>206</v>
      </c>
      <c r="AT32" s="21" t="s">
        <v>231</v>
      </c>
      <c r="AU32" s="21" t="s">
        <v>236</v>
      </c>
      <c r="AV32" s="21" t="s">
        <v>236</v>
      </c>
      <c r="AW32" s="4" t="str">
        <f t="shared" si="6"/>
        <v>B</v>
      </c>
      <c r="AX32" s="45" t="str">
        <f t="shared" si="7"/>
        <v/>
      </c>
      <c r="AY32" s="90" t="s">
        <v>4</v>
      </c>
      <c r="AZ32" s="91">
        <f>SUM(AZ24:AZ31)</f>
        <v>212</v>
      </c>
      <c r="BC32" s="174"/>
    </row>
    <row r="33" spans="1:50" ht="15" customHeight="1" x14ac:dyDescent="0.25">
      <c r="A33" s="46">
        <v>45819</v>
      </c>
      <c r="B33" s="46" t="s">
        <v>553</v>
      </c>
      <c r="C33" s="46" t="s">
        <v>28</v>
      </c>
      <c r="D33" s="21" t="s">
        <v>28</v>
      </c>
      <c r="E33" s="47">
        <v>432</v>
      </c>
      <c r="F33" s="21" t="s">
        <v>28</v>
      </c>
      <c r="G33" s="4" t="s">
        <v>554</v>
      </c>
      <c r="H33" s="4" t="s">
        <v>542</v>
      </c>
      <c r="I33" s="4" t="s">
        <v>555</v>
      </c>
      <c r="J33" s="4" t="s">
        <v>556</v>
      </c>
      <c r="K33" s="4"/>
      <c r="L33" s="4"/>
      <c r="M33" s="4" t="s">
        <v>557</v>
      </c>
      <c r="N33" s="4" t="s">
        <v>558</v>
      </c>
      <c r="O33" s="4" t="s">
        <v>559</v>
      </c>
      <c r="P33" s="91"/>
      <c r="Q33" s="91"/>
      <c r="R33" s="91">
        <f t="shared" si="8"/>
        <v>1.9</v>
      </c>
      <c r="S33" s="35"/>
      <c r="T33" s="5"/>
      <c r="U33" s="6">
        <v>1.9</v>
      </c>
      <c r="V33" s="4"/>
      <c r="W33" s="20"/>
      <c r="X33" s="4"/>
      <c r="Y33" s="20"/>
      <c r="Z33" s="4"/>
      <c r="AA33" s="20"/>
      <c r="AB33" s="4"/>
      <c r="AC33" s="20"/>
      <c r="AD33" s="4"/>
      <c r="AE33" s="20"/>
      <c r="AF33" s="19"/>
      <c r="AG33" s="8"/>
      <c r="AH33" s="17"/>
      <c r="AI33" s="37"/>
      <c r="AJ33" s="18"/>
      <c r="AK33" s="21"/>
      <c r="AL33" s="21"/>
      <c r="AM33" s="36"/>
      <c r="AN33" s="21" t="s">
        <v>235</v>
      </c>
      <c r="AO33" s="21" t="s">
        <v>231</v>
      </c>
      <c r="AP33" s="21" t="s">
        <v>231</v>
      </c>
      <c r="AQ33" s="21" t="s">
        <v>206</v>
      </c>
      <c r="AR33" s="21" t="s">
        <v>231</v>
      </c>
      <c r="AS33" s="21" t="s">
        <v>231</v>
      </c>
      <c r="AT33" s="21" t="s">
        <v>231</v>
      </c>
      <c r="AU33" s="21" t="s">
        <v>236</v>
      </c>
      <c r="AV33" s="21" t="s">
        <v>236</v>
      </c>
      <c r="AW33" s="4" t="str">
        <f t="shared" si="6"/>
        <v>B</v>
      </c>
      <c r="AX33" s="45" t="str">
        <f t="shared" si="7"/>
        <v/>
      </c>
    </row>
    <row r="34" spans="1:50" ht="15" customHeight="1" x14ac:dyDescent="0.25">
      <c r="A34" s="46">
        <v>45819</v>
      </c>
      <c r="B34" s="46" t="s">
        <v>416</v>
      </c>
      <c r="C34" s="46" t="s">
        <v>26</v>
      </c>
      <c r="D34" s="21" t="s">
        <v>26</v>
      </c>
      <c r="E34" s="47">
        <v>434</v>
      </c>
      <c r="F34" s="21" t="s">
        <v>456</v>
      </c>
      <c r="G34" s="4" t="s">
        <v>563</v>
      </c>
      <c r="H34" s="4" t="s">
        <v>564</v>
      </c>
      <c r="I34" s="4" t="s">
        <v>568</v>
      </c>
      <c r="J34" s="4" t="s">
        <v>556</v>
      </c>
      <c r="K34" s="4"/>
      <c r="L34" s="4"/>
      <c r="M34" s="4" t="s">
        <v>565</v>
      </c>
      <c r="N34" s="4" t="s">
        <v>566</v>
      </c>
      <c r="O34" s="4" t="s">
        <v>567</v>
      </c>
      <c r="P34" s="91"/>
      <c r="Q34" s="91"/>
      <c r="R34" s="91">
        <f t="shared" si="8"/>
        <v>0.1</v>
      </c>
      <c r="S34" s="35"/>
      <c r="T34" s="5">
        <v>0.1</v>
      </c>
      <c r="U34" s="6"/>
      <c r="V34" s="4"/>
      <c r="W34" s="20"/>
      <c r="X34" s="4"/>
      <c r="Y34" s="20"/>
      <c r="Z34" s="4"/>
      <c r="AA34" s="20"/>
      <c r="AB34" s="4"/>
      <c r="AC34" s="20"/>
      <c r="AD34" s="4"/>
      <c r="AE34" s="20"/>
      <c r="AF34" s="19"/>
      <c r="AG34" s="8"/>
      <c r="AH34" s="17"/>
      <c r="AI34" s="37"/>
      <c r="AJ34" s="18"/>
      <c r="AK34" s="21"/>
      <c r="AL34" s="21"/>
      <c r="AM34" s="36"/>
      <c r="AN34" s="21" t="s">
        <v>516</v>
      </c>
      <c r="AO34" s="21" t="s">
        <v>231</v>
      </c>
      <c r="AP34" s="21" t="s">
        <v>231</v>
      </c>
      <c r="AQ34" s="21" t="s">
        <v>231</v>
      </c>
      <c r="AR34" s="21" t="s">
        <v>231</v>
      </c>
      <c r="AS34" s="21" t="s">
        <v>231</v>
      </c>
      <c r="AT34" s="21" t="s">
        <v>231</v>
      </c>
      <c r="AU34" s="21" t="s">
        <v>236</v>
      </c>
      <c r="AV34" s="21" t="s">
        <v>236</v>
      </c>
      <c r="AW34" s="4" t="str">
        <f t="shared" si="6"/>
        <v>A</v>
      </c>
      <c r="AX34" s="45" t="str">
        <f t="shared" si="7"/>
        <v/>
      </c>
    </row>
    <row r="35" spans="1:50" ht="15" customHeight="1" x14ac:dyDescent="0.25">
      <c r="A35" s="46">
        <v>45819</v>
      </c>
      <c r="B35" s="46" t="s">
        <v>416</v>
      </c>
      <c r="C35" s="46" t="s">
        <v>26</v>
      </c>
      <c r="D35" s="21" t="s">
        <v>26</v>
      </c>
      <c r="E35" s="47">
        <v>436</v>
      </c>
      <c r="F35" s="21" t="s">
        <v>327</v>
      </c>
      <c r="G35" s="4" t="s">
        <v>569</v>
      </c>
      <c r="H35" s="4" t="s">
        <v>570</v>
      </c>
      <c r="I35" s="4"/>
      <c r="J35" s="4" t="s">
        <v>556</v>
      </c>
      <c r="K35" s="4"/>
      <c r="L35" s="4"/>
      <c r="M35" s="4" t="s">
        <v>571</v>
      </c>
      <c r="N35" s="4" t="s">
        <v>572</v>
      </c>
      <c r="O35" s="4" t="s">
        <v>573</v>
      </c>
      <c r="P35" s="91"/>
      <c r="Q35" s="91"/>
      <c r="R35" s="91">
        <f t="shared" si="8"/>
        <v>0.1</v>
      </c>
      <c r="S35" s="35"/>
      <c r="T35" s="5">
        <v>0.1</v>
      </c>
      <c r="U35" s="6"/>
      <c r="V35" s="4"/>
      <c r="W35" s="20"/>
      <c r="X35" s="4"/>
      <c r="Y35" s="20"/>
      <c r="Z35" s="4"/>
      <c r="AA35" s="20"/>
      <c r="AB35" s="4"/>
      <c r="AC35" s="20"/>
      <c r="AD35" s="4"/>
      <c r="AE35" s="20"/>
      <c r="AF35" s="19"/>
      <c r="AG35" s="8"/>
      <c r="AH35" s="17"/>
      <c r="AI35" s="37"/>
      <c r="AJ35" s="18"/>
      <c r="AK35" s="21"/>
      <c r="AL35" s="21"/>
      <c r="AM35" s="36"/>
      <c r="AN35" s="21" t="s">
        <v>132</v>
      </c>
      <c r="AO35" s="21" t="s">
        <v>231</v>
      </c>
      <c r="AP35" s="21" t="s">
        <v>231</v>
      </c>
      <c r="AQ35" s="21" t="s">
        <v>231</v>
      </c>
      <c r="AR35" s="21" t="s">
        <v>231</v>
      </c>
      <c r="AS35" s="21" t="s">
        <v>231</v>
      </c>
      <c r="AT35" s="21" t="s">
        <v>231</v>
      </c>
      <c r="AU35" s="21" t="s">
        <v>236</v>
      </c>
      <c r="AV35" s="21" t="s">
        <v>236</v>
      </c>
      <c r="AW35" s="4" t="str">
        <f t="shared" si="6"/>
        <v>A</v>
      </c>
      <c r="AX35" s="45" t="str">
        <f t="shared" si="7"/>
        <v/>
      </c>
    </row>
    <row r="36" spans="1:50" ht="13.5" customHeight="1" x14ac:dyDescent="0.25">
      <c r="A36" s="46">
        <v>45819</v>
      </c>
      <c r="B36" s="21" t="s">
        <v>416</v>
      </c>
      <c r="C36" s="21" t="s">
        <v>26</v>
      </c>
      <c r="D36" s="21" t="s">
        <v>26</v>
      </c>
      <c r="E36" s="21">
        <v>437</v>
      </c>
      <c r="F36" s="21" t="s">
        <v>381</v>
      </c>
      <c r="G36" s="4" t="s">
        <v>574</v>
      </c>
      <c r="H36" s="4" t="s">
        <v>575</v>
      </c>
      <c r="I36" s="4"/>
      <c r="J36" s="4" t="s">
        <v>556</v>
      </c>
      <c r="K36" s="4"/>
      <c r="L36" s="4"/>
      <c r="M36" s="4" t="s">
        <v>576</v>
      </c>
      <c r="N36" s="4" t="s">
        <v>577</v>
      </c>
      <c r="O36" s="4" t="s">
        <v>578</v>
      </c>
      <c r="P36" s="91"/>
      <c r="Q36" s="91"/>
      <c r="R36" s="91">
        <f t="shared" si="8"/>
        <v>0.1</v>
      </c>
      <c r="S36" s="35"/>
      <c r="T36" s="5">
        <v>0.1</v>
      </c>
      <c r="U36" s="6"/>
      <c r="V36" s="4"/>
      <c r="W36" s="20"/>
      <c r="X36" s="4"/>
      <c r="Y36" s="20"/>
      <c r="Z36" s="4"/>
      <c r="AA36" s="20"/>
      <c r="AB36" s="4"/>
      <c r="AC36" s="20"/>
      <c r="AD36" s="4"/>
      <c r="AE36" s="20"/>
      <c r="AF36" s="19"/>
      <c r="AG36" s="8"/>
      <c r="AH36" s="17"/>
      <c r="AI36" s="37"/>
      <c r="AJ36" s="18"/>
      <c r="AK36" s="21"/>
      <c r="AL36" s="21"/>
      <c r="AM36" s="36"/>
      <c r="AN36" s="69" t="s">
        <v>132</v>
      </c>
      <c r="AO36" s="69" t="s">
        <v>231</v>
      </c>
      <c r="AP36" s="69" t="s">
        <v>231</v>
      </c>
      <c r="AQ36" s="69" t="s">
        <v>231</v>
      </c>
      <c r="AR36" s="69" t="s">
        <v>231</v>
      </c>
      <c r="AS36" s="69" t="s">
        <v>231</v>
      </c>
      <c r="AT36" s="69" t="s">
        <v>231</v>
      </c>
      <c r="AU36" s="69" t="s">
        <v>236</v>
      </c>
      <c r="AV36" s="21" t="s">
        <v>236</v>
      </c>
      <c r="AW36" s="4" t="str">
        <f t="shared" si="6"/>
        <v>A</v>
      </c>
      <c r="AX36" s="45" t="str">
        <f t="shared" si="7"/>
        <v/>
      </c>
    </row>
    <row r="37" spans="1:50" ht="15" customHeight="1" x14ac:dyDescent="0.25">
      <c r="A37" s="46">
        <v>45819</v>
      </c>
      <c r="B37" s="21" t="s">
        <v>416</v>
      </c>
      <c r="C37" s="21" t="s">
        <v>26</v>
      </c>
      <c r="D37" s="21" t="s">
        <v>26</v>
      </c>
      <c r="E37" s="21">
        <v>438</v>
      </c>
      <c r="F37" s="21" t="s">
        <v>456</v>
      </c>
      <c r="G37" s="4" t="s">
        <v>579</v>
      </c>
      <c r="H37" s="4" t="s">
        <v>580</v>
      </c>
      <c r="I37" s="4" t="s">
        <v>581</v>
      </c>
      <c r="J37" s="4" t="s">
        <v>556</v>
      </c>
      <c r="K37" s="4"/>
      <c r="L37" s="4"/>
      <c r="M37" s="4" t="s">
        <v>582</v>
      </c>
      <c r="N37" s="4" t="s">
        <v>583</v>
      </c>
      <c r="O37" s="4" t="s">
        <v>584</v>
      </c>
      <c r="P37" s="91"/>
      <c r="Q37" s="91"/>
      <c r="R37" s="91">
        <f t="shared" si="8"/>
        <v>0.1</v>
      </c>
      <c r="S37" s="35"/>
      <c r="T37" s="5">
        <v>0.1</v>
      </c>
      <c r="U37" s="6"/>
      <c r="V37" s="4"/>
      <c r="W37" s="20"/>
      <c r="X37" s="4"/>
      <c r="Y37" s="20"/>
      <c r="Z37" s="4"/>
      <c r="AA37" s="20"/>
      <c r="AB37" s="4"/>
      <c r="AC37" s="20"/>
      <c r="AD37" s="4"/>
      <c r="AE37" s="20"/>
      <c r="AF37" s="19"/>
      <c r="AG37" s="8"/>
      <c r="AH37" s="17"/>
      <c r="AI37" s="37"/>
      <c r="AJ37" s="18"/>
      <c r="AK37" s="21"/>
      <c r="AL37" s="21"/>
      <c r="AM37" s="36"/>
      <c r="AN37" s="69" t="s">
        <v>132</v>
      </c>
      <c r="AO37" s="69" t="s">
        <v>206</v>
      </c>
      <c r="AP37" s="69" t="s">
        <v>231</v>
      </c>
      <c r="AQ37" s="69" t="s">
        <v>231</v>
      </c>
      <c r="AR37" s="69" t="s">
        <v>231</v>
      </c>
      <c r="AS37" s="69" t="s">
        <v>231</v>
      </c>
      <c r="AT37" s="69" t="s">
        <v>231</v>
      </c>
      <c r="AU37" s="69" t="s">
        <v>236</v>
      </c>
      <c r="AV37" s="21" t="s">
        <v>236</v>
      </c>
      <c r="AW37" s="4" t="str">
        <f t="shared" si="6"/>
        <v>A</v>
      </c>
      <c r="AX37" s="45" t="str">
        <f t="shared" si="7"/>
        <v/>
      </c>
    </row>
    <row r="38" spans="1:50" ht="15" customHeight="1" x14ac:dyDescent="0.25">
      <c r="A38" s="46">
        <v>45819</v>
      </c>
      <c r="B38" s="21" t="s">
        <v>416</v>
      </c>
      <c r="C38" s="21" t="s">
        <v>26</v>
      </c>
      <c r="D38" s="21" t="s">
        <v>26</v>
      </c>
      <c r="E38" s="21">
        <v>439</v>
      </c>
      <c r="F38" s="21" t="s">
        <v>456</v>
      </c>
      <c r="G38" s="4" t="s">
        <v>585</v>
      </c>
      <c r="H38" s="4" t="s">
        <v>589</v>
      </c>
      <c r="I38" s="4"/>
      <c r="J38" s="4" t="s">
        <v>556</v>
      </c>
      <c r="K38" s="4"/>
      <c r="L38" s="4"/>
      <c r="M38" s="4" t="s">
        <v>586</v>
      </c>
      <c r="N38" s="4" t="s">
        <v>587</v>
      </c>
      <c r="O38" s="4" t="s">
        <v>588</v>
      </c>
      <c r="P38" s="91"/>
      <c r="Q38" s="91"/>
      <c r="R38" s="91">
        <f t="shared" si="8"/>
        <v>0.1</v>
      </c>
      <c r="S38" s="35"/>
      <c r="T38" s="5">
        <v>0.1</v>
      </c>
      <c r="U38" s="6"/>
      <c r="V38" s="4"/>
      <c r="W38" s="20"/>
      <c r="X38" s="4"/>
      <c r="Y38" s="20"/>
      <c r="Z38" s="4"/>
      <c r="AA38" s="20"/>
      <c r="AB38" s="4"/>
      <c r="AC38" s="20"/>
      <c r="AD38" s="4"/>
      <c r="AE38" s="20"/>
      <c r="AF38" s="19"/>
      <c r="AG38" s="8"/>
      <c r="AH38" s="17"/>
      <c r="AI38" s="37"/>
      <c r="AJ38" s="18"/>
      <c r="AK38" s="21"/>
      <c r="AL38" s="21"/>
      <c r="AM38" s="36"/>
      <c r="AN38" s="69" t="s">
        <v>132</v>
      </c>
      <c r="AO38" s="69" t="s">
        <v>231</v>
      </c>
      <c r="AP38" s="69" t="s">
        <v>231</v>
      </c>
      <c r="AQ38" s="69" t="s">
        <v>231</v>
      </c>
      <c r="AR38" s="69" t="s">
        <v>231</v>
      </c>
      <c r="AS38" s="69" t="s">
        <v>231</v>
      </c>
      <c r="AT38" s="69" t="s">
        <v>231</v>
      </c>
      <c r="AU38" s="69" t="s">
        <v>236</v>
      </c>
      <c r="AV38" s="21" t="s">
        <v>236</v>
      </c>
      <c r="AW38" s="4" t="str">
        <f t="shared" si="6"/>
        <v>A</v>
      </c>
      <c r="AX38" s="45" t="str">
        <f t="shared" si="7"/>
        <v/>
      </c>
    </row>
    <row r="39" spans="1:50" ht="15" customHeight="1" x14ac:dyDescent="0.25">
      <c r="A39" s="46">
        <v>45820</v>
      </c>
      <c r="B39" s="46" t="s">
        <v>597</v>
      </c>
      <c r="C39" s="46" t="s">
        <v>28</v>
      </c>
      <c r="D39" s="21" t="s">
        <v>25</v>
      </c>
      <c r="E39" s="47">
        <v>447</v>
      </c>
      <c r="F39" s="21" t="s">
        <v>226</v>
      </c>
      <c r="G39" s="4" t="s">
        <v>591</v>
      </c>
      <c r="H39" s="4" t="s">
        <v>592</v>
      </c>
      <c r="I39" s="4" t="s">
        <v>593</v>
      </c>
      <c r="J39" s="4" t="s">
        <v>556</v>
      </c>
      <c r="K39" s="4"/>
      <c r="L39" s="4"/>
      <c r="M39" s="4" t="s">
        <v>594</v>
      </c>
      <c r="N39" s="4" t="s">
        <v>595</v>
      </c>
      <c r="O39" s="4" t="s">
        <v>596</v>
      </c>
      <c r="P39" s="91"/>
      <c r="Q39" s="91"/>
      <c r="R39" s="91">
        <f t="shared" si="8"/>
        <v>6</v>
      </c>
      <c r="S39" s="35">
        <v>6</v>
      </c>
      <c r="T39" s="5"/>
      <c r="U39" s="6"/>
      <c r="V39" s="4"/>
      <c r="W39" s="20"/>
      <c r="X39" s="4"/>
      <c r="Y39" s="20"/>
      <c r="Z39" s="4"/>
      <c r="AA39" s="20"/>
      <c r="AB39" s="4"/>
      <c r="AC39" s="20"/>
      <c r="AD39" s="4"/>
      <c r="AE39" s="20"/>
      <c r="AF39" s="19"/>
      <c r="AG39" s="8"/>
      <c r="AH39" s="17"/>
      <c r="AI39" s="37"/>
      <c r="AJ39" s="18"/>
      <c r="AK39" s="21"/>
      <c r="AL39" s="21" t="s">
        <v>218</v>
      </c>
      <c r="AM39" s="36"/>
      <c r="AN39" s="21" t="s">
        <v>235</v>
      </c>
      <c r="AO39" s="21" t="s">
        <v>231</v>
      </c>
      <c r="AP39" s="21" t="s">
        <v>231</v>
      </c>
      <c r="AQ39" s="21" t="s">
        <v>231</v>
      </c>
      <c r="AR39" s="21" t="s">
        <v>231</v>
      </c>
      <c r="AS39" s="21" t="s">
        <v>231</v>
      </c>
      <c r="AT39" s="21" t="s">
        <v>231</v>
      </c>
      <c r="AU39" s="21" t="s">
        <v>236</v>
      </c>
      <c r="AV39" s="21" t="s">
        <v>236</v>
      </c>
      <c r="AW39" s="4" t="str">
        <f t="shared" si="6"/>
        <v>B</v>
      </c>
      <c r="AX39" s="45" t="str">
        <f t="shared" si="7"/>
        <v/>
      </c>
    </row>
    <row r="40" spans="1:50" ht="15" customHeight="1" x14ac:dyDescent="0.25">
      <c r="A40" s="46">
        <v>45821</v>
      </c>
      <c r="B40" s="21" t="s">
        <v>599</v>
      </c>
      <c r="C40" s="21" t="s">
        <v>25</v>
      </c>
      <c r="D40" s="21" t="s">
        <v>25</v>
      </c>
      <c r="E40" s="47">
        <v>451</v>
      </c>
      <c r="F40" s="21" t="s">
        <v>252</v>
      </c>
      <c r="G40" s="4" t="s">
        <v>598</v>
      </c>
      <c r="H40" s="4" t="s">
        <v>471</v>
      </c>
      <c r="I40" s="4"/>
      <c r="J40" s="4" t="s">
        <v>229</v>
      </c>
      <c r="K40" s="4" t="s">
        <v>242</v>
      </c>
      <c r="L40" s="4" t="s">
        <v>87</v>
      </c>
      <c r="M40" s="4" t="s">
        <v>600</v>
      </c>
      <c r="N40" s="4" t="s">
        <v>601</v>
      </c>
      <c r="O40" s="4" t="s">
        <v>602</v>
      </c>
      <c r="P40" s="4">
        <v>511824</v>
      </c>
      <c r="Q40" s="4">
        <v>4806746</v>
      </c>
      <c r="R40" s="91">
        <f t="shared" si="8"/>
        <v>27.6</v>
      </c>
      <c r="S40" s="35">
        <v>27.6</v>
      </c>
      <c r="T40" s="5"/>
      <c r="U40" s="6"/>
      <c r="V40" s="4"/>
      <c r="W40" s="20"/>
      <c r="X40" s="4"/>
      <c r="Y40" s="20"/>
      <c r="Z40" s="4"/>
      <c r="AA40" s="20"/>
      <c r="AB40" s="4"/>
      <c r="AC40" s="20"/>
      <c r="AD40" s="4"/>
      <c r="AE40" s="20"/>
      <c r="AF40" s="19"/>
      <c r="AG40" s="8"/>
      <c r="AH40" s="17"/>
      <c r="AI40" s="37"/>
      <c r="AJ40" s="18"/>
      <c r="AK40" s="21"/>
      <c r="AL40" s="21" t="s">
        <v>218</v>
      </c>
      <c r="AM40" s="36"/>
      <c r="AN40" s="21" t="s">
        <v>235</v>
      </c>
      <c r="AO40" s="21" t="s">
        <v>206</v>
      </c>
      <c r="AP40" s="21" t="s">
        <v>206</v>
      </c>
      <c r="AQ40" s="21" t="s">
        <v>231</v>
      </c>
      <c r="AR40" s="21" t="s">
        <v>231</v>
      </c>
      <c r="AS40" s="21" t="s">
        <v>206</v>
      </c>
      <c r="AT40" s="21" t="s">
        <v>206</v>
      </c>
      <c r="AU40" s="21" t="s">
        <v>236</v>
      </c>
      <c r="AV40" s="21" t="s">
        <v>236</v>
      </c>
      <c r="AW40" s="4" t="str">
        <f t="shared" si="6"/>
        <v>C</v>
      </c>
      <c r="AX40" s="45" t="str">
        <f t="shared" si="7"/>
        <v/>
      </c>
    </row>
    <row r="41" spans="1:50" ht="15" customHeight="1" x14ac:dyDescent="0.25">
      <c r="A41" s="46">
        <v>45822</v>
      </c>
      <c r="B41" s="46" t="s">
        <v>608</v>
      </c>
      <c r="C41" s="46" t="s">
        <v>25</v>
      </c>
      <c r="D41" s="21" t="s">
        <v>82</v>
      </c>
      <c r="E41" s="47">
        <v>460</v>
      </c>
      <c r="F41" s="21" t="s">
        <v>252</v>
      </c>
      <c r="G41" s="4" t="s">
        <v>607</v>
      </c>
      <c r="H41" s="4" t="s">
        <v>471</v>
      </c>
      <c r="I41" s="4" t="s">
        <v>609</v>
      </c>
      <c r="J41" s="4" t="s">
        <v>229</v>
      </c>
      <c r="K41" s="4" t="s">
        <v>242</v>
      </c>
      <c r="L41" s="4" t="s">
        <v>87</v>
      </c>
      <c r="M41" s="4" t="s">
        <v>610</v>
      </c>
      <c r="N41" s="4" t="s">
        <v>611</v>
      </c>
      <c r="O41" s="4" t="s">
        <v>612</v>
      </c>
      <c r="P41" s="4">
        <v>516110</v>
      </c>
      <c r="Q41" s="4">
        <v>4749368</v>
      </c>
      <c r="R41" s="91">
        <f t="shared" si="8"/>
        <v>20.8</v>
      </c>
      <c r="S41" s="35">
        <v>15.9</v>
      </c>
      <c r="T41" s="5"/>
      <c r="U41" s="6">
        <v>3.6</v>
      </c>
      <c r="V41" s="4"/>
      <c r="W41" s="20"/>
      <c r="X41" s="4"/>
      <c r="Y41" s="20"/>
      <c r="Z41" s="4"/>
      <c r="AA41" s="20"/>
      <c r="AB41" s="4"/>
      <c r="AC41" s="20"/>
      <c r="AD41" s="4"/>
      <c r="AE41" s="20">
        <v>1.3</v>
      </c>
      <c r="AF41" s="19"/>
      <c r="AG41" s="8"/>
      <c r="AH41" s="17"/>
      <c r="AI41" s="37"/>
      <c r="AJ41" s="18"/>
      <c r="AK41" s="21"/>
      <c r="AL41" s="21" t="s">
        <v>218</v>
      </c>
      <c r="AM41" s="36"/>
      <c r="AN41" s="21" t="s">
        <v>516</v>
      </c>
      <c r="AO41" s="21" t="s">
        <v>206</v>
      </c>
      <c r="AP41" s="21" t="s">
        <v>206</v>
      </c>
      <c r="AQ41" s="21" t="s">
        <v>231</v>
      </c>
      <c r="AR41" s="21" t="s">
        <v>231</v>
      </c>
      <c r="AS41" s="21" t="s">
        <v>231</v>
      </c>
      <c r="AT41" s="21" t="s">
        <v>206</v>
      </c>
      <c r="AU41" s="21" t="s">
        <v>206</v>
      </c>
      <c r="AV41" s="21" t="s">
        <v>236</v>
      </c>
      <c r="AW41" s="4" t="str">
        <f t="shared" si="6"/>
        <v>C</v>
      </c>
      <c r="AX41" s="45" t="str">
        <f t="shared" si="7"/>
        <v/>
      </c>
    </row>
    <row r="42" spans="1:50" ht="15" customHeight="1" x14ac:dyDescent="0.25">
      <c r="A42" s="46">
        <v>45823</v>
      </c>
      <c r="B42" s="46" t="s">
        <v>613</v>
      </c>
      <c r="C42" s="46" t="s">
        <v>25</v>
      </c>
      <c r="D42" s="21" t="s">
        <v>76</v>
      </c>
      <c r="E42" s="47">
        <v>461</v>
      </c>
      <c r="F42" s="21" t="s">
        <v>226</v>
      </c>
      <c r="G42" s="4" t="s">
        <v>614</v>
      </c>
      <c r="H42" s="4" t="s">
        <v>494</v>
      </c>
      <c r="I42" s="4" t="s">
        <v>615</v>
      </c>
      <c r="J42" s="4" t="s">
        <v>229</v>
      </c>
      <c r="K42" s="4" t="s">
        <v>258</v>
      </c>
      <c r="L42" s="4" t="s">
        <v>590</v>
      </c>
      <c r="M42" s="4" t="s">
        <v>616</v>
      </c>
      <c r="N42" s="4" t="s">
        <v>617</v>
      </c>
      <c r="O42" s="4" t="s">
        <v>618</v>
      </c>
      <c r="P42" s="4">
        <v>584588</v>
      </c>
      <c r="Q42" s="4">
        <v>4801912</v>
      </c>
      <c r="R42" s="91">
        <f t="shared" si="8"/>
        <v>2</v>
      </c>
      <c r="S42" s="35"/>
      <c r="T42" s="5"/>
      <c r="U42" s="6"/>
      <c r="V42" s="4"/>
      <c r="W42" s="20"/>
      <c r="X42" s="4"/>
      <c r="Y42" s="20"/>
      <c r="Z42" s="4"/>
      <c r="AA42" s="20"/>
      <c r="AB42" s="4"/>
      <c r="AC42" s="20"/>
      <c r="AD42" s="4">
        <v>2</v>
      </c>
      <c r="AE42" s="20"/>
      <c r="AF42" s="19"/>
      <c r="AG42" s="8"/>
      <c r="AH42" s="17"/>
      <c r="AI42" s="37"/>
      <c r="AJ42" s="18"/>
      <c r="AK42" s="21"/>
      <c r="AL42" s="21" t="s">
        <v>218</v>
      </c>
      <c r="AM42" s="36"/>
      <c r="AN42" s="21" t="s">
        <v>516</v>
      </c>
      <c r="AO42" s="21" t="s">
        <v>206</v>
      </c>
      <c r="AP42" s="21" t="s">
        <v>231</v>
      </c>
      <c r="AQ42" s="21" t="s">
        <v>231</v>
      </c>
      <c r="AR42" s="21" t="s">
        <v>231</v>
      </c>
      <c r="AS42" s="21" t="s">
        <v>231</v>
      </c>
      <c r="AT42" s="21" t="s">
        <v>206</v>
      </c>
      <c r="AU42" s="21" t="s">
        <v>236</v>
      </c>
      <c r="AV42" s="21" t="s">
        <v>236</v>
      </c>
      <c r="AW42" s="4" t="str">
        <f t="shared" si="6"/>
        <v>B</v>
      </c>
      <c r="AX42" s="45" t="str">
        <f t="shared" si="7"/>
        <v/>
      </c>
    </row>
    <row r="43" spans="1:50" ht="15" customHeight="1" x14ac:dyDescent="0.25">
      <c r="A43" s="46">
        <v>45823</v>
      </c>
      <c r="B43" s="46" t="s">
        <v>623</v>
      </c>
      <c r="C43" s="46" t="s">
        <v>25</v>
      </c>
      <c r="D43" s="21" t="s">
        <v>620</v>
      </c>
      <c r="E43" s="47">
        <v>464</v>
      </c>
      <c r="F43" s="21" t="s">
        <v>28</v>
      </c>
      <c r="G43" s="4" t="s">
        <v>619</v>
      </c>
      <c r="H43" s="4" t="s">
        <v>624</v>
      </c>
      <c r="I43" s="4"/>
      <c r="J43" s="4" t="s">
        <v>229</v>
      </c>
      <c r="K43" s="4" t="s">
        <v>621</v>
      </c>
      <c r="L43" s="4" t="s">
        <v>243</v>
      </c>
      <c r="M43" s="4" t="s">
        <v>622</v>
      </c>
      <c r="N43" s="4" t="s">
        <v>634</v>
      </c>
      <c r="O43" s="4" t="s">
        <v>635</v>
      </c>
      <c r="P43" s="91"/>
      <c r="Q43" s="91"/>
      <c r="R43" s="91">
        <f t="shared" si="8"/>
        <v>0.1</v>
      </c>
      <c r="S43" s="35"/>
      <c r="T43" s="5"/>
      <c r="U43" s="6"/>
      <c r="V43" s="4"/>
      <c r="W43" s="20"/>
      <c r="X43" s="4"/>
      <c r="Y43" s="20"/>
      <c r="Z43" s="4"/>
      <c r="AA43" s="20"/>
      <c r="AB43" s="4"/>
      <c r="AC43" s="20"/>
      <c r="AD43" s="4"/>
      <c r="AE43" s="20"/>
      <c r="AF43" s="19"/>
      <c r="AG43" s="8"/>
      <c r="AH43" s="17"/>
      <c r="AI43" s="37">
        <v>0.1</v>
      </c>
      <c r="AJ43" s="18"/>
      <c r="AK43" s="21"/>
      <c r="AL43" s="21"/>
      <c r="AM43" s="36" t="s">
        <v>218</v>
      </c>
      <c r="AN43" s="21" t="s">
        <v>235</v>
      </c>
      <c r="AO43" s="21" t="s">
        <v>231</v>
      </c>
      <c r="AP43" s="21" t="s">
        <v>231</v>
      </c>
      <c r="AQ43" s="21" t="s">
        <v>231</v>
      </c>
      <c r="AR43" s="21" t="s">
        <v>231</v>
      </c>
      <c r="AS43" s="21" t="s">
        <v>206</v>
      </c>
      <c r="AT43" s="21" t="s">
        <v>231</v>
      </c>
      <c r="AU43" s="21" t="s">
        <v>236</v>
      </c>
      <c r="AV43" s="21" t="s">
        <v>236</v>
      </c>
      <c r="AW43" s="4" t="str">
        <f t="shared" si="6"/>
        <v>A</v>
      </c>
      <c r="AX43" s="45" t="str">
        <f t="shared" si="7"/>
        <v/>
      </c>
    </row>
    <row r="44" spans="1:50" ht="15" customHeight="1" x14ac:dyDescent="0.25">
      <c r="A44" s="46">
        <v>45823</v>
      </c>
      <c r="B44" s="46" t="s">
        <v>630</v>
      </c>
      <c r="C44" s="46" t="s">
        <v>25</v>
      </c>
      <c r="D44" s="21" t="s">
        <v>25</v>
      </c>
      <c r="E44" s="47">
        <v>468</v>
      </c>
      <c r="F44" s="21" t="s">
        <v>226</v>
      </c>
      <c r="G44" s="4" t="s">
        <v>629</v>
      </c>
      <c r="H44" s="4" t="s">
        <v>392</v>
      </c>
      <c r="I44" s="4" t="s">
        <v>636</v>
      </c>
      <c r="J44" s="4" t="s">
        <v>229</v>
      </c>
      <c r="K44" s="4" t="s">
        <v>242</v>
      </c>
      <c r="L44" s="4" t="s">
        <v>393</v>
      </c>
      <c r="M44" s="4" t="s">
        <v>631</v>
      </c>
      <c r="N44" s="4" t="s">
        <v>632</v>
      </c>
      <c r="O44" s="4" t="s">
        <v>633</v>
      </c>
      <c r="P44" s="4">
        <v>601217</v>
      </c>
      <c r="Q44" s="4">
        <v>4745023</v>
      </c>
      <c r="R44" s="91">
        <f t="shared" si="8"/>
        <v>2</v>
      </c>
      <c r="S44" s="35">
        <v>2</v>
      </c>
      <c r="T44" s="5"/>
      <c r="U44" s="6"/>
      <c r="V44" s="4"/>
      <c r="W44" s="20"/>
      <c r="X44" s="4"/>
      <c r="Y44" s="20"/>
      <c r="Z44" s="4"/>
      <c r="AA44" s="20"/>
      <c r="AB44" s="4"/>
      <c r="AC44" s="20"/>
      <c r="AD44" s="4"/>
      <c r="AE44" s="20"/>
      <c r="AF44" s="19"/>
      <c r="AG44" s="8"/>
      <c r="AH44" s="17"/>
      <c r="AI44" s="37"/>
      <c r="AJ44" s="18"/>
      <c r="AK44" s="21"/>
      <c r="AL44" s="21"/>
      <c r="AM44" s="36"/>
      <c r="AN44" s="21" t="s">
        <v>27</v>
      </c>
      <c r="AO44" s="21" t="s">
        <v>206</v>
      </c>
      <c r="AP44" s="21" t="s">
        <v>231</v>
      </c>
      <c r="AQ44" s="21" t="s">
        <v>231</v>
      </c>
      <c r="AR44" s="21" t="s">
        <v>231</v>
      </c>
      <c r="AS44" s="21" t="s">
        <v>206</v>
      </c>
      <c r="AT44" s="21" t="s">
        <v>231</v>
      </c>
      <c r="AU44" s="21" t="s">
        <v>236</v>
      </c>
      <c r="AV44" s="21" t="s">
        <v>236</v>
      </c>
      <c r="AW44" s="4" t="str">
        <f t="shared" si="6"/>
        <v>B</v>
      </c>
      <c r="AX44" s="45" t="str">
        <f t="shared" si="7"/>
        <v/>
      </c>
    </row>
    <row r="45" spans="1:50" ht="15" customHeight="1" x14ac:dyDescent="0.25">
      <c r="A45" s="46">
        <v>45824</v>
      </c>
      <c r="B45" s="46" t="s">
        <v>639</v>
      </c>
      <c r="C45" s="46" t="s">
        <v>25</v>
      </c>
      <c r="D45" s="21" t="s">
        <v>25</v>
      </c>
      <c r="E45" s="47">
        <v>472</v>
      </c>
      <c r="F45" s="21" t="s">
        <v>269</v>
      </c>
      <c r="G45" s="4" t="s">
        <v>637</v>
      </c>
      <c r="H45" s="4" t="s">
        <v>392</v>
      </c>
      <c r="I45" s="4"/>
      <c r="J45" s="4" t="s">
        <v>229</v>
      </c>
      <c r="K45" s="4" t="s">
        <v>279</v>
      </c>
      <c r="L45" s="4" t="s">
        <v>87</v>
      </c>
      <c r="M45" s="4" t="s">
        <v>638</v>
      </c>
      <c r="N45" s="4" t="s">
        <v>659</v>
      </c>
      <c r="O45" s="4" t="s">
        <v>660</v>
      </c>
      <c r="P45" s="4">
        <v>564820</v>
      </c>
      <c r="Q45" s="4">
        <v>4767553</v>
      </c>
      <c r="R45" s="91">
        <f t="shared" si="8"/>
        <v>44.2</v>
      </c>
      <c r="S45" s="35">
        <v>44.2</v>
      </c>
      <c r="T45" s="5"/>
      <c r="U45" s="6"/>
      <c r="V45" s="4"/>
      <c r="W45" s="20"/>
      <c r="X45" s="4"/>
      <c r="Y45" s="20"/>
      <c r="Z45" s="4"/>
      <c r="AA45" s="20"/>
      <c r="AB45" s="4"/>
      <c r="AC45" s="20"/>
      <c r="AD45" s="4"/>
      <c r="AE45" s="20"/>
      <c r="AF45" s="19"/>
      <c r="AG45" s="8"/>
      <c r="AH45" s="17"/>
      <c r="AI45" s="37"/>
      <c r="AJ45" s="18"/>
      <c r="AK45" s="21"/>
      <c r="AL45" s="21" t="s">
        <v>218</v>
      </c>
      <c r="AM45" s="36"/>
      <c r="AN45" s="21" t="s">
        <v>516</v>
      </c>
      <c r="AO45" s="21" t="s">
        <v>206</v>
      </c>
      <c r="AP45" s="21" t="s">
        <v>231</v>
      </c>
      <c r="AQ45" s="21" t="s">
        <v>231</v>
      </c>
      <c r="AR45" s="21" t="s">
        <v>231</v>
      </c>
      <c r="AS45" s="21" t="s">
        <v>206</v>
      </c>
      <c r="AT45" s="21" t="s">
        <v>231</v>
      </c>
      <c r="AU45" s="21" t="s">
        <v>206</v>
      </c>
      <c r="AV45" s="21" t="s">
        <v>236</v>
      </c>
      <c r="AW45" s="4" t="str">
        <f t="shared" si="6"/>
        <v>C</v>
      </c>
      <c r="AX45" s="45" t="str">
        <f t="shared" si="7"/>
        <v/>
      </c>
    </row>
    <row r="46" spans="1:50" ht="15" customHeight="1" x14ac:dyDescent="0.25">
      <c r="A46" s="46">
        <v>45824</v>
      </c>
      <c r="B46" s="46" t="s">
        <v>648</v>
      </c>
      <c r="C46" s="46" t="s">
        <v>25</v>
      </c>
      <c r="D46" s="21" t="s">
        <v>620</v>
      </c>
      <c r="E46" s="47">
        <v>473</v>
      </c>
      <c r="F46" s="21" t="s">
        <v>269</v>
      </c>
      <c r="G46" s="4" t="s">
        <v>647</v>
      </c>
      <c r="H46" s="4" t="s">
        <v>649</v>
      </c>
      <c r="I46" s="4" t="s">
        <v>650</v>
      </c>
      <c r="J46" s="4" t="s">
        <v>229</v>
      </c>
      <c r="K46" s="4" t="s">
        <v>621</v>
      </c>
      <c r="L46" s="4" t="s">
        <v>243</v>
      </c>
      <c r="M46" s="4" t="s">
        <v>651</v>
      </c>
      <c r="N46" s="4" t="s">
        <v>652</v>
      </c>
      <c r="O46" s="4" t="s">
        <v>653</v>
      </c>
      <c r="P46" s="4">
        <v>595738</v>
      </c>
      <c r="Q46" s="4">
        <v>4786122</v>
      </c>
      <c r="R46" s="91">
        <f t="shared" si="8"/>
        <v>0.1</v>
      </c>
      <c r="S46" s="35"/>
      <c r="T46" s="5"/>
      <c r="U46" s="6"/>
      <c r="V46" s="4"/>
      <c r="W46" s="20"/>
      <c r="X46" s="4"/>
      <c r="Y46" s="20"/>
      <c r="Z46" s="4"/>
      <c r="AA46" s="20"/>
      <c r="AB46" s="4"/>
      <c r="AC46" s="20"/>
      <c r="AD46" s="4"/>
      <c r="AE46" s="20"/>
      <c r="AF46" s="19"/>
      <c r="AG46" s="8"/>
      <c r="AH46" s="17"/>
      <c r="AI46" s="37">
        <v>0.1</v>
      </c>
      <c r="AJ46" s="18"/>
      <c r="AK46" s="21"/>
      <c r="AL46" s="21" t="s">
        <v>218</v>
      </c>
      <c r="AM46" s="36"/>
      <c r="AN46" s="21" t="s">
        <v>235</v>
      </c>
      <c r="AO46" s="21" t="s">
        <v>231</v>
      </c>
      <c r="AP46" s="21" t="s">
        <v>231</v>
      </c>
      <c r="AQ46" s="21" t="s">
        <v>231</v>
      </c>
      <c r="AR46" s="21" t="s">
        <v>231</v>
      </c>
      <c r="AS46" s="21" t="s">
        <v>206</v>
      </c>
      <c r="AT46" s="21" t="s">
        <v>231</v>
      </c>
      <c r="AU46" s="21" t="s">
        <v>236</v>
      </c>
      <c r="AV46" s="21" t="s">
        <v>236</v>
      </c>
      <c r="AW46" s="4" t="str">
        <f t="shared" si="6"/>
        <v>A</v>
      </c>
      <c r="AX46" s="45" t="str">
        <f t="shared" si="7"/>
        <v/>
      </c>
    </row>
    <row r="47" spans="1:50" ht="15" customHeight="1" x14ac:dyDescent="0.25">
      <c r="A47" s="46">
        <v>45824</v>
      </c>
      <c r="B47" s="46" t="s">
        <v>654</v>
      </c>
      <c r="C47" s="46" t="s">
        <v>26</v>
      </c>
      <c r="D47" s="21" t="s">
        <v>620</v>
      </c>
      <c r="E47" s="47">
        <v>474</v>
      </c>
      <c r="F47" s="21" t="s">
        <v>225</v>
      </c>
      <c r="G47" s="4" t="s">
        <v>655</v>
      </c>
      <c r="H47" s="4" t="s">
        <v>649</v>
      </c>
      <c r="I47" s="4" t="s">
        <v>650</v>
      </c>
      <c r="J47" s="4" t="s">
        <v>229</v>
      </c>
      <c r="K47" s="4" t="s">
        <v>487</v>
      </c>
      <c r="L47" s="4" t="s">
        <v>488</v>
      </c>
      <c r="M47" s="4" t="s">
        <v>656</v>
      </c>
      <c r="N47" s="4" t="s">
        <v>657</v>
      </c>
      <c r="O47" s="4" t="s">
        <v>658</v>
      </c>
      <c r="P47" s="91"/>
      <c r="Q47" s="91"/>
      <c r="R47" s="91">
        <f t="shared" si="8"/>
        <v>0.1</v>
      </c>
      <c r="S47" s="35"/>
      <c r="T47" s="5"/>
      <c r="U47" s="6"/>
      <c r="V47" s="4"/>
      <c r="W47" s="20"/>
      <c r="X47" s="4"/>
      <c r="Y47" s="20"/>
      <c r="Z47" s="4"/>
      <c r="AA47" s="20"/>
      <c r="AB47" s="4"/>
      <c r="AC47" s="20"/>
      <c r="AD47" s="4"/>
      <c r="AE47" s="20"/>
      <c r="AF47" s="19"/>
      <c r="AG47" s="8"/>
      <c r="AH47" s="17"/>
      <c r="AI47" s="37">
        <v>0.1</v>
      </c>
      <c r="AJ47" s="18"/>
      <c r="AK47" s="21"/>
      <c r="AL47" s="21"/>
      <c r="AM47" s="36"/>
      <c r="AN47" s="21" t="s">
        <v>27</v>
      </c>
      <c r="AO47" s="21" t="s">
        <v>206</v>
      </c>
      <c r="AP47" s="21" t="s">
        <v>231</v>
      </c>
      <c r="AQ47" s="21" t="s">
        <v>231</v>
      </c>
      <c r="AR47" s="21" t="s">
        <v>231</v>
      </c>
      <c r="AS47" s="21" t="s">
        <v>231</v>
      </c>
      <c r="AT47" s="21" t="s">
        <v>231</v>
      </c>
      <c r="AU47" s="21" t="s">
        <v>236</v>
      </c>
      <c r="AV47" s="21" t="s">
        <v>236</v>
      </c>
      <c r="AW47" s="4" t="str">
        <f t="shared" si="6"/>
        <v>A</v>
      </c>
      <c r="AX47" s="45" t="str">
        <f t="shared" si="7"/>
        <v/>
      </c>
    </row>
    <row r="48" spans="1:50" ht="15" customHeight="1" x14ac:dyDescent="0.25">
      <c r="A48" s="46">
        <v>45826</v>
      </c>
      <c r="B48" s="46" t="s">
        <v>667</v>
      </c>
      <c r="C48" s="46" t="s">
        <v>25</v>
      </c>
      <c r="D48" s="21" t="s">
        <v>25</v>
      </c>
      <c r="E48" s="47">
        <v>483</v>
      </c>
      <c r="F48" s="21" t="s">
        <v>269</v>
      </c>
      <c r="G48" s="4" t="s">
        <v>664</v>
      </c>
      <c r="H48" s="4" t="s">
        <v>542</v>
      </c>
      <c r="I48" s="4"/>
      <c r="J48" s="4" t="s">
        <v>229</v>
      </c>
      <c r="K48" s="4" t="s">
        <v>317</v>
      </c>
      <c r="L48" s="4" t="s">
        <v>87</v>
      </c>
      <c r="M48" s="4" t="s">
        <v>318</v>
      </c>
      <c r="N48" s="4" t="s">
        <v>665</v>
      </c>
      <c r="O48" s="4" t="s">
        <v>666</v>
      </c>
      <c r="P48" s="4">
        <v>561815</v>
      </c>
      <c r="Q48" s="4">
        <v>4800137</v>
      </c>
      <c r="R48" s="91">
        <f t="shared" si="8"/>
        <v>82.1</v>
      </c>
      <c r="S48" s="35">
        <v>82.1</v>
      </c>
      <c r="T48" s="5"/>
      <c r="U48" s="6"/>
      <c r="V48" s="4"/>
      <c r="W48" s="20"/>
      <c r="X48" s="4"/>
      <c r="Y48" s="20"/>
      <c r="Z48" s="4"/>
      <c r="AA48" s="20"/>
      <c r="AB48" s="4"/>
      <c r="AC48" s="20"/>
      <c r="AD48" s="4"/>
      <c r="AE48" s="20"/>
      <c r="AF48" s="19"/>
      <c r="AG48" s="8"/>
      <c r="AH48" s="17"/>
      <c r="AI48" s="37"/>
      <c r="AJ48" s="18"/>
      <c r="AK48" s="21"/>
      <c r="AL48" s="21"/>
      <c r="AM48" s="36"/>
      <c r="AN48" s="21" t="s">
        <v>235</v>
      </c>
      <c r="AO48" s="21" t="s">
        <v>231</v>
      </c>
      <c r="AP48" s="21" t="s">
        <v>231</v>
      </c>
      <c r="AQ48" s="21" t="s">
        <v>231</v>
      </c>
      <c r="AR48" s="21" t="s">
        <v>231</v>
      </c>
      <c r="AS48" s="21" t="s">
        <v>231</v>
      </c>
      <c r="AT48" s="21" t="s">
        <v>231</v>
      </c>
      <c r="AU48" s="21" t="s">
        <v>206</v>
      </c>
      <c r="AV48" s="21" t="s">
        <v>236</v>
      </c>
      <c r="AW48" s="4" t="str">
        <f t="shared" si="6"/>
        <v>C</v>
      </c>
      <c r="AX48" s="45" t="str">
        <f t="shared" si="7"/>
        <v/>
      </c>
    </row>
    <row r="49" spans="1:52" ht="15" customHeight="1" x14ac:dyDescent="0.25">
      <c r="A49" s="46">
        <v>45830</v>
      </c>
      <c r="B49" s="46" t="s">
        <v>759</v>
      </c>
      <c r="C49" s="46" t="s">
        <v>25</v>
      </c>
      <c r="D49" s="21" t="s">
        <v>25</v>
      </c>
      <c r="E49" s="47">
        <v>585</v>
      </c>
      <c r="F49" s="21" t="s">
        <v>269</v>
      </c>
      <c r="G49" s="4" t="s">
        <v>760</v>
      </c>
      <c r="H49" s="4" t="s">
        <v>494</v>
      </c>
      <c r="I49" s="4" t="s">
        <v>495</v>
      </c>
      <c r="J49" s="4" t="s">
        <v>229</v>
      </c>
      <c r="K49" s="4" t="s">
        <v>279</v>
      </c>
      <c r="L49" s="4" t="s">
        <v>765</v>
      </c>
      <c r="M49" s="4" t="s">
        <v>761</v>
      </c>
      <c r="N49" s="4" t="s">
        <v>762</v>
      </c>
      <c r="O49" s="4" t="s">
        <v>763</v>
      </c>
      <c r="P49" s="4">
        <v>546995</v>
      </c>
      <c r="Q49" s="4">
        <v>4801210</v>
      </c>
      <c r="R49" s="91">
        <f t="shared" si="8"/>
        <v>1</v>
      </c>
      <c r="S49" s="35">
        <v>1</v>
      </c>
      <c r="T49" s="5"/>
      <c r="U49" s="6"/>
      <c r="V49" s="4"/>
      <c r="W49" s="20"/>
      <c r="X49" s="4"/>
      <c r="Y49" s="20"/>
      <c r="Z49" s="4"/>
      <c r="AA49" s="20"/>
      <c r="AB49" s="4"/>
      <c r="AC49" s="20"/>
      <c r="AD49" s="4"/>
      <c r="AE49" s="20"/>
      <c r="AF49" s="19"/>
      <c r="AG49" s="8"/>
      <c r="AH49" s="17"/>
      <c r="AI49" s="37"/>
      <c r="AJ49" s="18"/>
      <c r="AK49" s="21"/>
      <c r="AL49" s="21"/>
      <c r="AM49" s="36"/>
      <c r="AN49" s="21" t="s">
        <v>235</v>
      </c>
      <c r="AO49" s="21" t="s">
        <v>231</v>
      </c>
      <c r="AP49" s="21" t="s">
        <v>231</v>
      </c>
      <c r="AQ49" s="21" t="s">
        <v>231</v>
      </c>
      <c r="AR49" s="21" t="s">
        <v>231</v>
      </c>
      <c r="AS49" s="21" t="s">
        <v>206</v>
      </c>
      <c r="AT49" s="21" t="s">
        <v>231</v>
      </c>
      <c r="AU49" s="21" t="s">
        <v>236</v>
      </c>
      <c r="AV49" s="21" t="s">
        <v>236</v>
      </c>
      <c r="AW49" s="4" t="str">
        <f t="shared" si="6"/>
        <v>B</v>
      </c>
      <c r="AX49" s="45" t="str">
        <f t="shared" si="7"/>
        <v/>
      </c>
    </row>
    <row r="50" spans="1:52" ht="15" customHeight="1" x14ac:dyDescent="0.25">
      <c r="A50" s="46">
        <v>45830</v>
      </c>
      <c r="B50" s="46" t="s">
        <v>766</v>
      </c>
      <c r="C50" s="46" t="s">
        <v>25</v>
      </c>
      <c r="D50" s="21" t="s">
        <v>25</v>
      </c>
      <c r="E50" s="47">
        <v>586</v>
      </c>
      <c r="F50" s="21" t="s">
        <v>226</v>
      </c>
      <c r="G50" s="4" t="s">
        <v>764</v>
      </c>
      <c r="H50" s="4" t="s">
        <v>276</v>
      </c>
      <c r="I50" s="4" t="s">
        <v>767</v>
      </c>
      <c r="J50" s="4" t="s">
        <v>229</v>
      </c>
      <c r="K50" s="4" t="s">
        <v>317</v>
      </c>
      <c r="L50" s="4" t="s">
        <v>87</v>
      </c>
      <c r="M50" s="4" t="s">
        <v>626</v>
      </c>
      <c r="N50" s="4" t="s">
        <v>772</v>
      </c>
      <c r="O50" s="4" t="s">
        <v>773</v>
      </c>
      <c r="P50" s="4">
        <v>516938</v>
      </c>
      <c r="Q50" s="4">
        <v>4851750</v>
      </c>
      <c r="R50" s="91">
        <f t="shared" si="8"/>
        <v>76</v>
      </c>
      <c r="S50" s="35">
        <v>59.1</v>
      </c>
      <c r="T50" s="5"/>
      <c r="U50" s="6"/>
      <c r="V50" s="4"/>
      <c r="W50" s="20"/>
      <c r="X50" s="4">
        <v>16.899999999999999</v>
      </c>
      <c r="Y50" s="20"/>
      <c r="Z50" s="4"/>
      <c r="AA50" s="20"/>
      <c r="AB50" s="4"/>
      <c r="AC50" s="20"/>
      <c r="AD50" s="4"/>
      <c r="AE50" s="20"/>
      <c r="AF50" s="19"/>
      <c r="AG50" s="8"/>
      <c r="AH50" s="17"/>
      <c r="AI50" s="37"/>
      <c r="AJ50" s="18"/>
      <c r="AK50" s="21"/>
      <c r="AL50" s="21"/>
      <c r="AM50" s="36" t="s">
        <v>218</v>
      </c>
      <c r="AN50" s="21" t="s">
        <v>235</v>
      </c>
      <c r="AO50" s="21" t="s">
        <v>206</v>
      </c>
      <c r="AP50" s="21" t="s">
        <v>231</v>
      </c>
      <c r="AQ50" s="21" t="s">
        <v>231</v>
      </c>
      <c r="AR50" s="21" t="s">
        <v>231</v>
      </c>
      <c r="AS50" s="21" t="s">
        <v>206</v>
      </c>
      <c r="AT50" s="21" t="s">
        <v>231</v>
      </c>
      <c r="AU50" s="21" t="s">
        <v>206</v>
      </c>
      <c r="AV50" s="21" t="s">
        <v>236</v>
      </c>
      <c r="AW50" s="4" t="str">
        <f t="shared" si="6"/>
        <v>C</v>
      </c>
      <c r="AX50" s="45" t="str">
        <f>IF(AND(AV50="Y",AND(T50&gt;0, T50&lt;300)),"Y","")</f>
        <v/>
      </c>
    </row>
    <row r="51" spans="1:52" ht="15" customHeight="1" x14ac:dyDescent="0.25">
      <c r="A51" s="46">
        <v>45830</v>
      </c>
      <c r="B51" s="46" t="s">
        <v>771</v>
      </c>
      <c r="C51" s="46" t="s">
        <v>25</v>
      </c>
      <c r="D51" s="21" t="s">
        <v>25</v>
      </c>
      <c r="E51" s="47">
        <v>588</v>
      </c>
      <c r="F51" s="21" t="s">
        <v>269</v>
      </c>
      <c r="G51" s="4" t="s">
        <v>768</v>
      </c>
      <c r="H51" s="4" t="s">
        <v>310</v>
      </c>
      <c r="I51" s="4" t="s">
        <v>770</v>
      </c>
      <c r="J51" s="4" t="s">
        <v>229</v>
      </c>
      <c r="K51" s="4" t="s">
        <v>317</v>
      </c>
      <c r="L51" s="4" t="s">
        <v>87</v>
      </c>
      <c r="M51" s="4" t="s">
        <v>769</v>
      </c>
      <c r="N51" s="4" t="s">
        <v>774</v>
      </c>
      <c r="O51" s="4" t="s">
        <v>775</v>
      </c>
      <c r="P51" s="4">
        <v>564671</v>
      </c>
      <c r="Q51" s="4">
        <v>4793910</v>
      </c>
      <c r="R51" s="91">
        <f t="shared" si="8"/>
        <v>0.1</v>
      </c>
      <c r="S51" s="35">
        <v>0.1</v>
      </c>
      <c r="T51" s="5"/>
      <c r="U51" s="6"/>
      <c r="V51" s="4"/>
      <c r="W51" s="20"/>
      <c r="X51" s="4"/>
      <c r="Y51" s="20"/>
      <c r="Z51" s="4"/>
      <c r="AA51" s="20"/>
      <c r="AB51" s="4"/>
      <c r="AC51" s="20"/>
      <c r="AD51" s="4"/>
      <c r="AE51" s="20"/>
      <c r="AF51" s="19"/>
      <c r="AG51" s="8"/>
      <c r="AH51" s="17"/>
      <c r="AI51" s="37"/>
      <c r="AJ51" s="18"/>
      <c r="AK51" s="21"/>
      <c r="AL51" s="21"/>
      <c r="AM51" s="36"/>
      <c r="AN51" s="21" t="s">
        <v>235</v>
      </c>
      <c r="AO51" s="21" t="s">
        <v>206</v>
      </c>
      <c r="AP51" s="21" t="s">
        <v>231</v>
      </c>
      <c r="AQ51" s="21" t="s">
        <v>231</v>
      </c>
      <c r="AR51" s="21" t="s">
        <v>231</v>
      </c>
      <c r="AS51" s="21" t="s">
        <v>231</v>
      </c>
      <c r="AT51" s="21" t="s">
        <v>231</v>
      </c>
      <c r="AU51" s="21" t="s">
        <v>236</v>
      </c>
      <c r="AV51" s="21" t="s">
        <v>236</v>
      </c>
      <c r="AW51" s="4" t="str">
        <f t="shared" si="6"/>
        <v>A</v>
      </c>
      <c r="AX51" s="45" t="str">
        <f t="shared" ref="AX51:AX116" si="9">IF(AND(AV51="Y",AND(T51&gt;0, T51&lt;300)),"Y","")</f>
        <v/>
      </c>
    </row>
    <row r="52" spans="1:52" ht="15" customHeight="1" x14ac:dyDescent="0.25">
      <c r="A52" s="46">
        <v>45831</v>
      </c>
      <c r="B52" s="21" t="s">
        <v>779</v>
      </c>
      <c r="C52" s="21" t="s">
        <v>28</v>
      </c>
      <c r="D52" s="21" t="s">
        <v>28</v>
      </c>
      <c r="E52" s="21">
        <v>594</v>
      </c>
      <c r="F52" s="21" t="s">
        <v>28</v>
      </c>
      <c r="G52" s="4" t="s">
        <v>776</v>
      </c>
      <c r="H52" s="4" t="s">
        <v>777</v>
      </c>
      <c r="I52" s="4" t="s">
        <v>495</v>
      </c>
      <c r="J52" s="4" t="s">
        <v>229</v>
      </c>
      <c r="K52" s="4" t="s">
        <v>242</v>
      </c>
      <c r="L52" s="4" t="s">
        <v>87</v>
      </c>
      <c r="M52" s="4" t="s">
        <v>778</v>
      </c>
      <c r="N52" s="4" t="s">
        <v>780</v>
      </c>
      <c r="O52" s="4" t="s">
        <v>781</v>
      </c>
      <c r="P52" s="4">
        <v>561523</v>
      </c>
      <c r="Q52" s="4">
        <v>4812693</v>
      </c>
      <c r="R52" s="91">
        <f t="shared" si="8"/>
        <v>113.9</v>
      </c>
      <c r="S52" s="35"/>
      <c r="T52" s="5"/>
      <c r="U52" s="6">
        <v>113.9</v>
      </c>
      <c r="V52" s="4"/>
      <c r="W52" s="20"/>
      <c r="X52" s="4"/>
      <c r="Y52" s="20"/>
      <c r="Z52" s="4"/>
      <c r="AA52" s="20"/>
      <c r="AB52" s="4"/>
      <c r="AC52" s="20"/>
      <c r="AD52" s="4"/>
      <c r="AE52" s="20"/>
      <c r="AF52" s="19"/>
      <c r="AG52" s="8"/>
      <c r="AH52" s="17"/>
      <c r="AI52" s="37"/>
      <c r="AJ52" s="18"/>
      <c r="AK52" s="21" t="s">
        <v>218</v>
      </c>
      <c r="AL52" s="21"/>
      <c r="AM52" s="36"/>
      <c r="AN52" s="69" t="s">
        <v>235</v>
      </c>
      <c r="AO52" s="69" t="s">
        <v>206</v>
      </c>
      <c r="AP52" s="69" t="s">
        <v>231</v>
      </c>
      <c r="AQ52" s="69" t="s">
        <v>206</v>
      </c>
      <c r="AR52" s="69" t="s">
        <v>231</v>
      </c>
      <c r="AS52" s="69" t="s">
        <v>206</v>
      </c>
      <c r="AT52" s="69" t="s">
        <v>231</v>
      </c>
      <c r="AU52" s="69" t="s">
        <v>236</v>
      </c>
      <c r="AV52" s="21" t="s">
        <v>236</v>
      </c>
      <c r="AW52" s="4" t="str">
        <f t="shared" si="6"/>
        <v>D</v>
      </c>
      <c r="AX52" s="45" t="str">
        <f t="shared" si="9"/>
        <v/>
      </c>
    </row>
    <row r="53" spans="1:52" ht="15" customHeight="1" x14ac:dyDescent="0.25">
      <c r="A53" s="46">
        <v>45831</v>
      </c>
      <c r="B53" s="46" t="s">
        <v>784</v>
      </c>
      <c r="C53" s="46" t="s">
        <v>25</v>
      </c>
      <c r="D53" s="21" t="s">
        <v>76</v>
      </c>
      <c r="E53" s="47">
        <v>596</v>
      </c>
      <c r="F53" s="21" t="s">
        <v>226</v>
      </c>
      <c r="G53" s="4" t="s">
        <v>782</v>
      </c>
      <c r="H53" s="4" t="s">
        <v>542</v>
      </c>
      <c r="I53" s="4" t="s">
        <v>783</v>
      </c>
      <c r="J53" s="4" t="s">
        <v>229</v>
      </c>
      <c r="K53" s="4" t="s">
        <v>279</v>
      </c>
      <c r="L53" s="4" t="s">
        <v>87</v>
      </c>
      <c r="M53" s="4" t="s">
        <v>785</v>
      </c>
      <c r="N53" s="4" t="s">
        <v>786</v>
      </c>
      <c r="O53" s="4" t="s">
        <v>787</v>
      </c>
      <c r="P53" s="4">
        <v>591947</v>
      </c>
      <c r="Q53" s="4">
        <v>4790843</v>
      </c>
      <c r="R53" s="91">
        <f t="shared" si="8"/>
        <v>1</v>
      </c>
      <c r="S53" s="7"/>
      <c r="T53" s="5"/>
      <c r="U53" s="6"/>
      <c r="V53" s="4"/>
      <c r="W53" s="20"/>
      <c r="X53" s="4"/>
      <c r="Y53" s="20"/>
      <c r="Z53" s="4"/>
      <c r="AA53" s="20"/>
      <c r="AB53" s="4"/>
      <c r="AC53" s="20"/>
      <c r="AD53" s="4">
        <v>1</v>
      </c>
      <c r="AE53" s="20"/>
      <c r="AF53" s="19"/>
      <c r="AG53" s="8"/>
      <c r="AH53" s="17"/>
      <c r="AI53" s="37"/>
      <c r="AJ53" s="18"/>
      <c r="AK53" s="21"/>
      <c r="AL53" s="21" t="s">
        <v>218</v>
      </c>
      <c r="AM53" s="21"/>
      <c r="AN53" s="21" t="s">
        <v>235</v>
      </c>
      <c r="AO53" s="21" t="s">
        <v>231</v>
      </c>
      <c r="AP53" s="21" t="s">
        <v>231</v>
      </c>
      <c r="AQ53" s="21" t="s">
        <v>231</v>
      </c>
      <c r="AR53" s="21" t="s">
        <v>231</v>
      </c>
      <c r="AS53" s="21" t="s">
        <v>231</v>
      </c>
      <c r="AT53" s="21" t="s">
        <v>206</v>
      </c>
      <c r="AU53" s="21" t="s">
        <v>236</v>
      </c>
      <c r="AV53" s="21" t="s">
        <v>236</v>
      </c>
      <c r="AW53" s="4" t="str">
        <f t="shared" si="6"/>
        <v>B</v>
      </c>
      <c r="AX53" s="45" t="str">
        <f t="shared" si="9"/>
        <v/>
      </c>
    </row>
    <row r="54" spans="1:52" ht="15" customHeight="1" x14ac:dyDescent="0.25">
      <c r="A54" s="46">
        <v>45832</v>
      </c>
      <c r="B54" s="46" t="s">
        <v>788</v>
      </c>
      <c r="C54" s="46" t="s">
        <v>25</v>
      </c>
      <c r="D54" s="21" t="s">
        <v>25</v>
      </c>
      <c r="E54" s="47">
        <v>601</v>
      </c>
      <c r="F54" s="21" t="s">
        <v>226</v>
      </c>
      <c r="G54" s="4" t="s">
        <v>789</v>
      </c>
      <c r="H54" s="4" t="s">
        <v>276</v>
      </c>
      <c r="I54" s="4" t="s">
        <v>436</v>
      </c>
      <c r="J54" s="4" t="s">
        <v>229</v>
      </c>
      <c r="K54" s="4" t="s">
        <v>621</v>
      </c>
      <c r="L54" s="4" t="s">
        <v>243</v>
      </c>
      <c r="M54" s="4" t="s">
        <v>790</v>
      </c>
      <c r="N54" s="4" t="s">
        <v>791</v>
      </c>
      <c r="O54" s="4" t="s">
        <v>792</v>
      </c>
      <c r="P54" s="4">
        <v>513417</v>
      </c>
      <c r="Q54" s="4">
        <v>4863075</v>
      </c>
      <c r="R54" s="91">
        <f t="shared" si="8"/>
        <v>0.1</v>
      </c>
      <c r="S54" s="35">
        <v>0.1</v>
      </c>
      <c r="T54" s="5"/>
      <c r="U54" s="6"/>
      <c r="V54" s="4"/>
      <c r="W54" s="20"/>
      <c r="X54" s="4"/>
      <c r="Y54" s="20"/>
      <c r="Z54" s="4"/>
      <c r="AA54" s="20"/>
      <c r="AB54" s="4"/>
      <c r="AC54" s="20"/>
      <c r="AD54" s="4"/>
      <c r="AE54" s="20"/>
      <c r="AF54" s="19"/>
      <c r="AG54" s="8"/>
      <c r="AH54" s="17"/>
      <c r="AI54" s="37"/>
      <c r="AJ54" s="18"/>
      <c r="AK54" s="21"/>
      <c r="AL54" s="21"/>
      <c r="AM54" s="36"/>
      <c r="AN54" s="21" t="s">
        <v>27</v>
      </c>
      <c r="AO54" s="21" t="s">
        <v>206</v>
      </c>
      <c r="AP54" s="21" t="s">
        <v>231</v>
      </c>
      <c r="AQ54" s="21" t="s">
        <v>231</v>
      </c>
      <c r="AR54" s="21" t="s">
        <v>231</v>
      </c>
      <c r="AS54" s="21" t="s">
        <v>206</v>
      </c>
      <c r="AT54" s="21" t="s">
        <v>231</v>
      </c>
      <c r="AU54" s="21" t="s">
        <v>236</v>
      </c>
      <c r="AV54" s="21" t="s">
        <v>236</v>
      </c>
      <c r="AW54" s="4" t="str">
        <f t="shared" si="6"/>
        <v>A</v>
      </c>
      <c r="AX54" s="45" t="str">
        <f t="shared" si="9"/>
        <v/>
      </c>
      <c r="AZ54" s="2" t="s">
        <v>5</v>
      </c>
    </row>
    <row r="55" spans="1:52" ht="15" customHeight="1" x14ac:dyDescent="0.25">
      <c r="A55" s="46">
        <v>45832</v>
      </c>
      <c r="B55" s="46" t="s">
        <v>793</v>
      </c>
      <c r="C55" s="46" t="s">
        <v>25</v>
      </c>
      <c r="D55" s="21" t="s">
        <v>25</v>
      </c>
      <c r="E55" s="47">
        <v>604</v>
      </c>
      <c r="F55" s="21" t="s">
        <v>226</v>
      </c>
      <c r="G55" s="4" t="s">
        <v>794</v>
      </c>
      <c r="H55" s="4" t="s">
        <v>795</v>
      </c>
      <c r="I55" s="4"/>
      <c r="J55" s="4" t="s">
        <v>229</v>
      </c>
      <c r="K55" s="4" t="s">
        <v>279</v>
      </c>
      <c r="L55" s="4" t="s">
        <v>87</v>
      </c>
      <c r="M55" s="4" t="s">
        <v>651</v>
      </c>
      <c r="N55" s="4" t="s">
        <v>805</v>
      </c>
      <c r="O55" s="4" t="s">
        <v>806</v>
      </c>
      <c r="P55" s="4">
        <v>595477</v>
      </c>
      <c r="Q55" s="4">
        <v>4786442</v>
      </c>
      <c r="R55" s="91">
        <f t="shared" si="8"/>
        <v>4.2</v>
      </c>
      <c r="S55" s="35">
        <v>4.2</v>
      </c>
      <c r="T55" s="5"/>
      <c r="U55" s="6"/>
      <c r="V55" s="4"/>
      <c r="W55" s="20"/>
      <c r="X55" s="4"/>
      <c r="Y55" s="20"/>
      <c r="Z55" s="4"/>
      <c r="AA55" s="20"/>
      <c r="AB55" s="4"/>
      <c r="AC55" s="20"/>
      <c r="AD55" s="4"/>
      <c r="AE55" s="20"/>
      <c r="AF55" s="19"/>
      <c r="AG55" s="8"/>
      <c r="AH55" s="17"/>
      <c r="AI55" s="37"/>
      <c r="AJ55" s="18"/>
      <c r="AK55" s="21"/>
      <c r="AL55" s="21"/>
      <c r="AM55" s="36"/>
      <c r="AN55" s="21" t="s">
        <v>235</v>
      </c>
      <c r="AO55" s="21" t="s">
        <v>231</v>
      </c>
      <c r="AP55" s="21" t="s">
        <v>231</v>
      </c>
      <c r="AQ55" s="21" t="s">
        <v>231</v>
      </c>
      <c r="AR55" s="21" t="s">
        <v>231</v>
      </c>
      <c r="AS55" s="21" t="s">
        <v>231</v>
      </c>
      <c r="AT55" s="21" t="s">
        <v>231</v>
      </c>
      <c r="AU55" s="21" t="s">
        <v>236</v>
      </c>
      <c r="AV55" s="21" t="s">
        <v>236</v>
      </c>
      <c r="AW55" s="4" t="str">
        <f t="shared" si="6"/>
        <v>B</v>
      </c>
      <c r="AX55" s="45" t="str">
        <f t="shared" si="9"/>
        <v/>
      </c>
    </row>
    <row r="56" spans="1:52" ht="15" customHeight="1" x14ac:dyDescent="0.25">
      <c r="A56" s="46">
        <v>45834</v>
      </c>
      <c r="B56" s="46" t="s">
        <v>800</v>
      </c>
      <c r="C56" s="46" t="s">
        <v>25</v>
      </c>
      <c r="D56" s="21" t="s">
        <v>25</v>
      </c>
      <c r="E56" s="47">
        <v>621</v>
      </c>
      <c r="F56" s="21" t="s">
        <v>269</v>
      </c>
      <c r="G56" s="4" t="s">
        <v>801</v>
      </c>
      <c r="H56" s="4" t="s">
        <v>310</v>
      </c>
      <c r="I56" s="4" t="s">
        <v>770</v>
      </c>
      <c r="J56" s="4" t="s">
        <v>229</v>
      </c>
      <c r="K56" s="4" t="s">
        <v>279</v>
      </c>
      <c r="L56" s="4" t="s">
        <v>765</v>
      </c>
      <c r="M56" s="4" t="s">
        <v>802</v>
      </c>
      <c r="N56" s="4" t="s">
        <v>803</v>
      </c>
      <c r="O56" s="4" t="s">
        <v>804</v>
      </c>
      <c r="P56" s="4">
        <v>544536</v>
      </c>
      <c r="Q56" s="4">
        <v>4806762</v>
      </c>
      <c r="R56" s="91">
        <f t="shared" si="8"/>
        <v>0.25</v>
      </c>
      <c r="S56" s="35">
        <v>0.25</v>
      </c>
      <c r="T56" s="5"/>
      <c r="U56" s="6"/>
      <c r="V56" s="4"/>
      <c r="W56" s="20"/>
      <c r="X56" s="4"/>
      <c r="Y56" s="20"/>
      <c r="Z56" s="4"/>
      <c r="AA56" s="20"/>
      <c r="AB56" s="4"/>
      <c r="AC56" s="20"/>
      <c r="AD56" s="4"/>
      <c r="AE56" s="20"/>
      <c r="AF56" s="19"/>
      <c r="AG56" s="8"/>
      <c r="AH56" s="17"/>
      <c r="AI56" s="37"/>
      <c r="AJ56" s="18"/>
      <c r="AK56" s="21"/>
      <c r="AL56" s="21"/>
      <c r="AM56" s="36"/>
      <c r="AN56" s="52" t="s">
        <v>235</v>
      </c>
      <c r="AO56" s="52" t="s">
        <v>231</v>
      </c>
      <c r="AP56" s="52" t="s">
        <v>231</v>
      </c>
      <c r="AQ56" s="52" t="s">
        <v>231</v>
      </c>
      <c r="AR56" s="52" t="s">
        <v>231</v>
      </c>
      <c r="AS56" s="52" t="s">
        <v>206</v>
      </c>
      <c r="AT56" s="52" t="s">
        <v>231</v>
      </c>
      <c r="AU56" s="52" t="s">
        <v>236</v>
      </c>
      <c r="AV56" s="21" t="s">
        <v>236</v>
      </c>
      <c r="AW56" s="4" t="str">
        <f t="shared" si="6"/>
        <v>A</v>
      </c>
      <c r="AX56" s="45" t="str">
        <f t="shared" si="9"/>
        <v/>
      </c>
    </row>
    <row r="57" spans="1:52" ht="15" customHeight="1" x14ac:dyDescent="0.25">
      <c r="A57" s="46">
        <v>45836</v>
      </c>
      <c r="B57" s="21" t="s">
        <v>807</v>
      </c>
      <c r="C57" s="46" t="s">
        <v>25</v>
      </c>
      <c r="D57" s="21" t="s">
        <v>25</v>
      </c>
      <c r="E57" s="47">
        <v>628</v>
      </c>
      <c r="F57" s="21" t="s">
        <v>226</v>
      </c>
      <c r="G57" s="4" t="s">
        <v>808</v>
      </c>
      <c r="H57" s="4" t="s">
        <v>310</v>
      </c>
      <c r="I57" s="4"/>
      <c r="J57" s="4" t="s">
        <v>229</v>
      </c>
      <c r="K57" s="4" t="s">
        <v>317</v>
      </c>
      <c r="L57" s="4" t="s">
        <v>87</v>
      </c>
      <c r="M57" s="4" t="s">
        <v>815</v>
      </c>
      <c r="N57" s="4" t="s">
        <v>813</v>
      </c>
      <c r="O57" s="4" t="s">
        <v>814</v>
      </c>
      <c r="P57" s="4">
        <v>558257</v>
      </c>
      <c r="Q57" s="4">
        <v>4815202</v>
      </c>
      <c r="R57" s="91">
        <f t="shared" si="8"/>
        <v>282.8</v>
      </c>
      <c r="S57" s="35">
        <v>224.9</v>
      </c>
      <c r="T57" s="5"/>
      <c r="U57" s="6"/>
      <c r="V57" s="4">
        <v>57.9</v>
      </c>
      <c r="W57" s="20"/>
      <c r="X57" s="4"/>
      <c r="Y57" s="20"/>
      <c r="Z57" s="4"/>
      <c r="AA57" s="20"/>
      <c r="AB57" s="4"/>
      <c r="AC57" s="20"/>
      <c r="AD57" s="4"/>
      <c r="AE57" s="20"/>
      <c r="AF57" s="19"/>
      <c r="AG57" s="8"/>
      <c r="AH57" s="17"/>
      <c r="AI57" s="37"/>
      <c r="AJ57" s="18"/>
      <c r="AK57" s="21"/>
      <c r="AL57" s="21" t="s">
        <v>218</v>
      </c>
      <c r="AM57" s="36" t="s">
        <v>218</v>
      </c>
      <c r="AN57" s="52" t="s">
        <v>235</v>
      </c>
      <c r="AO57" s="52" t="s">
        <v>206</v>
      </c>
      <c r="AP57" s="52" t="s">
        <v>231</v>
      </c>
      <c r="AQ57" s="52" t="s">
        <v>206</v>
      </c>
      <c r="AR57" s="52" t="s">
        <v>231</v>
      </c>
      <c r="AS57" s="52" t="s">
        <v>206</v>
      </c>
      <c r="AT57" s="52" t="s">
        <v>231</v>
      </c>
      <c r="AU57" s="52" t="s">
        <v>206</v>
      </c>
      <c r="AV57" s="21" t="s">
        <v>236</v>
      </c>
      <c r="AW57" s="4" t="str">
        <f t="shared" si="6"/>
        <v>D</v>
      </c>
      <c r="AX57" s="45" t="str">
        <f t="shared" si="9"/>
        <v/>
      </c>
    </row>
    <row r="58" spans="1:52" ht="15" customHeight="1" x14ac:dyDescent="0.25">
      <c r="A58" s="46">
        <v>45836</v>
      </c>
      <c r="B58" s="46" t="s">
        <v>809</v>
      </c>
      <c r="C58" s="21" t="s">
        <v>25</v>
      </c>
      <c r="D58" s="21" t="s">
        <v>25</v>
      </c>
      <c r="E58" s="21">
        <v>627</v>
      </c>
      <c r="F58" s="21" t="s">
        <v>226</v>
      </c>
      <c r="G58" s="4" t="s">
        <v>810</v>
      </c>
      <c r="H58" s="4" t="s">
        <v>811</v>
      </c>
      <c r="I58" s="4" t="s">
        <v>812</v>
      </c>
      <c r="J58" s="4" t="s">
        <v>229</v>
      </c>
      <c r="K58" s="4" t="s">
        <v>317</v>
      </c>
      <c r="L58" s="4" t="s">
        <v>87</v>
      </c>
      <c r="M58" s="4" t="s">
        <v>430</v>
      </c>
      <c r="N58" s="4" t="s">
        <v>829</v>
      </c>
      <c r="O58" s="4" t="s">
        <v>830</v>
      </c>
      <c r="P58" s="4">
        <v>546376</v>
      </c>
      <c r="Q58" s="4">
        <v>4843864</v>
      </c>
      <c r="R58" s="91">
        <f t="shared" si="8"/>
        <v>366</v>
      </c>
      <c r="S58" s="35">
        <v>183.8</v>
      </c>
      <c r="T58" s="5"/>
      <c r="U58" s="6"/>
      <c r="V58" s="4">
        <v>182.2</v>
      </c>
      <c r="W58" s="20"/>
      <c r="X58" s="4"/>
      <c r="Y58" s="20"/>
      <c r="Z58" s="4"/>
      <c r="AA58" s="20"/>
      <c r="AB58" s="4"/>
      <c r="AC58" s="20"/>
      <c r="AD58" s="4"/>
      <c r="AE58" s="20"/>
      <c r="AF58" s="19"/>
      <c r="AG58" s="8"/>
      <c r="AH58" s="17"/>
      <c r="AI58" s="37"/>
      <c r="AJ58" s="18"/>
      <c r="AK58" s="21"/>
      <c r="AL58" s="21"/>
      <c r="AM58" s="36" t="s">
        <v>218</v>
      </c>
      <c r="AN58" s="69" t="s">
        <v>235</v>
      </c>
      <c r="AO58" s="69" t="s">
        <v>206</v>
      </c>
      <c r="AP58" s="69" t="s">
        <v>231</v>
      </c>
      <c r="AQ58" s="69" t="s">
        <v>206</v>
      </c>
      <c r="AR58" s="69" t="s">
        <v>231</v>
      </c>
      <c r="AS58" s="69" t="s">
        <v>206</v>
      </c>
      <c r="AT58" s="69" t="s">
        <v>231</v>
      </c>
      <c r="AU58" s="69" t="s">
        <v>206</v>
      </c>
      <c r="AV58" s="21" t="s">
        <v>236</v>
      </c>
      <c r="AW58" s="4" t="str">
        <f t="shared" si="6"/>
        <v>E</v>
      </c>
      <c r="AX58" s="45" t="str">
        <f t="shared" si="9"/>
        <v/>
      </c>
    </row>
    <row r="59" spans="1:52" ht="15" customHeight="1" x14ac:dyDescent="0.25">
      <c r="A59" s="46">
        <v>45836</v>
      </c>
      <c r="B59" s="46" t="s">
        <v>819</v>
      </c>
      <c r="C59" s="46" t="s">
        <v>25</v>
      </c>
      <c r="D59" s="21" t="s">
        <v>68</v>
      </c>
      <c r="E59" s="47">
        <v>630</v>
      </c>
      <c r="F59" s="21" t="s">
        <v>226</v>
      </c>
      <c r="G59" s="4" t="s">
        <v>816</v>
      </c>
      <c r="H59" s="4" t="s">
        <v>276</v>
      </c>
      <c r="I59" s="4" t="s">
        <v>817</v>
      </c>
      <c r="J59" s="4" t="s">
        <v>229</v>
      </c>
      <c r="K59" s="4" t="s">
        <v>621</v>
      </c>
      <c r="L59" s="4" t="s">
        <v>87</v>
      </c>
      <c r="M59" s="4" t="s">
        <v>826</v>
      </c>
      <c r="N59" s="4" t="s">
        <v>827</v>
      </c>
      <c r="O59" s="4" t="s">
        <v>828</v>
      </c>
      <c r="P59" s="4">
        <v>575735</v>
      </c>
      <c r="Q59" s="4">
        <v>4819838</v>
      </c>
      <c r="R59" s="91">
        <f t="shared" si="8"/>
        <v>6.8000000000000007</v>
      </c>
      <c r="S59" s="35"/>
      <c r="T59" s="5"/>
      <c r="U59" s="6">
        <v>4.4000000000000004</v>
      </c>
      <c r="V59" s="4">
        <v>0.7</v>
      </c>
      <c r="W59" s="20"/>
      <c r="X59" s="4"/>
      <c r="Y59" s="20"/>
      <c r="Z59" s="4"/>
      <c r="AA59" s="20"/>
      <c r="AB59" s="4"/>
      <c r="AC59" s="20"/>
      <c r="AD59" s="4"/>
      <c r="AE59" s="20"/>
      <c r="AF59" s="19"/>
      <c r="AG59" s="8"/>
      <c r="AH59" s="17">
        <v>1.7</v>
      </c>
      <c r="AI59" s="37"/>
      <c r="AJ59" s="18"/>
      <c r="AK59" s="21"/>
      <c r="AL59" s="21"/>
      <c r="AM59" s="36"/>
      <c r="AN59" s="4" t="s">
        <v>235</v>
      </c>
      <c r="AO59" s="4" t="s">
        <v>206</v>
      </c>
      <c r="AP59" s="4" t="s">
        <v>231</v>
      </c>
      <c r="AQ59" s="4" t="s">
        <v>231</v>
      </c>
      <c r="AR59" s="4" t="s">
        <v>231</v>
      </c>
      <c r="AS59" s="4" t="s">
        <v>206</v>
      </c>
      <c r="AT59" s="4" t="s">
        <v>231</v>
      </c>
      <c r="AU59" s="4" t="s">
        <v>236</v>
      </c>
      <c r="AV59" s="4" t="s">
        <v>236</v>
      </c>
      <c r="AW59" s="4" t="str">
        <f t="shared" si="6"/>
        <v>B</v>
      </c>
      <c r="AX59" s="45" t="str">
        <f t="shared" si="9"/>
        <v/>
      </c>
    </row>
    <row r="60" spans="1:52" ht="15" customHeight="1" x14ac:dyDescent="0.25">
      <c r="A60" s="46">
        <v>45837</v>
      </c>
      <c r="B60" s="46" t="s">
        <v>825</v>
      </c>
      <c r="C60" s="46" t="s">
        <v>28</v>
      </c>
      <c r="D60" s="21" t="s">
        <v>26</v>
      </c>
      <c r="E60" s="47">
        <v>632</v>
      </c>
      <c r="F60" s="21" t="s">
        <v>412</v>
      </c>
      <c r="G60" s="4" t="s">
        <v>818</v>
      </c>
      <c r="H60" s="4" t="s">
        <v>820</v>
      </c>
      <c r="I60" s="4" t="s">
        <v>821</v>
      </c>
      <c r="J60" s="4" t="s">
        <v>229</v>
      </c>
      <c r="K60" s="4" t="s">
        <v>487</v>
      </c>
      <c r="L60" s="4" t="s">
        <v>488</v>
      </c>
      <c r="M60" s="4" t="s">
        <v>822</v>
      </c>
      <c r="N60" s="4" t="s">
        <v>823</v>
      </c>
      <c r="O60" s="4" t="s">
        <v>824</v>
      </c>
      <c r="P60" s="91"/>
      <c r="Q60" s="91"/>
      <c r="R60" s="91">
        <f t="shared" si="8"/>
        <v>0.25</v>
      </c>
      <c r="S60" s="7"/>
      <c r="T60" s="5">
        <v>0.25</v>
      </c>
      <c r="U60" s="6"/>
      <c r="V60" s="4"/>
      <c r="W60" s="20"/>
      <c r="X60" s="4"/>
      <c r="Y60" s="20"/>
      <c r="Z60" s="4"/>
      <c r="AA60" s="20"/>
      <c r="AB60" s="4"/>
      <c r="AC60" s="20"/>
      <c r="AD60" s="4"/>
      <c r="AE60" s="20"/>
      <c r="AF60" s="19"/>
      <c r="AG60" s="8"/>
      <c r="AH60" s="17"/>
      <c r="AI60" s="37"/>
      <c r="AJ60" s="18"/>
      <c r="AK60" s="21"/>
      <c r="AL60" s="21" t="s">
        <v>218</v>
      </c>
      <c r="AM60" s="21"/>
      <c r="AN60" s="4" t="s">
        <v>235</v>
      </c>
      <c r="AO60" s="4" t="s">
        <v>206</v>
      </c>
      <c r="AP60" s="4" t="s">
        <v>231</v>
      </c>
      <c r="AQ60" s="4" t="s">
        <v>231</v>
      </c>
      <c r="AR60" s="4" t="s">
        <v>231</v>
      </c>
      <c r="AS60" s="4" t="s">
        <v>206</v>
      </c>
      <c r="AT60" s="4" t="s">
        <v>231</v>
      </c>
      <c r="AU60" s="4" t="s">
        <v>236</v>
      </c>
      <c r="AV60" s="4" t="s">
        <v>236</v>
      </c>
      <c r="AW60" s="4" t="str">
        <f t="shared" ref="AW60:AW63" si="10">IF(R60&gt;4999.9,"G",IF(R60&gt;999.9,"F",IF(R60&gt;299.9,"E",IF(R60&gt;99.9,"D",IF(R60&gt;9.9,"C",IF(R60&gt;0.25,"B",IF(R60&gt;0,"A","")))))))</f>
        <v>A</v>
      </c>
      <c r="AX60" s="45" t="str">
        <f t="shared" si="9"/>
        <v/>
      </c>
    </row>
    <row r="61" spans="1:52" ht="15" customHeight="1" x14ac:dyDescent="0.25">
      <c r="A61" s="46">
        <v>45837</v>
      </c>
      <c r="B61" s="46" t="s">
        <v>835</v>
      </c>
      <c r="C61" s="46" t="s">
        <v>25</v>
      </c>
      <c r="D61" s="21" t="s">
        <v>25</v>
      </c>
      <c r="E61" s="47">
        <v>633</v>
      </c>
      <c r="F61" s="21" t="s">
        <v>226</v>
      </c>
      <c r="G61" s="4" t="s">
        <v>831</v>
      </c>
      <c r="H61" s="4" t="s">
        <v>832</v>
      </c>
      <c r="I61" s="4"/>
      <c r="J61" s="4" t="s">
        <v>229</v>
      </c>
      <c r="K61" s="4" t="s">
        <v>621</v>
      </c>
      <c r="L61" s="4" t="s">
        <v>87</v>
      </c>
      <c r="M61" s="4" t="s">
        <v>478</v>
      </c>
      <c r="N61" s="4" t="s">
        <v>833</v>
      </c>
      <c r="O61" s="4" t="s">
        <v>834</v>
      </c>
      <c r="P61" s="4">
        <v>530248</v>
      </c>
      <c r="Q61" s="4">
        <v>4853457</v>
      </c>
      <c r="R61" s="91">
        <f t="shared" si="8"/>
        <v>0.1</v>
      </c>
      <c r="S61" s="7">
        <v>0.1</v>
      </c>
      <c r="T61" s="5"/>
      <c r="U61" s="6"/>
      <c r="V61" s="4"/>
      <c r="W61" s="20"/>
      <c r="X61" s="4"/>
      <c r="Y61" s="20"/>
      <c r="Z61" s="4"/>
      <c r="AA61" s="20"/>
      <c r="AB61" s="4"/>
      <c r="AC61" s="20"/>
      <c r="AD61" s="4"/>
      <c r="AE61" s="20"/>
      <c r="AF61" s="19"/>
      <c r="AG61" s="8"/>
      <c r="AH61" s="17"/>
      <c r="AI61" s="37"/>
      <c r="AJ61" s="18"/>
      <c r="AK61" s="21"/>
      <c r="AL61" s="21"/>
      <c r="AM61" s="21"/>
      <c r="AN61" s="4" t="s">
        <v>235</v>
      </c>
      <c r="AO61" s="4" t="s">
        <v>231</v>
      </c>
      <c r="AP61" s="4" t="s">
        <v>231</v>
      </c>
      <c r="AQ61" s="4" t="s">
        <v>231</v>
      </c>
      <c r="AR61" s="4" t="s">
        <v>231</v>
      </c>
      <c r="AS61" s="4" t="s">
        <v>206</v>
      </c>
      <c r="AT61" s="4" t="s">
        <v>231</v>
      </c>
      <c r="AU61" s="4" t="s">
        <v>236</v>
      </c>
      <c r="AV61" s="4" t="s">
        <v>236</v>
      </c>
      <c r="AW61" s="4" t="str">
        <f t="shared" si="10"/>
        <v>A</v>
      </c>
      <c r="AX61" s="45" t="str">
        <f t="shared" si="9"/>
        <v/>
      </c>
    </row>
    <row r="62" spans="1:52" ht="15" customHeight="1" x14ac:dyDescent="0.25">
      <c r="A62" s="46">
        <v>45837</v>
      </c>
      <c r="B62" s="46" t="s">
        <v>837</v>
      </c>
      <c r="C62" s="46" t="s">
        <v>25</v>
      </c>
      <c r="D62" s="21" t="s">
        <v>25</v>
      </c>
      <c r="E62" s="47">
        <v>635</v>
      </c>
      <c r="F62" s="21" t="s">
        <v>226</v>
      </c>
      <c r="G62" s="4" t="s">
        <v>836</v>
      </c>
      <c r="H62" s="4" t="s">
        <v>276</v>
      </c>
      <c r="I62" s="4" t="s">
        <v>838</v>
      </c>
      <c r="J62" s="4" t="s">
        <v>229</v>
      </c>
      <c r="K62" s="4" t="s">
        <v>317</v>
      </c>
      <c r="L62" s="4" t="s">
        <v>87</v>
      </c>
      <c r="M62" s="4" t="s">
        <v>839</v>
      </c>
      <c r="N62" s="4" t="s">
        <v>841</v>
      </c>
      <c r="O62" s="4" t="s">
        <v>842</v>
      </c>
      <c r="P62" s="4">
        <v>525309</v>
      </c>
      <c r="Q62" s="4">
        <v>4814004</v>
      </c>
      <c r="R62" s="91">
        <f t="shared" si="8"/>
        <v>3</v>
      </c>
      <c r="S62" s="7">
        <v>3</v>
      </c>
      <c r="T62" s="5"/>
      <c r="U62" s="6"/>
      <c r="V62" s="4"/>
      <c r="W62" s="20"/>
      <c r="X62" s="4"/>
      <c r="Y62" s="20"/>
      <c r="Z62" s="4"/>
      <c r="AA62" s="20"/>
      <c r="AB62" s="4"/>
      <c r="AC62" s="20"/>
      <c r="AD62" s="4"/>
      <c r="AE62" s="20"/>
      <c r="AF62" s="19"/>
      <c r="AG62" s="8"/>
      <c r="AH62" s="17"/>
      <c r="AI62" s="37"/>
      <c r="AJ62" s="18"/>
      <c r="AK62" s="21"/>
      <c r="AL62" s="21"/>
      <c r="AM62" s="21"/>
      <c r="AN62" s="4" t="s">
        <v>235</v>
      </c>
      <c r="AO62" s="4" t="s">
        <v>231</v>
      </c>
      <c r="AP62" s="4" t="s">
        <v>231</v>
      </c>
      <c r="AQ62" s="4" t="s">
        <v>231</v>
      </c>
      <c r="AR62" s="4" t="s">
        <v>231</v>
      </c>
      <c r="AS62" s="4" t="s">
        <v>206</v>
      </c>
      <c r="AT62" s="4" t="s">
        <v>231</v>
      </c>
      <c r="AU62" s="4" t="s">
        <v>236</v>
      </c>
      <c r="AV62" s="4" t="s">
        <v>236</v>
      </c>
      <c r="AW62" s="4" t="str">
        <f t="shared" si="10"/>
        <v>B</v>
      </c>
      <c r="AX62" s="45" t="str">
        <f t="shared" si="9"/>
        <v/>
      </c>
    </row>
    <row r="63" spans="1:52" ht="15" customHeight="1" x14ac:dyDescent="0.25">
      <c r="A63" s="46">
        <v>45837</v>
      </c>
      <c r="B63" s="46" t="s">
        <v>843</v>
      </c>
      <c r="C63" s="46" t="s">
        <v>25</v>
      </c>
      <c r="D63" s="21" t="s">
        <v>25</v>
      </c>
      <c r="E63" s="47">
        <v>636</v>
      </c>
      <c r="F63" s="21" t="s">
        <v>269</v>
      </c>
      <c r="G63" s="4" t="s">
        <v>840</v>
      </c>
      <c r="H63" s="4" t="s">
        <v>844</v>
      </c>
      <c r="I63" s="4"/>
      <c r="J63" s="4" t="s">
        <v>229</v>
      </c>
      <c r="K63" s="4" t="s">
        <v>621</v>
      </c>
      <c r="L63" s="4" t="s">
        <v>87</v>
      </c>
      <c r="M63" s="4" t="s">
        <v>845</v>
      </c>
      <c r="N63" s="4" t="s">
        <v>846</v>
      </c>
      <c r="O63" s="4" t="s">
        <v>847</v>
      </c>
      <c r="P63" s="4">
        <v>542821</v>
      </c>
      <c r="Q63" s="4">
        <v>4773777</v>
      </c>
      <c r="R63" s="91">
        <f t="shared" si="8"/>
        <v>227.6</v>
      </c>
      <c r="S63" s="7">
        <v>227.6</v>
      </c>
      <c r="T63" s="5"/>
      <c r="U63" s="6"/>
      <c r="V63" s="4"/>
      <c r="W63" s="20"/>
      <c r="X63" s="4"/>
      <c r="Y63" s="20"/>
      <c r="Z63" s="4"/>
      <c r="AA63" s="20"/>
      <c r="AB63" s="4"/>
      <c r="AC63" s="20"/>
      <c r="AD63" s="4"/>
      <c r="AE63" s="20"/>
      <c r="AF63" s="19"/>
      <c r="AG63" s="8"/>
      <c r="AH63" s="17"/>
      <c r="AI63" s="37"/>
      <c r="AJ63" s="18"/>
      <c r="AK63" s="21"/>
      <c r="AL63" s="21"/>
      <c r="AM63" s="21"/>
      <c r="AN63" s="4" t="s">
        <v>235</v>
      </c>
      <c r="AO63" s="4" t="s">
        <v>231</v>
      </c>
      <c r="AP63" s="4" t="s">
        <v>206</v>
      </c>
      <c r="AQ63" s="4" t="s">
        <v>231</v>
      </c>
      <c r="AR63" s="4" t="s">
        <v>231</v>
      </c>
      <c r="AS63" s="4" t="s">
        <v>206</v>
      </c>
      <c r="AT63" s="4" t="s">
        <v>231</v>
      </c>
      <c r="AU63" s="4" t="s">
        <v>206</v>
      </c>
      <c r="AV63" s="4" t="s">
        <v>206</v>
      </c>
      <c r="AW63" s="4" t="str">
        <f t="shared" si="10"/>
        <v>D</v>
      </c>
      <c r="AX63" s="45" t="str">
        <f t="shared" si="9"/>
        <v/>
      </c>
    </row>
    <row r="64" spans="1:52" ht="15" customHeight="1" x14ac:dyDescent="0.25">
      <c r="A64" s="46">
        <v>45838</v>
      </c>
      <c r="B64" s="21" t="s">
        <v>851</v>
      </c>
      <c r="C64" s="46" t="s">
        <v>25</v>
      </c>
      <c r="D64" s="21" t="s">
        <v>25</v>
      </c>
      <c r="E64" s="47">
        <v>645</v>
      </c>
      <c r="F64" s="21" t="s">
        <v>269</v>
      </c>
      <c r="G64" s="4" t="s">
        <v>852</v>
      </c>
      <c r="H64" s="4" t="s">
        <v>319</v>
      </c>
      <c r="I64" s="4" t="s">
        <v>404</v>
      </c>
      <c r="J64" s="4" t="s">
        <v>229</v>
      </c>
      <c r="K64" s="4" t="s">
        <v>317</v>
      </c>
      <c r="L64" s="4" t="s">
        <v>87</v>
      </c>
      <c r="M64" s="4" t="s">
        <v>853</v>
      </c>
      <c r="N64" s="4" t="s">
        <v>854</v>
      </c>
      <c r="O64" s="4" t="s">
        <v>855</v>
      </c>
      <c r="P64" s="4">
        <v>562339</v>
      </c>
      <c r="Q64" s="4">
        <v>4800710</v>
      </c>
      <c r="R64" s="91">
        <f t="shared" si="8"/>
        <v>0.1</v>
      </c>
      <c r="S64" s="35">
        <v>0.1</v>
      </c>
      <c r="T64" s="5"/>
      <c r="U64" s="6"/>
      <c r="V64" s="4"/>
      <c r="W64" s="20"/>
      <c r="X64" s="4"/>
      <c r="Y64" s="20"/>
      <c r="Z64" s="4"/>
      <c r="AA64" s="20"/>
      <c r="AB64" s="4"/>
      <c r="AC64" s="20"/>
      <c r="AD64" s="4"/>
      <c r="AE64" s="20"/>
      <c r="AF64" s="19"/>
      <c r="AG64" s="8"/>
      <c r="AH64" s="17"/>
      <c r="AI64" s="37"/>
      <c r="AJ64" s="18"/>
      <c r="AK64" s="21"/>
      <c r="AL64" s="21"/>
      <c r="AM64" s="36"/>
      <c r="AN64" s="4" t="s">
        <v>235</v>
      </c>
      <c r="AO64" s="4" t="s">
        <v>231</v>
      </c>
      <c r="AP64" s="4" t="s">
        <v>231</v>
      </c>
      <c r="AQ64" s="4" t="s">
        <v>231</v>
      </c>
      <c r="AR64" s="4" t="s">
        <v>231</v>
      </c>
      <c r="AS64" s="4" t="s">
        <v>231</v>
      </c>
      <c r="AT64" s="4" t="s">
        <v>231</v>
      </c>
      <c r="AU64" s="4" t="s">
        <v>236</v>
      </c>
      <c r="AV64" s="4" t="s">
        <v>236</v>
      </c>
      <c r="AW64" s="4" t="str">
        <f t="shared" si="6"/>
        <v>A</v>
      </c>
      <c r="AX64" s="45" t="str">
        <f t="shared" si="9"/>
        <v/>
      </c>
      <c r="AZ64" s="2" t="s">
        <v>5</v>
      </c>
    </row>
    <row r="65" spans="1:50" ht="15" customHeight="1" x14ac:dyDescent="0.25">
      <c r="A65" s="46">
        <v>45839</v>
      </c>
      <c r="B65" s="21" t="s">
        <v>861</v>
      </c>
      <c r="C65" s="21" t="s">
        <v>25</v>
      </c>
      <c r="D65" s="21" t="s">
        <v>25</v>
      </c>
      <c r="E65" s="21">
        <v>653</v>
      </c>
      <c r="F65" s="21" t="s">
        <v>252</v>
      </c>
      <c r="G65" s="4" t="s">
        <v>856</v>
      </c>
      <c r="H65" s="4" t="s">
        <v>542</v>
      </c>
      <c r="I65" s="4" t="s">
        <v>858</v>
      </c>
      <c r="J65" s="4" t="s">
        <v>556</v>
      </c>
      <c r="K65" s="4"/>
      <c r="L65" s="4"/>
      <c r="M65" s="4" t="s">
        <v>857</v>
      </c>
      <c r="N65" s="4" t="s">
        <v>859</v>
      </c>
      <c r="O65" s="4" t="s">
        <v>860</v>
      </c>
      <c r="P65" s="4">
        <v>503166</v>
      </c>
      <c r="Q65" s="4">
        <v>4716903</v>
      </c>
      <c r="R65" s="91">
        <f t="shared" si="8"/>
        <v>1.5</v>
      </c>
      <c r="S65" s="35">
        <v>1.5</v>
      </c>
      <c r="T65" s="5"/>
      <c r="U65" s="6"/>
      <c r="V65" s="4"/>
      <c r="W65" s="20"/>
      <c r="X65" s="4"/>
      <c r="Y65" s="20"/>
      <c r="Z65" s="4"/>
      <c r="AA65" s="20"/>
      <c r="AB65" s="4"/>
      <c r="AC65" s="20"/>
      <c r="AD65" s="4"/>
      <c r="AE65" s="20"/>
      <c r="AF65" s="19"/>
      <c r="AG65" s="8"/>
      <c r="AH65" s="17"/>
      <c r="AI65" s="37"/>
      <c r="AJ65" s="18"/>
      <c r="AK65" s="21"/>
      <c r="AL65" s="21"/>
      <c r="AM65" s="36"/>
      <c r="AN65" s="173" t="s">
        <v>516</v>
      </c>
      <c r="AO65" s="173" t="s">
        <v>231</v>
      </c>
      <c r="AP65" s="173" t="s">
        <v>206</v>
      </c>
      <c r="AQ65" s="173" t="s">
        <v>231</v>
      </c>
      <c r="AR65" s="173" t="s">
        <v>231</v>
      </c>
      <c r="AS65" s="173" t="s">
        <v>231</v>
      </c>
      <c r="AT65" s="173" t="s">
        <v>206</v>
      </c>
      <c r="AU65" s="173" t="s">
        <v>236</v>
      </c>
      <c r="AV65" s="4" t="s">
        <v>236</v>
      </c>
      <c r="AW65" s="4" t="str">
        <f t="shared" si="6"/>
        <v>B</v>
      </c>
      <c r="AX65" s="45" t="str">
        <f t="shared" si="9"/>
        <v/>
      </c>
    </row>
    <row r="66" spans="1:50" ht="15" customHeight="1" x14ac:dyDescent="0.25">
      <c r="A66" s="46">
        <v>45840</v>
      </c>
      <c r="B66" s="21" t="s">
        <v>416</v>
      </c>
      <c r="C66" s="21" t="s">
        <v>26</v>
      </c>
      <c r="D66" s="21" t="s">
        <v>26</v>
      </c>
      <c r="E66" s="21">
        <v>654</v>
      </c>
      <c r="F66" s="21" t="s">
        <v>456</v>
      </c>
      <c r="G66" s="4" t="s">
        <v>862</v>
      </c>
      <c r="H66" s="4" t="s">
        <v>863</v>
      </c>
      <c r="I66" s="4"/>
      <c r="J66" s="4" t="s">
        <v>556</v>
      </c>
      <c r="K66" s="4"/>
      <c r="L66" s="4"/>
      <c r="M66" s="4" t="s">
        <v>864</v>
      </c>
      <c r="N66" s="4" t="s">
        <v>865</v>
      </c>
      <c r="O66" s="4" t="s">
        <v>866</v>
      </c>
      <c r="P66" s="91"/>
      <c r="Q66" s="91"/>
      <c r="R66" s="91">
        <f t="shared" si="8"/>
        <v>0.1</v>
      </c>
      <c r="S66" s="35"/>
      <c r="T66" s="5">
        <v>0.1</v>
      </c>
      <c r="U66" s="6"/>
      <c r="V66" s="4"/>
      <c r="W66" s="20"/>
      <c r="X66" s="4"/>
      <c r="Y66" s="20"/>
      <c r="Z66" s="4"/>
      <c r="AA66" s="20"/>
      <c r="AB66" s="4"/>
      <c r="AC66" s="20"/>
      <c r="AD66" s="4"/>
      <c r="AE66" s="20"/>
      <c r="AF66" s="19"/>
      <c r="AG66" s="8"/>
      <c r="AH66" s="17"/>
      <c r="AI66" s="37"/>
      <c r="AJ66" s="18"/>
      <c r="AK66" s="21"/>
      <c r="AL66" s="21"/>
      <c r="AM66" s="36"/>
      <c r="AN66" s="173" t="s">
        <v>235</v>
      </c>
      <c r="AO66" s="173" t="s">
        <v>231</v>
      </c>
      <c r="AP66" s="173" t="s">
        <v>231</v>
      </c>
      <c r="AQ66" s="173" t="s">
        <v>231</v>
      </c>
      <c r="AR66" s="173" t="s">
        <v>231</v>
      </c>
      <c r="AS66" s="173" t="s">
        <v>231</v>
      </c>
      <c r="AT66" s="173" t="s">
        <v>231</v>
      </c>
      <c r="AU66" s="173" t="s">
        <v>236</v>
      </c>
      <c r="AV66" s="4" t="s">
        <v>236</v>
      </c>
      <c r="AW66" s="4" t="str">
        <f t="shared" si="6"/>
        <v>A</v>
      </c>
      <c r="AX66" s="45" t="str">
        <f t="shared" si="9"/>
        <v/>
      </c>
    </row>
    <row r="67" spans="1:50" ht="15" customHeight="1" x14ac:dyDescent="0.25">
      <c r="A67" s="46">
        <v>45840</v>
      </c>
      <c r="B67" s="46" t="s">
        <v>868</v>
      </c>
      <c r="C67" s="21" t="s">
        <v>25</v>
      </c>
      <c r="D67" s="21" t="s">
        <v>25</v>
      </c>
      <c r="E67" s="21">
        <v>657</v>
      </c>
      <c r="F67" s="21" t="s">
        <v>226</v>
      </c>
      <c r="G67" s="4" t="s">
        <v>867</v>
      </c>
      <c r="H67" s="4" t="s">
        <v>832</v>
      </c>
      <c r="I67" s="4"/>
      <c r="J67" s="4" t="s">
        <v>229</v>
      </c>
      <c r="K67" s="4" t="s">
        <v>317</v>
      </c>
      <c r="L67" s="4" t="s">
        <v>87</v>
      </c>
      <c r="M67" s="4" t="s">
        <v>478</v>
      </c>
      <c r="N67" s="4" t="s">
        <v>887</v>
      </c>
      <c r="O67" s="4" t="s">
        <v>888</v>
      </c>
      <c r="P67" s="4">
        <v>530796</v>
      </c>
      <c r="Q67" s="4">
        <v>4852669</v>
      </c>
      <c r="R67" s="91">
        <f t="shared" si="8"/>
        <v>7</v>
      </c>
      <c r="S67" s="35">
        <v>7</v>
      </c>
      <c r="T67" s="5"/>
      <c r="U67" s="6"/>
      <c r="V67" s="4"/>
      <c r="W67" s="20"/>
      <c r="X67" s="4"/>
      <c r="Y67" s="20"/>
      <c r="Z67" s="4"/>
      <c r="AA67" s="20"/>
      <c r="AB67" s="4"/>
      <c r="AC67" s="20"/>
      <c r="AD67" s="4"/>
      <c r="AE67" s="20"/>
      <c r="AF67" s="19"/>
      <c r="AG67" s="8"/>
      <c r="AH67" s="17"/>
      <c r="AI67" s="37"/>
      <c r="AJ67" s="18"/>
      <c r="AK67" s="21"/>
      <c r="AL67" s="21"/>
      <c r="AM67" s="36"/>
      <c r="AN67" s="173" t="s">
        <v>235</v>
      </c>
      <c r="AO67" s="173" t="s">
        <v>231</v>
      </c>
      <c r="AP67" s="173" t="s">
        <v>231</v>
      </c>
      <c r="AQ67" s="173" t="s">
        <v>231</v>
      </c>
      <c r="AR67" s="173" t="s">
        <v>231</v>
      </c>
      <c r="AS67" s="173" t="s">
        <v>206</v>
      </c>
      <c r="AT67" s="173" t="s">
        <v>231</v>
      </c>
      <c r="AU67" s="173" t="s">
        <v>236</v>
      </c>
      <c r="AV67" s="4" t="s">
        <v>236</v>
      </c>
      <c r="AW67" s="4" t="str">
        <f t="shared" si="6"/>
        <v>B</v>
      </c>
      <c r="AX67" s="45" t="str">
        <f t="shared" si="9"/>
        <v/>
      </c>
    </row>
    <row r="68" spans="1:50" ht="15" customHeight="1" x14ac:dyDescent="0.25">
      <c r="A68" s="46">
        <v>45841</v>
      </c>
      <c r="B68" s="46" t="s">
        <v>885</v>
      </c>
      <c r="C68" s="46" t="s">
        <v>25</v>
      </c>
      <c r="D68" s="21" t="s">
        <v>620</v>
      </c>
      <c r="E68" s="47">
        <v>663</v>
      </c>
      <c r="F68" s="21" t="s">
        <v>226</v>
      </c>
      <c r="G68" s="4" t="s">
        <v>884</v>
      </c>
      <c r="H68" s="4" t="s">
        <v>795</v>
      </c>
      <c r="I68" s="4" t="s">
        <v>886</v>
      </c>
      <c r="J68" s="4" t="s">
        <v>229</v>
      </c>
      <c r="K68" s="4" t="s">
        <v>242</v>
      </c>
      <c r="L68" s="4" t="s">
        <v>393</v>
      </c>
      <c r="M68" s="4" t="s">
        <v>513</v>
      </c>
      <c r="N68" s="4" t="s">
        <v>889</v>
      </c>
      <c r="O68" s="4" t="s">
        <v>890</v>
      </c>
      <c r="P68" s="4">
        <v>594682</v>
      </c>
      <c r="Q68" s="4">
        <v>4787070</v>
      </c>
      <c r="R68" s="91">
        <f t="shared" si="8"/>
        <v>0.1</v>
      </c>
      <c r="S68" s="35"/>
      <c r="T68" s="5"/>
      <c r="U68" s="6"/>
      <c r="V68" s="4"/>
      <c r="W68" s="20"/>
      <c r="X68" s="4"/>
      <c r="Y68" s="20"/>
      <c r="Z68" s="4"/>
      <c r="AA68" s="20"/>
      <c r="AB68" s="4"/>
      <c r="AC68" s="20"/>
      <c r="AD68" s="4"/>
      <c r="AE68" s="20"/>
      <c r="AF68" s="19"/>
      <c r="AG68" s="8"/>
      <c r="AH68" s="17"/>
      <c r="AI68" s="37">
        <v>0.1</v>
      </c>
      <c r="AJ68" s="18"/>
      <c r="AK68" s="21"/>
      <c r="AL68" s="21"/>
      <c r="AM68" s="36"/>
      <c r="AN68" s="4" t="s">
        <v>235</v>
      </c>
      <c r="AO68" s="4" t="s">
        <v>231</v>
      </c>
      <c r="AP68" s="4" t="s">
        <v>231</v>
      </c>
      <c r="AQ68" s="4" t="s">
        <v>231</v>
      </c>
      <c r="AR68" s="4" t="s">
        <v>231</v>
      </c>
      <c r="AS68" s="4" t="s">
        <v>231</v>
      </c>
      <c r="AT68" s="4" t="s">
        <v>231</v>
      </c>
      <c r="AU68" s="4" t="s">
        <v>236</v>
      </c>
      <c r="AV68" s="4" t="s">
        <v>236</v>
      </c>
      <c r="AW68" s="4" t="str">
        <f t="shared" si="6"/>
        <v>A</v>
      </c>
      <c r="AX68" s="45" t="str">
        <f t="shared" si="9"/>
        <v/>
      </c>
    </row>
    <row r="69" spans="1:50" ht="15" customHeight="1" x14ac:dyDescent="0.25">
      <c r="A69" s="46">
        <v>45841</v>
      </c>
      <c r="B69" s="46" t="s">
        <v>896</v>
      </c>
      <c r="C69" s="46" t="s">
        <v>25</v>
      </c>
      <c r="D69" s="21" t="s">
        <v>25</v>
      </c>
      <c r="E69" s="47">
        <v>667</v>
      </c>
      <c r="F69" s="21" t="s">
        <v>269</v>
      </c>
      <c r="G69" s="4" t="s">
        <v>891</v>
      </c>
      <c r="H69" s="4" t="s">
        <v>533</v>
      </c>
      <c r="I69" s="4" t="s">
        <v>895</v>
      </c>
      <c r="J69" s="4" t="s">
        <v>229</v>
      </c>
      <c r="K69" s="4" t="s">
        <v>621</v>
      </c>
      <c r="L69" s="4"/>
      <c r="M69" s="4" t="s">
        <v>892</v>
      </c>
      <c r="N69" s="4" t="s">
        <v>893</v>
      </c>
      <c r="O69" s="4" t="s">
        <v>894</v>
      </c>
      <c r="P69" s="4">
        <v>584076</v>
      </c>
      <c r="Q69" s="4">
        <v>4771361</v>
      </c>
      <c r="R69" s="91">
        <f t="shared" si="8"/>
        <v>0.1</v>
      </c>
      <c r="S69" s="35">
        <v>0.1</v>
      </c>
      <c r="T69" s="5"/>
      <c r="U69" s="6"/>
      <c r="V69" s="4"/>
      <c r="W69" s="20"/>
      <c r="X69" s="4"/>
      <c r="Y69" s="20"/>
      <c r="Z69" s="4"/>
      <c r="AA69" s="20"/>
      <c r="AB69" s="4"/>
      <c r="AC69" s="20"/>
      <c r="AD69" s="4"/>
      <c r="AE69" s="20"/>
      <c r="AF69" s="19"/>
      <c r="AG69" s="8"/>
      <c r="AH69" s="17"/>
      <c r="AI69" s="37"/>
      <c r="AJ69" s="18"/>
      <c r="AK69" s="21"/>
      <c r="AL69" s="21"/>
      <c r="AM69" s="36"/>
      <c r="AN69" s="173" t="s">
        <v>235</v>
      </c>
      <c r="AO69" s="173" t="s">
        <v>231</v>
      </c>
      <c r="AP69" s="173" t="s">
        <v>231</v>
      </c>
      <c r="AQ69" s="173" t="s">
        <v>231</v>
      </c>
      <c r="AR69" s="173" t="s">
        <v>231</v>
      </c>
      <c r="AS69" s="173" t="s">
        <v>231</v>
      </c>
      <c r="AT69" s="173" t="s">
        <v>231</v>
      </c>
      <c r="AU69" s="173" t="s">
        <v>236</v>
      </c>
      <c r="AV69" s="4" t="s">
        <v>236</v>
      </c>
      <c r="AW69" s="4" t="str">
        <f t="shared" si="6"/>
        <v>A</v>
      </c>
      <c r="AX69" s="45" t="str">
        <f t="shared" si="9"/>
        <v/>
      </c>
    </row>
    <row r="70" spans="1:50" ht="15" customHeight="1" x14ac:dyDescent="0.25">
      <c r="A70" s="46">
        <v>45842</v>
      </c>
      <c r="B70" s="46" t="s">
        <v>416</v>
      </c>
      <c r="C70" s="46" t="s">
        <v>26</v>
      </c>
      <c r="D70" s="21" t="s">
        <v>26</v>
      </c>
      <c r="E70" s="47">
        <v>715</v>
      </c>
      <c r="F70" s="21" t="s">
        <v>327</v>
      </c>
      <c r="G70" s="4" t="s">
        <v>927</v>
      </c>
      <c r="H70" s="4" t="s">
        <v>929</v>
      </c>
      <c r="I70" s="4" t="s">
        <v>930</v>
      </c>
      <c r="J70" s="4" t="s">
        <v>556</v>
      </c>
      <c r="K70" s="4"/>
      <c r="L70" s="4"/>
      <c r="M70" s="4" t="s">
        <v>931</v>
      </c>
      <c r="N70" s="4" t="s">
        <v>932</v>
      </c>
      <c r="O70" s="4" t="s">
        <v>933</v>
      </c>
      <c r="P70" s="91"/>
      <c r="Q70" s="91"/>
      <c r="R70" s="91">
        <f t="shared" ref="R70:R121" si="11">SUM(S70:AJ70)</f>
        <v>0.1</v>
      </c>
      <c r="S70" s="35"/>
      <c r="T70" s="5">
        <v>0.1</v>
      </c>
      <c r="U70" s="6"/>
      <c r="V70" s="4"/>
      <c r="W70" s="20"/>
      <c r="X70" s="4"/>
      <c r="Y70" s="20"/>
      <c r="Z70" s="4"/>
      <c r="AA70" s="20"/>
      <c r="AB70" s="4"/>
      <c r="AC70" s="20"/>
      <c r="AD70" s="4"/>
      <c r="AE70" s="20"/>
      <c r="AF70" s="19"/>
      <c r="AG70" s="8"/>
      <c r="AH70" s="17"/>
      <c r="AI70" s="37"/>
      <c r="AJ70" s="18"/>
      <c r="AK70" s="21"/>
      <c r="AL70" s="21"/>
      <c r="AM70" s="36"/>
      <c r="AN70" s="4" t="s">
        <v>928</v>
      </c>
      <c r="AO70" s="4" t="s">
        <v>231</v>
      </c>
      <c r="AP70" s="4" t="s">
        <v>231</v>
      </c>
      <c r="AQ70" s="4" t="s">
        <v>231</v>
      </c>
      <c r="AR70" s="4" t="s">
        <v>231</v>
      </c>
      <c r="AS70" s="4" t="s">
        <v>231</v>
      </c>
      <c r="AT70" s="4" t="s">
        <v>231</v>
      </c>
      <c r="AU70" s="4" t="s">
        <v>236</v>
      </c>
      <c r="AV70" s="4" t="s">
        <v>236</v>
      </c>
      <c r="AW70" s="4" t="str">
        <f t="shared" si="6"/>
        <v>A</v>
      </c>
      <c r="AX70" s="45" t="str">
        <f t="shared" si="9"/>
        <v/>
      </c>
    </row>
    <row r="71" spans="1:50" ht="15" customHeight="1" x14ac:dyDescent="0.25">
      <c r="A71" s="46">
        <v>45842</v>
      </c>
      <c r="B71" s="46" t="s">
        <v>935</v>
      </c>
      <c r="C71" s="46" t="s">
        <v>25</v>
      </c>
      <c r="D71" s="21" t="s">
        <v>25</v>
      </c>
      <c r="E71" s="47">
        <v>716</v>
      </c>
      <c r="F71" s="21" t="s">
        <v>226</v>
      </c>
      <c r="G71" s="4" t="s">
        <v>934</v>
      </c>
      <c r="H71" s="4" t="s">
        <v>811</v>
      </c>
      <c r="I71" s="4"/>
      <c r="J71" s="4" t="s">
        <v>229</v>
      </c>
      <c r="K71" s="4" t="s">
        <v>279</v>
      </c>
      <c r="L71" s="4" t="s">
        <v>765</v>
      </c>
      <c r="M71" s="4" t="s">
        <v>539</v>
      </c>
      <c r="N71" s="4" t="s">
        <v>936</v>
      </c>
      <c r="O71" s="4" t="s">
        <v>937</v>
      </c>
      <c r="P71" s="4">
        <v>570548</v>
      </c>
      <c r="Q71" s="4">
        <v>4831103</v>
      </c>
      <c r="R71" s="91">
        <f t="shared" si="11"/>
        <v>1.1000000000000001</v>
      </c>
      <c r="S71" s="35">
        <v>1.1000000000000001</v>
      </c>
      <c r="T71" s="5"/>
      <c r="U71" s="6"/>
      <c r="V71" s="4"/>
      <c r="W71" s="20"/>
      <c r="X71" s="4"/>
      <c r="Y71" s="20"/>
      <c r="Z71" s="4"/>
      <c r="AA71" s="20"/>
      <c r="AB71" s="4"/>
      <c r="AC71" s="20"/>
      <c r="AD71" s="4"/>
      <c r="AE71" s="20"/>
      <c r="AF71" s="19"/>
      <c r="AG71" s="8"/>
      <c r="AH71" s="17"/>
      <c r="AI71" s="37"/>
      <c r="AJ71" s="18"/>
      <c r="AK71" s="21"/>
      <c r="AL71" s="21"/>
      <c r="AM71" s="36"/>
      <c r="AN71" s="4" t="s">
        <v>928</v>
      </c>
      <c r="AO71" s="4" t="s">
        <v>231</v>
      </c>
      <c r="AP71" s="4" t="s">
        <v>231</v>
      </c>
      <c r="AQ71" s="4" t="s">
        <v>231</v>
      </c>
      <c r="AR71" s="4" t="s">
        <v>231</v>
      </c>
      <c r="AS71" s="4" t="s">
        <v>206</v>
      </c>
      <c r="AT71" s="4" t="s">
        <v>231</v>
      </c>
      <c r="AU71" s="4" t="s">
        <v>236</v>
      </c>
      <c r="AV71" s="4" t="s">
        <v>236</v>
      </c>
      <c r="AW71" s="4" t="str">
        <f t="shared" si="6"/>
        <v>B</v>
      </c>
      <c r="AX71" s="45" t="str">
        <f t="shared" si="9"/>
        <v/>
      </c>
    </row>
    <row r="72" spans="1:50" ht="15" customHeight="1" x14ac:dyDescent="0.25">
      <c r="A72" s="46">
        <v>45843</v>
      </c>
      <c r="B72" s="46" t="s">
        <v>941</v>
      </c>
      <c r="C72" s="46" t="s">
        <v>28</v>
      </c>
      <c r="D72" s="21" t="s">
        <v>82</v>
      </c>
      <c r="E72" s="47">
        <v>720</v>
      </c>
      <c r="F72" s="21" t="s">
        <v>252</v>
      </c>
      <c r="G72" s="4" t="s">
        <v>938</v>
      </c>
      <c r="H72" s="4" t="s">
        <v>471</v>
      </c>
      <c r="I72" s="4" t="s">
        <v>939</v>
      </c>
      <c r="J72" s="4" t="s">
        <v>229</v>
      </c>
      <c r="K72" s="4" t="s">
        <v>317</v>
      </c>
      <c r="L72" s="4" t="s">
        <v>87</v>
      </c>
      <c r="M72" s="4" t="s">
        <v>940</v>
      </c>
      <c r="N72" s="4" t="s">
        <v>942</v>
      </c>
      <c r="O72" s="4" t="s">
        <v>943</v>
      </c>
      <c r="P72" s="4">
        <v>512717</v>
      </c>
      <c r="Q72" s="4">
        <v>4813549</v>
      </c>
      <c r="R72" s="91">
        <f t="shared" si="11"/>
        <v>1</v>
      </c>
      <c r="S72" s="35"/>
      <c r="T72" s="5"/>
      <c r="U72" s="6"/>
      <c r="V72" s="4"/>
      <c r="W72" s="20"/>
      <c r="X72" s="4"/>
      <c r="Y72" s="20"/>
      <c r="Z72" s="4"/>
      <c r="AA72" s="20"/>
      <c r="AB72" s="4"/>
      <c r="AC72" s="20"/>
      <c r="AD72" s="4"/>
      <c r="AE72" s="20">
        <v>1</v>
      </c>
      <c r="AF72" s="19"/>
      <c r="AG72" s="8"/>
      <c r="AH72" s="17"/>
      <c r="AI72" s="37"/>
      <c r="AJ72" s="18"/>
      <c r="AK72" s="21" t="s">
        <v>218</v>
      </c>
      <c r="AL72" s="21"/>
      <c r="AM72" s="36"/>
      <c r="AN72" s="4" t="s">
        <v>235</v>
      </c>
      <c r="AO72" s="4" t="s">
        <v>231</v>
      </c>
      <c r="AP72" s="4" t="s">
        <v>206</v>
      </c>
      <c r="AQ72" s="4" t="s">
        <v>231</v>
      </c>
      <c r="AR72" s="4" t="s">
        <v>231</v>
      </c>
      <c r="AS72" s="4" t="s">
        <v>206</v>
      </c>
      <c r="AT72" s="4" t="s">
        <v>206</v>
      </c>
      <c r="AU72" s="4" t="s">
        <v>236</v>
      </c>
      <c r="AV72" s="4" t="s">
        <v>236</v>
      </c>
      <c r="AW72" s="4" t="str">
        <f t="shared" si="6"/>
        <v>B</v>
      </c>
      <c r="AX72" s="45" t="str">
        <f t="shared" si="9"/>
        <v/>
      </c>
    </row>
    <row r="73" spans="1:50" ht="15" customHeight="1" x14ac:dyDescent="0.25">
      <c r="A73" s="46">
        <v>45843</v>
      </c>
      <c r="B73" s="46" t="s">
        <v>946</v>
      </c>
      <c r="C73" s="46" t="s">
        <v>25</v>
      </c>
      <c r="D73" s="21" t="s">
        <v>66</v>
      </c>
      <c r="E73" s="47">
        <v>721</v>
      </c>
      <c r="F73" s="21" t="s">
        <v>226</v>
      </c>
      <c r="G73" s="4" t="s">
        <v>945</v>
      </c>
      <c r="H73" s="4" t="s">
        <v>947</v>
      </c>
      <c r="I73" s="4" t="s">
        <v>948</v>
      </c>
      <c r="J73" s="4" t="s">
        <v>229</v>
      </c>
      <c r="K73" s="4" t="s">
        <v>279</v>
      </c>
      <c r="L73" s="4" t="s">
        <v>765</v>
      </c>
      <c r="M73" s="4" t="s">
        <v>944</v>
      </c>
      <c r="N73" s="4" t="s">
        <v>956</v>
      </c>
      <c r="O73" s="4" t="s">
        <v>957</v>
      </c>
      <c r="P73" s="4">
        <v>528974</v>
      </c>
      <c r="Q73" s="4">
        <v>4821545</v>
      </c>
      <c r="R73" s="91">
        <f t="shared" si="11"/>
        <v>0.1</v>
      </c>
      <c r="S73" s="35"/>
      <c r="T73" s="5"/>
      <c r="U73" s="6"/>
      <c r="V73" s="4"/>
      <c r="W73" s="20"/>
      <c r="X73" s="4"/>
      <c r="Y73" s="20"/>
      <c r="Z73" s="4"/>
      <c r="AA73" s="20"/>
      <c r="AB73" s="4"/>
      <c r="AC73" s="20"/>
      <c r="AD73" s="4"/>
      <c r="AE73" s="20"/>
      <c r="AF73" s="19">
        <v>0.1</v>
      </c>
      <c r="AG73" s="8"/>
      <c r="AH73" s="17"/>
      <c r="AI73" s="37"/>
      <c r="AJ73" s="18"/>
      <c r="AK73" s="21"/>
      <c r="AL73" s="21"/>
      <c r="AM73" s="36"/>
      <c r="AN73" s="4" t="s">
        <v>235</v>
      </c>
      <c r="AO73" s="4" t="s">
        <v>206</v>
      </c>
      <c r="AP73" s="4" t="s">
        <v>231</v>
      </c>
      <c r="AQ73" s="4" t="s">
        <v>231</v>
      </c>
      <c r="AR73" s="4" t="s">
        <v>231</v>
      </c>
      <c r="AS73" s="4" t="s">
        <v>206</v>
      </c>
      <c r="AT73" s="4" t="s">
        <v>231</v>
      </c>
      <c r="AU73" s="4" t="s">
        <v>236</v>
      </c>
      <c r="AV73" s="4" t="s">
        <v>236</v>
      </c>
      <c r="AW73" s="4" t="str">
        <f t="shared" ref="AW73:AW121" si="12">IF(R73&gt;4999.9,"G",IF(R73&gt;999.9,"F",IF(R73&gt;299.9,"E",IF(R73&gt;99.9,"D",IF(R73&gt;9.9,"C",IF(R73&gt;0.25,"B",IF(R73&gt;0,"A","")))))))</f>
        <v>A</v>
      </c>
      <c r="AX73" s="45" t="str">
        <f t="shared" si="9"/>
        <v/>
      </c>
    </row>
    <row r="74" spans="1:50" ht="15" customHeight="1" x14ac:dyDescent="0.25">
      <c r="A74" s="46">
        <v>45843</v>
      </c>
      <c r="B74" s="46" t="s">
        <v>950</v>
      </c>
      <c r="C74" s="46" t="s">
        <v>25</v>
      </c>
      <c r="D74" s="21" t="s">
        <v>25</v>
      </c>
      <c r="E74" s="47">
        <v>723</v>
      </c>
      <c r="F74" s="21" t="s">
        <v>269</v>
      </c>
      <c r="G74" s="4" t="s">
        <v>949</v>
      </c>
      <c r="H74" s="4" t="s">
        <v>471</v>
      </c>
      <c r="I74" s="4" t="s">
        <v>939</v>
      </c>
      <c r="J74" s="4" t="s">
        <v>229</v>
      </c>
      <c r="K74" s="4" t="s">
        <v>317</v>
      </c>
      <c r="L74" s="4" t="s">
        <v>87</v>
      </c>
      <c r="M74" s="4" t="s">
        <v>318</v>
      </c>
      <c r="N74" s="4" t="s">
        <v>954</v>
      </c>
      <c r="O74" s="4" t="s">
        <v>955</v>
      </c>
      <c r="P74" s="4">
        <v>561364</v>
      </c>
      <c r="Q74" s="4">
        <v>4799318</v>
      </c>
      <c r="R74" s="91">
        <f t="shared" si="11"/>
        <v>0.5</v>
      </c>
      <c r="S74" s="35">
        <v>0.5</v>
      </c>
      <c r="T74" s="5"/>
      <c r="U74" s="6"/>
      <c r="V74" s="4"/>
      <c r="W74" s="20"/>
      <c r="X74" s="4"/>
      <c r="Y74" s="20"/>
      <c r="Z74" s="4"/>
      <c r="AA74" s="20"/>
      <c r="AB74" s="4"/>
      <c r="AC74" s="20"/>
      <c r="AD74" s="4"/>
      <c r="AE74" s="20"/>
      <c r="AF74" s="19"/>
      <c r="AG74" s="8"/>
      <c r="AH74" s="17"/>
      <c r="AI74" s="37"/>
      <c r="AJ74" s="18"/>
      <c r="AK74" s="21"/>
      <c r="AL74" s="21"/>
      <c r="AM74" s="36"/>
      <c r="AN74" s="4" t="s">
        <v>235</v>
      </c>
      <c r="AO74" s="4" t="s">
        <v>231</v>
      </c>
      <c r="AP74" s="4" t="s">
        <v>231</v>
      </c>
      <c r="AQ74" s="4" t="s">
        <v>231</v>
      </c>
      <c r="AR74" s="4" t="s">
        <v>231</v>
      </c>
      <c r="AS74" s="4" t="s">
        <v>231</v>
      </c>
      <c r="AT74" s="4" t="s">
        <v>231</v>
      </c>
      <c r="AU74" s="4" t="s">
        <v>236</v>
      </c>
      <c r="AV74" s="4" t="s">
        <v>236</v>
      </c>
      <c r="AW74" s="4" t="str">
        <f t="shared" si="12"/>
        <v>B</v>
      </c>
      <c r="AX74" s="45" t="str">
        <f t="shared" si="9"/>
        <v/>
      </c>
    </row>
    <row r="75" spans="1:50" ht="15" customHeight="1" x14ac:dyDescent="0.25">
      <c r="A75" s="46">
        <v>45843</v>
      </c>
      <c r="B75" s="46" t="s">
        <v>953</v>
      </c>
      <c r="C75" s="46" t="s">
        <v>28</v>
      </c>
      <c r="D75" s="21" t="s">
        <v>79</v>
      </c>
      <c r="E75" s="47">
        <v>724</v>
      </c>
      <c r="F75" s="21" t="s">
        <v>28</v>
      </c>
      <c r="G75" s="4" t="s">
        <v>951</v>
      </c>
      <c r="H75" s="4" t="s">
        <v>248</v>
      </c>
      <c r="I75" s="4"/>
      <c r="J75" s="4" t="s">
        <v>556</v>
      </c>
      <c r="K75" s="4"/>
      <c r="L75" s="4"/>
      <c r="M75" s="4" t="s">
        <v>952</v>
      </c>
      <c r="N75" s="4" t="s">
        <v>958</v>
      </c>
      <c r="O75" s="4" t="s">
        <v>959</v>
      </c>
      <c r="P75" s="91"/>
      <c r="Q75" s="91"/>
      <c r="R75" s="91">
        <f t="shared" si="11"/>
        <v>3</v>
      </c>
      <c r="S75" s="35"/>
      <c r="T75" s="5"/>
      <c r="U75" s="6"/>
      <c r="V75" s="4"/>
      <c r="W75" s="20"/>
      <c r="X75" s="4"/>
      <c r="Y75" s="20"/>
      <c r="Z75" s="4"/>
      <c r="AA75" s="20"/>
      <c r="AB75" s="4">
        <v>3</v>
      </c>
      <c r="AC75" s="20"/>
      <c r="AD75" s="4"/>
      <c r="AE75" s="20"/>
      <c r="AF75" s="19"/>
      <c r="AG75" s="8"/>
      <c r="AH75" s="17"/>
      <c r="AI75" s="37"/>
      <c r="AJ75" s="18"/>
      <c r="AK75" s="21"/>
      <c r="AL75" s="21" t="s">
        <v>218</v>
      </c>
      <c r="AM75" s="36"/>
      <c r="AN75" s="21" t="s">
        <v>235</v>
      </c>
      <c r="AO75" s="21" t="s">
        <v>231</v>
      </c>
      <c r="AP75" s="21" t="s">
        <v>231</v>
      </c>
      <c r="AQ75" s="21" t="s">
        <v>231</v>
      </c>
      <c r="AR75" s="21" t="s">
        <v>231</v>
      </c>
      <c r="AS75" s="21" t="s">
        <v>231</v>
      </c>
      <c r="AT75" s="21" t="s">
        <v>231</v>
      </c>
      <c r="AU75" s="21" t="s">
        <v>236</v>
      </c>
      <c r="AV75" s="21" t="s">
        <v>236</v>
      </c>
      <c r="AW75" s="4" t="str">
        <f t="shared" si="12"/>
        <v>B</v>
      </c>
      <c r="AX75" s="45" t="str">
        <f t="shared" si="9"/>
        <v/>
      </c>
    </row>
    <row r="76" spans="1:50" ht="15" customHeight="1" x14ac:dyDescent="0.25">
      <c r="A76" s="46">
        <v>45844</v>
      </c>
      <c r="B76" s="46" t="s">
        <v>416</v>
      </c>
      <c r="C76" s="46" t="s">
        <v>26</v>
      </c>
      <c r="D76" s="21" t="s">
        <v>26</v>
      </c>
      <c r="E76" s="47">
        <v>732</v>
      </c>
      <c r="F76" s="21" t="s">
        <v>412</v>
      </c>
      <c r="G76" s="4" t="s">
        <v>960</v>
      </c>
      <c r="H76" s="4" t="s">
        <v>962</v>
      </c>
      <c r="I76" s="4" t="s">
        <v>963</v>
      </c>
      <c r="J76" s="4" t="s">
        <v>556</v>
      </c>
      <c r="K76" s="4"/>
      <c r="L76" s="4"/>
      <c r="M76" s="4" t="s">
        <v>966</v>
      </c>
      <c r="N76" s="4" t="s">
        <v>964</v>
      </c>
      <c r="O76" s="4" t="s">
        <v>965</v>
      </c>
      <c r="P76" s="91"/>
      <c r="Q76" s="91"/>
      <c r="R76" s="91">
        <f t="shared" si="11"/>
        <v>0.6</v>
      </c>
      <c r="S76" s="35"/>
      <c r="T76" s="5">
        <v>0.6</v>
      </c>
      <c r="U76" s="6"/>
      <c r="V76" s="4"/>
      <c r="W76" s="20"/>
      <c r="X76" s="4"/>
      <c r="Y76" s="20"/>
      <c r="Z76" s="4"/>
      <c r="AA76" s="20"/>
      <c r="AB76" s="4"/>
      <c r="AC76" s="20"/>
      <c r="AD76" s="4"/>
      <c r="AE76" s="20"/>
      <c r="AF76" s="19"/>
      <c r="AG76" s="8"/>
      <c r="AH76" s="17"/>
      <c r="AI76" s="37"/>
      <c r="AJ76" s="18"/>
      <c r="AK76" s="21"/>
      <c r="AL76" s="21"/>
      <c r="AM76" s="36"/>
      <c r="AN76" s="21" t="s">
        <v>516</v>
      </c>
      <c r="AO76" s="21" t="s">
        <v>231</v>
      </c>
      <c r="AP76" s="21" t="s">
        <v>231</v>
      </c>
      <c r="AQ76" s="21" t="s">
        <v>231</v>
      </c>
      <c r="AR76" s="21" t="s">
        <v>231</v>
      </c>
      <c r="AS76" s="21" t="s">
        <v>231</v>
      </c>
      <c r="AT76" s="21" t="s">
        <v>231</v>
      </c>
      <c r="AU76" s="21" t="s">
        <v>236</v>
      </c>
      <c r="AV76" s="21" t="s">
        <v>236</v>
      </c>
      <c r="AW76" s="4" t="str">
        <f t="shared" si="12"/>
        <v>B</v>
      </c>
      <c r="AX76" s="45" t="str">
        <f t="shared" si="9"/>
        <v/>
      </c>
    </row>
    <row r="77" spans="1:50" ht="15" customHeight="1" x14ac:dyDescent="0.25">
      <c r="A77" s="46">
        <v>45844</v>
      </c>
      <c r="B77" s="46" t="s">
        <v>961</v>
      </c>
      <c r="C77" s="46" t="s">
        <v>25</v>
      </c>
      <c r="D77" s="21" t="s">
        <v>25</v>
      </c>
      <c r="E77" s="47">
        <v>733</v>
      </c>
      <c r="F77" s="21" t="s">
        <v>269</v>
      </c>
      <c r="G77" s="4" t="s">
        <v>972</v>
      </c>
      <c r="H77" s="4" t="s">
        <v>494</v>
      </c>
      <c r="I77" s="4" t="s">
        <v>615</v>
      </c>
      <c r="J77" s="4" t="s">
        <v>229</v>
      </c>
      <c r="K77" s="4" t="s">
        <v>317</v>
      </c>
      <c r="L77" s="4" t="s">
        <v>87</v>
      </c>
      <c r="M77" s="4" t="s">
        <v>318</v>
      </c>
      <c r="N77" s="4" t="s">
        <v>967</v>
      </c>
      <c r="O77" s="4" t="s">
        <v>968</v>
      </c>
      <c r="P77" s="4">
        <v>561442</v>
      </c>
      <c r="Q77" s="4">
        <v>4799350</v>
      </c>
      <c r="R77" s="91">
        <f t="shared" si="11"/>
        <v>0.1</v>
      </c>
      <c r="S77" s="35">
        <v>0.1</v>
      </c>
      <c r="T77" s="5"/>
      <c r="U77" s="6"/>
      <c r="V77" s="4"/>
      <c r="W77" s="20"/>
      <c r="X77" s="4"/>
      <c r="Y77" s="20"/>
      <c r="Z77" s="4"/>
      <c r="AA77" s="20"/>
      <c r="AB77" s="4"/>
      <c r="AC77" s="20"/>
      <c r="AD77" s="4"/>
      <c r="AE77" s="20"/>
      <c r="AF77" s="19"/>
      <c r="AG77" s="8"/>
      <c r="AH77" s="17"/>
      <c r="AI77" s="37"/>
      <c r="AJ77" s="18"/>
      <c r="AK77" s="21"/>
      <c r="AL77" s="21"/>
      <c r="AM77" s="36"/>
      <c r="AN77" s="21" t="s">
        <v>235</v>
      </c>
      <c r="AO77" s="21" t="s">
        <v>231</v>
      </c>
      <c r="AP77" s="21" t="s">
        <v>231</v>
      </c>
      <c r="AQ77" s="21" t="s">
        <v>231</v>
      </c>
      <c r="AR77" s="21" t="s">
        <v>231</v>
      </c>
      <c r="AS77" s="21" t="s">
        <v>231</v>
      </c>
      <c r="AT77" s="21" t="s">
        <v>231</v>
      </c>
      <c r="AU77" s="21" t="s">
        <v>236</v>
      </c>
      <c r="AV77" s="21" t="s">
        <v>236</v>
      </c>
      <c r="AW77" s="4" t="str">
        <f t="shared" si="12"/>
        <v>A</v>
      </c>
      <c r="AX77" s="45" t="str">
        <f t="shared" si="9"/>
        <v/>
      </c>
    </row>
    <row r="78" spans="1:50" ht="15" customHeight="1" x14ac:dyDescent="0.25">
      <c r="A78" s="46">
        <v>45847</v>
      </c>
      <c r="B78" s="46" t="s">
        <v>416</v>
      </c>
      <c r="C78" s="46" t="s">
        <v>26</v>
      </c>
      <c r="D78" s="21" t="s">
        <v>26</v>
      </c>
      <c r="E78" s="47">
        <v>743</v>
      </c>
      <c r="F78" s="21" t="s">
        <v>327</v>
      </c>
      <c r="G78" s="4" t="s">
        <v>973</v>
      </c>
      <c r="H78" s="4" t="s">
        <v>570</v>
      </c>
      <c r="I78" s="4" t="s">
        <v>963</v>
      </c>
      <c r="J78" s="4" t="s">
        <v>556</v>
      </c>
      <c r="K78" s="4"/>
      <c r="L78" s="4"/>
      <c r="M78" s="4" t="s">
        <v>974</v>
      </c>
      <c r="N78" s="4" t="s">
        <v>975</v>
      </c>
      <c r="O78" s="4" t="s">
        <v>976</v>
      </c>
      <c r="P78" s="91"/>
      <c r="Q78" s="91"/>
      <c r="R78" s="91">
        <f t="shared" si="11"/>
        <v>0.1</v>
      </c>
      <c r="S78" s="35"/>
      <c r="T78" s="5">
        <v>0.1</v>
      </c>
      <c r="U78" s="6"/>
      <c r="V78" s="4"/>
      <c r="W78" s="20"/>
      <c r="X78" s="4"/>
      <c r="Y78" s="20"/>
      <c r="Z78" s="4"/>
      <c r="AA78" s="20"/>
      <c r="AB78" s="4"/>
      <c r="AC78" s="20"/>
      <c r="AD78" s="4"/>
      <c r="AE78" s="20"/>
      <c r="AF78" s="19"/>
      <c r="AG78" s="8"/>
      <c r="AH78" s="17"/>
      <c r="AI78" s="37"/>
      <c r="AJ78" s="18"/>
      <c r="AK78" s="21"/>
      <c r="AL78" s="21"/>
      <c r="AM78" s="36"/>
      <c r="AN78" s="21" t="s">
        <v>27</v>
      </c>
      <c r="AO78" s="21" t="s">
        <v>231</v>
      </c>
      <c r="AP78" s="21" t="s">
        <v>231</v>
      </c>
      <c r="AQ78" s="21" t="s">
        <v>231</v>
      </c>
      <c r="AR78" s="21" t="s">
        <v>231</v>
      </c>
      <c r="AS78" s="21" t="s">
        <v>231</v>
      </c>
      <c r="AT78" s="21" t="s">
        <v>231</v>
      </c>
      <c r="AU78" s="21" t="s">
        <v>236</v>
      </c>
      <c r="AV78" s="21" t="s">
        <v>236</v>
      </c>
      <c r="AW78" s="4" t="str">
        <f t="shared" si="12"/>
        <v>A</v>
      </c>
      <c r="AX78" s="45" t="str">
        <f t="shared" si="9"/>
        <v/>
      </c>
    </row>
    <row r="79" spans="1:50" ht="15" customHeight="1" x14ac:dyDescent="0.25">
      <c r="A79" s="46">
        <v>45847</v>
      </c>
      <c r="B79" s="46" t="s">
        <v>986</v>
      </c>
      <c r="C79" s="46" t="s">
        <v>25</v>
      </c>
      <c r="D79" s="21" t="s">
        <v>25</v>
      </c>
      <c r="E79" s="47">
        <v>747</v>
      </c>
      <c r="F79" s="21" t="s">
        <v>269</v>
      </c>
      <c r="G79" s="4" t="s">
        <v>983</v>
      </c>
      <c r="H79" s="4" t="s">
        <v>795</v>
      </c>
      <c r="I79" s="4"/>
      <c r="J79" s="4" t="s">
        <v>229</v>
      </c>
      <c r="K79" s="4" t="s">
        <v>242</v>
      </c>
      <c r="L79" s="4" t="s">
        <v>393</v>
      </c>
      <c r="M79" s="4" t="s">
        <v>984</v>
      </c>
      <c r="N79" s="4" t="s">
        <v>985</v>
      </c>
      <c r="O79" s="4" t="s">
        <v>251</v>
      </c>
      <c r="P79" s="4">
        <v>578623</v>
      </c>
      <c r="Q79" s="4">
        <v>4765131</v>
      </c>
      <c r="R79" s="91">
        <f t="shared" si="11"/>
        <v>231.3</v>
      </c>
      <c r="S79" s="35">
        <v>230.4</v>
      </c>
      <c r="T79" s="5"/>
      <c r="U79" s="6"/>
      <c r="V79" s="4"/>
      <c r="W79" s="20"/>
      <c r="X79" s="4"/>
      <c r="Y79" s="20"/>
      <c r="Z79" s="4"/>
      <c r="AA79" s="20"/>
      <c r="AB79" s="4"/>
      <c r="AC79" s="20"/>
      <c r="AD79" s="4">
        <v>0.9</v>
      </c>
      <c r="AE79" s="20"/>
      <c r="AF79" s="19"/>
      <c r="AG79" s="8"/>
      <c r="AH79" s="17"/>
      <c r="AI79" s="37"/>
      <c r="AJ79" s="18"/>
      <c r="AK79" s="21"/>
      <c r="AL79" s="21"/>
      <c r="AM79" s="36"/>
      <c r="AN79" s="21" t="s">
        <v>235</v>
      </c>
      <c r="AO79" s="21" t="s">
        <v>206</v>
      </c>
      <c r="AP79" s="21" t="s">
        <v>231</v>
      </c>
      <c r="AQ79" s="21" t="s">
        <v>231</v>
      </c>
      <c r="AR79" s="21" t="s">
        <v>231</v>
      </c>
      <c r="AS79" s="21" t="s">
        <v>206</v>
      </c>
      <c r="AT79" s="21" t="s">
        <v>231</v>
      </c>
      <c r="AU79" s="21" t="s">
        <v>206</v>
      </c>
      <c r="AV79" s="21" t="s">
        <v>236</v>
      </c>
      <c r="AW79" s="4" t="str">
        <f t="shared" si="12"/>
        <v>D</v>
      </c>
      <c r="AX79" s="45" t="str">
        <f t="shared" si="9"/>
        <v/>
      </c>
    </row>
    <row r="80" spans="1:50" ht="15" customHeight="1" x14ac:dyDescent="0.25">
      <c r="A80" s="46">
        <v>45847</v>
      </c>
      <c r="B80" s="46" t="s">
        <v>988</v>
      </c>
      <c r="C80" s="46" t="s">
        <v>28</v>
      </c>
      <c r="D80" s="21" t="s">
        <v>81</v>
      </c>
      <c r="E80" s="47">
        <v>748</v>
      </c>
      <c r="F80" s="21" t="s">
        <v>28</v>
      </c>
      <c r="G80" s="4" t="s">
        <v>987</v>
      </c>
      <c r="H80" s="4" t="s">
        <v>248</v>
      </c>
      <c r="I80" s="4" t="s">
        <v>991</v>
      </c>
      <c r="J80" s="4" t="s">
        <v>556</v>
      </c>
      <c r="K80" s="4"/>
      <c r="L80" s="4"/>
      <c r="M80" s="4" t="s">
        <v>993</v>
      </c>
      <c r="N80" s="4" t="s">
        <v>994</v>
      </c>
      <c r="O80" s="4" t="s">
        <v>995</v>
      </c>
      <c r="P80" s="91"/>
      <c r="Q80" s="91"/>
      <c r="R80" s="91">
        <f t="shared" si="11"/>
        <v>140.19999999999999</v>
      </c>
      <c r="S80" s="35"/>
      <c r="T80" s="5"/>
      <c r="U80" s="6"/>
      <c r="V80" s="4"/>
      <c r="W80" s="20">
        <v>140.19999999999999</v>
      </c>
      <c r="X80" s="4"/>
      <c r="Y80" s="20"/>
      <c r="Z80" s="4"/>
      <c r="AA80" s="20"/>
      <c r="AB80" s="4"/>
      <c r="AC80" s="20"/>
      <c r="AD80" s="4"/>
      <c r="AE80" s="20"/>
      <c r="AF80" s="19"/>
      <c r="AG80" s="8"/>
      <c r="AH80" s="17"/>
      <c r="AI80" s="37"/>
      <c r="AJ80" s="18"/>
      <c r="AK80" s="21" t="s">
        <v>218</v>
      </c>
      <c r="AL80" s="21" t="s">
        <v>218</v>
      </c>
      <c r="AM80" s="36"/>
      <c r="AN80" s="21" t="s">
        <v>235</v>
      </c>
      <c r="AO80" s="21" t="s">
        <v>206</v>
      </c>
      <c r="AP80" s="21" t="s">
        <v>231</v>
      </c>
      <c r="AQ80" s="21" t="s">
        <v>231</v>
      </c>
      <c r="AR80" s="21" t="s">
        <v>231</v>
      </c>
      <c r="AS80" s="21" t="s">
        <v>206</v>
      </c>
      <c r="AT80" s="21" t="s">
        <v>231</v>
      </c>
      <c r="AU80" s="21" t="s">
        <v>206</v>
      </c>
      <c r="AV80" s="21" t="s">
        <v>236</v>
      </c>
      <c r="AW80" s="4" t="str">
        <f t="shared" si="12"/>
        <v>D</v>
      </c>
      <c r="AX80" s="45" t="str">
        <f t="shared" si="9"/>
        <v/>
      </c>
    </row>
    <row r="81" spans="1:50" ht="15" customHeight="1" x14ac:dyDescent="0.25">
      <c r="A81" s="46">
        <v>45848</v>
      </c>
      <c r="B81" s="46" t="s">
        <v>416</v>
      </c>
      <c r="C81" s="46" t="s">
        <v>26</v>
      </c>
      <c r="D81" s="21" t="s">
        <v>26</v>
      </c>
      <c r="E81" s="47">
        <v>751</v>
      </c>
      <c r="F81" s="21" t="s">
        <v>456</v>
      </c>
      <c r="G81" s="4" t="s">
        <v>989</v>
      </c>
      <c r="H81" s="4" t="s">
        <v>992</v>
      </c>
      <c r="I81" s="4" t="s">
        <v>649</v>
      </c>
      <c r="J81" s="4" t="s">
        <v>556</v>
      </c>
      <c r="K81" s="4"/>
      <c r="L81" s="4"/>
      <c r="M81" s="4" t="s">
        <v>997</v>
      </c>
      <c r="N81" s="4" t="s">
        <v>998</v>
      </c>
      <c r="O81" s="4" t="s">
        <v>999</v>
      </c>
      <c r="P81" s="91"/>
      <c r="Q81" s="91"/>
      <c r="R81" s="91">
        <f t="shared" si="11"/>
        <v>1</v>
      </c>
      <c r="S81" s="35"/>
      <c r="T81" s="5">
        <v>1</v>
      </c>
      <c r="U81" s="6"/>
      <c r="V81" s="4"/>
      <c r="W81" s="20"/>
      <c r="X81" s="4"/>
      <c r="Y81" s="20"/>
      <c r="Z81" s="4"/>
      <c r="AA81" s="20"/>
      <c r="AB81" s="4"/>
      <c r="AC81" s="20"/>
      <c r="AD81" s="4"/>
      <c r="AE81" s="20"/>
      <c r="AF81" s="19"/>
      <c r="AG81" s="8"/>
      <c r="AH81" s="17"/>
      <c r="AI81" s="37"/>
      <c r="AJ81" s="18"/>
      <c r="AK81" s="21"/>
      <c r="AL81" s="21"/>
      <c r="AM81" s="36"/>
      <c r="AN81" s="21" t="s">
        <v>928</v>
      </c>
      <c r="AO81" s="21" t="s">
        <v>231</v>
      </c>
      <c r="AP81" s="21" t="s">
        <v>231</v>
      </c>
      <c r="AQ81" s="21" t="s">
        <v>231</v>
      </c>
      <c r="AR81" s="21" t="s">
        <v>231</v>
      </c>
      <c r="AS81" s="21" t="s">
        <v>231</v>
      </c>
      <c r="AT81" s="21" t="s">
        <v>231</v>
      </c>
      <c r="AU81" s="21" t="s">
        <v>236</v>
      </c>
      <c r="AV81" s="21" t="s">
        <v>236</v>
      </c>
      <c r="AW81" s="4" t="str">
        <f t="shared" si="12"/>
        <v>B</v>
      </c>
      <c r="AX81" s="45" t="str">
        <f t="shared" si="9"/>
        <v/>
      </c>
    </row>
    <row r="82" spans="1:50" ht="15" customHeight="1" x14ac:dyDescent="0.25">
      <c r="A82" s="46">
        <v>45848</v>
      </c>
      <c r="B82" s="46" t="s">
        <v>996</v>
      </c>
      <c r="C82" s="46" t="s">
        <v>25</v>
      </c>
      <c r="D82" s="21" t="s">
        <v>25</v>
      </c>
      <c r="E82" s="47">
        <v>752</v>
      </c>
      <c r="F82" s="21" t="s">
        <v>269</v>
      </c>
      <c r="G82" s="4" t="s">
        <v>990</v>
      </c>
      <c r="H82" s="4" t="s">
        <v>542</v>
      </c>
      <c r="I82" s="4"/>
      <c r="J82" s="4" t="s">
        <v>556</v>
      </c>
      <c r="K82" s="4"/>
      <c r="L82" s="4"/>
      <c r="M82" s="4" t="s">
        <v>1000</v>
      </c>
      <c r="N82" s="4" t="s">
        <v>1001</v>
      </c>
      <c r="O82" s="4" t="s">
        <v>1002</v>
      </c>
      <c r="P82" s="4">
        <v>559940</v>
      </c>
      <c r="Q82" s="4">
        <v>4786020</v>
      </c>
      <c r="R82" s="91">
        <f t="shared" si="11"/>
        <v>136.1</v>
      </c>
      <c r="S82" s="35">
        <v>136.1</v>
      </c>
      <c r="T82" s="5"/>
      <c r="U82" s="6"/>
      <c r="V82" s="4"/>
      <c r="W82" s="20"/>
      <c r="X82" s="4"/>
      <c r="Y82" s="20"/>
      <c r="Z82" s="4"/>
      <c r="AA82" s="20"/>
      <c r="AB82" s="4"/>
      <c r="AC82" s="20"/>
      <c r="AD82" s="4"/>
      <c r="AE82" s="20"/>
      <c r="AF82" s="19"/>
      <c r="AG82" s="8"/>
      <c r="AH82" s="17"/>
      <c r="AI82" s="37"/>
      <c r="AJ82" s="18"/>
      <c r="AK82" s="21"/>
      <c r="AL82" s="21"/>
      <c r="AM82" s="36"/>
      <c r="AN82" s="21" t="s">
        <v>235</v>
      </c>
      <c r="AO82" s="21" t="s">
        <v>231</v>
      </c>
      <c r="AP82" s="21" t="s">
        <v>231</v>
      </c>
      <c r="AQ82" s="21" t="s">
        <v>231</v>
      </c>
      <c r="AR82" s="21" t="s">
        <v>231</v>
      </c>
      <c r="AS82" s="21" t="s">
        <v>231</v>
      </c>
      <c r="AT82" s="21" t="s">
        <v>231</v>
      </c>
      <c r="AU82" s="21" t="s">
        <v>206</v>
      </c>
      <c r="AV82" s="21" t="s">
        <v>236</v>
      </c>
      <c r="AW82" s="4" t="str">
        <f t="shared" si="12"/>
        <v>D</v>
      </c>
      <c r="AX82" s="45" t="str">
        <f t="shared" si="9"/>
        <v/>
      </c>
    </row>
    <row r="83" spans="1:50" ht="15" customHeight="1" x14ac:dyDescent="0.25">
      <c r="A83" s="46">
        <v>45848</v>
      </c>
      <c r="B83" s="46" t="s">
        <v>416</v>
      </c>
      <c r="C83" s="46" t="s">
        <v>26</v>
      </c>
      <c r="D83" s="21" t="s">
        <v>26</v>
      </c>
      <c r="E83" s="47">
        <v>753</v>
      </c>
      <c r="F83" s="21" t="s">
        <v>456</v>
      </c>
      <c r="G83" s="4" t="s">
        <v>1004</v>
      </c>
      <c r="H83" s="4" t="s">
        <v>1007</v>
      </c>
      <c r="I83" s="4" t="s">
        <v>1008</v>
      </c>
      <c r="J83" s="4" t="s">
        <v>556</v>
      </c>
      <c r="K83" s="4"/>
      <c r="L83" s="4"/>
      <c r="M83" s="4" t="s">
        <v>1003</v>
      </c>
      <c r="N83" s="4" t="s">
        <v>1005</v>
      </c>
      <c r="O83" s="4" t="s">
        <v>1006</v>
      </c>
      <c r="P83" s="91"/>
      <c r="Q83" s="91"/>
      <c r="R83" s="91">
        <f t="shared" si="11"/>
        <v>0.1</v>
      </c>
      <c r="S83" s="35"/>
      <c r="T83" s="5">
        <v>0.1</v>
      </c>
      <c r="U83" s="6"/>
      <c r="V83" s="4"/>
      <c r="W83" s="20"/>
      <c r="X83" s="4"/>
      <c r="Y83" s="20"/>
      <c r="Z83" s="4"/>
      <c r="AA83" s="20"/>
      <c r="AB83" s="4"/>
      <c r="AC83" s="20"/>
      <c r="AD83" s="4"/>
      <c r="AE83" s="20"/>
      <c r="AF83" s="19"/>
      <c r="AG83" s="8"/>
      <c r="AH83" s="17"/>
      <c r="AI83" s="37"/>
      <c r="AJ83" s="18"/>
      <c r="AK83" s="21"/>
      <c r="AL83" s="21"/>
      <c r="AM83" s="36"/>
      <c r="AN83" s="21" t="s">
        <v>132</v>
      </c>
      <c r="AO83" s="21" t="s">
        <v>231</v>
      </c>
      <c r="AP83" s="21" t="s">
        <v>231</v>
      </c>
      <c r="AQ83" s="21" t="s">
        <v>231</v>
      </c>
      <c r="AR83" s="21" t="s">
        <v>231</v>
      </c>
      <c r="AS83" s="21" t="s">
        <v>231</v>
      </c>
      <c r="AT83" s="21" t="s">
        <v>231</v>
      </c>
      <c r="AU83" s="21" t="s">
        <v>236</v>
      </c>
      <c r="AV83" s="21" t="s">
        <v>236</v>
      </c>
      <c r="AW83" s="4" t="str">
        <f t="shared" si="12"/>
        <v>A</v>
      </c>
      <c r="AX83" s="45" t="str">
        <f t="shared" si="9"/>
        <v/>
      </c>
    </row>
    <row r="84" spans="1:50" ht="15" customHeight="1" x14ac:dyDescent="0.25">
      <c r="A84" s="46">
        <v>45848</v>
      </c>
      <c r="B84" s="46" t="s">
        <v>1009</v>
      </c>
      <c r="C84" s="46" t="s">
        <v>25</v>
      </c>
      <c r="D84" s="21" t="s">
        <v>620</v>
      </c>
      <c r="E84" s="47">
        <v>758</v>
      </c>
      <c r="F84" s="21" t="s">
        <v>269</v>
      </c>
      <c r="G84" s="4" t="s">
        <v>1010</v>
      </c>
      <c r="H84" s="4" t="s">
        <v>392</v>
      </c>
      <c r="I84" s="4" t="s">
        <v>1011</v>
      </c>
      <c r="J84" s="4" t="s">
        <v>229</v>
      </c>
      <c r="K84" s="4" t="s">
        <v>317</v>
      </c>
      <c r="L84" s="4" t="s">
        <v>87</v>
      </c>
      <c r="M84" s="4" t="s">
        <v>1012</v>
      </c>
      <c r="N84" s="4" t="s">
        <v>1013</v>
      </c>
      <c r="O84" s="4" t="s">
        <v>1014</v>
      </c>
      <c r="P84" s="4">
        <v>599398</v>
      </c>
      <c r="Q84" s="4">
        <v>4758679</v>
      </c>
      <c r="R84" s="91">
        <f t="shared" si="11"/>
        <v>443</v>
      </c>
      <c r="S84" s="35">
        <v>295.3</v>
      </c>
      <c r="T84" s="5"/>
      <c r="U84" s="6"/>
      <c r="V84" s="4"/>
      <c r="W84" s="20"/>
      <c r="X84" s="4"/>
      <c r="Y84" s="20"/>
      <c r="Z84" s="4"/>
      <c r="AA84" s="20"/>
      <c r="AB84" s="4"/>
      <c r="AC84" s="20"/>
      <c r="AD84" s="4"/>
      <c r="AE84" s="20"/>
      <c r="AF84" s="19"/>
      <c r="AG84" s="8"/>
      <c r="AH84" s="17"/>
      <c r="AI84" s="37">
        <v>147.69999999999999</v>
      </c>
      <c r="AJ84" s="18"/>
      <c r="AK84" s="21"/>
      <c r="AL84" s="21"/>
      <c r="AM84" s="36"/>
      <c r="AN84" s="69" t="s">
        <v>235</v>
      </c>
      <c r="AO84" s="69" t="s">
        <v>231</v>
      </c>
      <c r="AP84" s="69" t="s">
        <v>231</v>
      </c>
      <c r="AQ84" s="69" t="s">
        <v>231</v>
      </c>
      <c r="AR84" s="69" t="s">
        <v>231</v>
      </c>
      <c r="AS84" s="69" t="s">
        <v>231</v>
      </c>
      <c r="AT84" s="69" t="s">
        <v>231</v>
      </c>
      <c r="AU84" s="69" t="s">
        <v>206</v>
      </c>
      <c r="AV84" s="21" t="s">
        <v>236</v>
      </c>
      <c r="AW84" s="4" t="str">
        <f t="shared" si="12"/>
        <v>E</v>
      </c>
      <c r="AX84" s="45" t="str">
        <f t="shared" si="9"/>
        <v/>
      </c>
    </row>
    <row r="85" spans="1:50" ht="15" customHeight="1" x14ac:dyDescent="0.25">
      <c r="A85" s="46">
        <v>45850</v>
      </c>
      <c r="B85" s="46" t="s">
        <v>1016</v>
      </c>
      <c r="C85" s="46" t="s">
        <v>28</v>
      </c>
      <c r="D85" s="21" t="s">
        <v>28</v>
      </c>
      <c r="E85" s="47">
        <v>763</v>
      </c>
      <c r="F85" s="21" t="s">
        <v>28</v>
      </c>
      <c r="G85" s="4" t="s">
        <v>1015</v>
      </c>
      <c r="H85" s="4" t="s">
        <v>392</v>
      </c>
      <c r="I85" s="4" t="s">
        <v>1017</v>
      </c>
      <c r="J85" s="4" t="s">
        <v>229</v>
      </c>
      <c r="K85" s="4" t="s">
        <v>317</v>
      </c>
      <c r="L85" s="4" t="s">
        <v>87</v>
      </c>
      <c r="M85" s="4" t="s">
        <v>1018</v>
      </c>
      <c r="N85" s="4" t="s">
        <v>1019</v>
      </c>
      <c r="O85" s="4" t="s">
        <v>1020</v>
      </c>
      <c r="P85" s="4">
        <v>600178</v>
      </c>
      <c r="Q85" s="4">
        <v>4779104</v>
      </c>
      <c r="R85" s="91">
        <f t="shared" si="11"/>
        <v>1.7</v>
      </c>
      <c r="S85" s="35"/>
      <c r="T85" s="5"/>
      <c r="U85" s="6">
        <v>1.7</v>
      </c>
      <c r="V85" s="4"/>
      <c r="W85" s="20"/>
      <c r="X85" s="4"/>
      <c r="Y85" s="20"/>
      <c r="Z85" s="4"/>
      <c r="AA85" s="20"/>
      <c r="AB85" s="4"/>
      <c r="AC85" s="20"/>
      <c r="AD85" s="4"/>
      <c r="AE85" s="20"/>
      <c r="AF85" s="19"/>
      <c r="AG85" s="8"/>
      <c r="AH85" s="17"/>
      <c r="AI85" s="37"/>
      <c r="AJ85" s="18"/>
      <c r="AK85" s="21" t="s">
        <v>218</v>
      </c>
      <c r="AL85" s="21"/>
      <c r="AM85" s="36"/>
      <c r="AN85" s="21" t="s">
        <v>235</v>
      </c>
      <c r="AO85" s="21" t="s">
        <v>231</v>
      </c>
      <c r="AP85" s="21" t="s">
        <v>231</v>
      </c>
      <c r="AQ85" s="21" t="s">
        <v>231</v>
      </c>
      <c r="AR85" s="21" t="s">
        <v>231</v>
      </c>
      <c r="AS85" s="21" t="s">
        <v>231</v>
      </c>
      <c r="AT85" s="21" t="s">
        <v>231</v>
      </c>
      <c r="AU85" s="21" t="s">
        <v>236</v>
      </c>
      <c r="AV85" s="21" t="s">
        <v>236</v>
      </c>
      <c r="AW85" s="4" t="str">
        <f t="shared" si="12"/>
        <v>B</v>
      </c>
      <c r="AX85" s="45" t="str">
        <f t="shared" si="9"/>
        <v/>
      </c>
    </row>
    <row r="86" spans="1:50" ht="15" customHeight="1" x14ac:dyDescent="0.25">
      <c r="A86" s="46">
        <v>45850</v>
      </c>
      <c r="B86" s="46" t="s">
        <v>1026</v>
      </c>
      <c r="C86" s="46" t="s">
        <v>28</v>
      </c>
      <c r="D86" s="21" t="s">
        <v>28</v>
      </c>
      <c r="E86" s="47">
        <v>764</v>
      </c>
      <c r="F86" s="21" t="s">
        <v>28</v>
      </c>
      <c r="G86" s="4" t="s">
        <v>1021</v>
      </c>
      <c r="H86" s="4" t="s">
        <v>248</v>
      </c>
      <c r="I86" s="4"/>
      <c r="J86" s="4" t="s">
        <v>556</v>
      </c>
      <c r="K86" s="4"/>
      <c r="L86" s="4"/>
      <c r="M86" s="4" t="s">
        <v>1022</v>
      </c>
      <c r="N86" s="4" t="s">
        <v>1027</v>
      </c>
      <c r="O86" s="4" t="s">
        <v>1028</v>
      </c>
      <c r="P86" s="91"/>
      <c r="Q86" s="91"/>
      <c r="R86" s="91">
        <f t="shared" si="11"/>
        <v>1</v>
      </c>
      <c r="S86" s="35"/>
      <c r="T86" s="5"/>
      <c r="U86" s="6">
        <v>1</v>
      </c>
      <c r="V86" s="4"/>
      <c r="W86" s="20"/>
      <c r="X86" s="4"/>
      <c r="Y86" s="20"/>
      <c r="Z86" s="4"/>
      <c r="AA86" s="20"/>
      <c r="AB86" s="4"/>
      <c r="AC86" s="20"/>
      <c r="AD86" s="4"/>
      <c r="AE86" s="20"/>
      <c r="AF86" s="19"/>
      <c r="AG86" s="8"/>
      <c r="AH86" s="17"/>
      <c r="AI86" s="37"/>
      <c r="AJ86" s="18"/>
      <c r="AK86" s="21"/>
      <c r="AL86" s="21"/>
      <c r="AM86" s="36"/>
      <c r="AN86" s="69" t="s">
        <v>235</v>
      </c>
      <c r="AO86" s="69" t="s">
        <v>231</v>
      </c>
      <c r="AP86" s="69" t="s">
        <v>206</v>
      </c>
      <c r="AQ86" s="69" t="s">
        <v>231</v>
      </c>
      <c r="AR86" s="69" t="s">
        <v>231</v>
      </c>
      <c r="AS86" s="69" t="s">
        <v>231</v>
      </c>
      <c r="AT86" s="69" t="s">
        <v>206</v>
      </c>
      <c r="AU86" s="69" t="s">
        <v>236</v>
      </c>
      <c r="AV86" s="21" t="s">
        <v>236</v>
      </c>
      <c r="AW86" s="4" t="str">
        <f t="shared" si="12"/>
        <v>B</v>
      </c>
      <c r="AX86" s="45" t="str">
        <f t="shared" si="9"/>
        <v/>
      </c>
    </row>
    <row r="87" spans="1:50" ht="15" customHeight="1" x14ac:dyDescent="0.25">
      <c r="A87" s="46">
        <v>45851</v>
      </c>
      <c r="B87" s="46" t="s">
        <v>1023</v>
      </c>
      <c r="C87" s="46" t="s">
        <v>87</v>
      </c>
      <c r="D87" s="21" t="s">
        <v>25</v>
      </c>
      <c r="E87" s="47">
        <v>766</v>
      </c>
      <c r="F87" s="21" t="s">
        <v>252</v>
      </c>
      <c r="G87" s="4" t="s">
        <v>1024</v>
      </c>
      <c r="H87" s="4" t="s">
        <v>1025</v>
      </c>
      <c r="I87" s="4"/>
      <c r="J87" s="4"/>
      <c r="K87" s="4"/>
      <c r="L87" s="4"/>
      <c r="M87" s="4" t="s">
        <v>1029</v>
      </c>
      <c r="N87" s="4" t="s">
        <v>1030</v>
      </c>
      <c r="O87" s="4" t="s">
        <v>1031</v>
      </c>
      <c r="P87" s="91"/>
      <c r="Q87" s="91"/>
      <c r="R87" s="91">
        <f t="shared" si="11"/>
        <v>0</v>
      </c>
      <c r="S87" s="35"/>
      <c r="T87" s="5"/>
      <c r="U87" s="6"/>
      <c r="V87" s="4"/>
      <c r="W87" s="20"/>
      <c r="X87" s="4"/>
      <c r="Y87" s="20"/>
      <c r="Z87" s="4"/>
      <c r="AA87" s="20"/>
      <c r="AB87" s="4"/>
      <c r="AC87" s="20"/>
      <c r="AD87" s="4"/>
      <c r="AE87" s="20"/>
      <c r="AF87" s="19"/>
      <c r="AG87" s="8"/>
      <c r="AH87" s="17"/>
      <c r="AI87" s="37"/>
      <c r="AJ87" s="18"/>
      <c r="AK87" s="21"/>
      <c r="AL87" s="21"/>
      <c r="AM87" s="36"/>
      <c r="AN87" s="69" t="s">
        <v>235</v>
      </c>
      <c r="AO87" s="69" t="s">
        <v>231</v>
      </c>
      <c r="AP87" s="69" t="s">
        <v>206</v>
      </c>
      <c r="AQ87" s="69" t="s">
        <v>231</v>
      </c>
      <c r="AR87" s="69" t="s">
        <v>231</v>
      </c>
      <c r="AS87" s="69" t="s">
        <v>231</v>
      </c>
      <c r="AT87" s="69" t="s">
        <v>206</v>
      </c>
      <c r="AU87" s="69" t="s">
        <v>206</v>
      </c>
      <c r="AV87" s="21" t="s">
        <v>206</v>
      </c>
      <c r="AW87" s="4" t="str">
        <f t="shared" si="12"/>
        <v/>
      </c>
      <c r="AX87" s="45" t="str">
        <f t="shared" si="9"/>
        <v/>
      </c>
    </row>
    <row r="88" spans="1:50" ht="15" customHeight="1" x14ac:dyDescent="0.25">
      <c r="A88" s="46">
        <v>45851</v>
      </c>
      <c r="B88" s="46" t="s">
        <v>1033</v>
      </c>
      <c r="C88" s="46" t="s">
        <v>25</v>
      </c>
      <c r="D88" s="21" t="s">
        <v>25</v>
      </c>
      <c r="E88" s="47">
        <v>768</v>
      </c>
      <c r="F88" s="21" t="s">
        <v>252</v>
      </c>
      <c r="G88" s="4" t="s">
        <v>1032</v>
      </c>
      <c r="H88" s="4" t="s">
        <v>494</v>
      </c>
      <c r="I88" s="4" t="s">
        <v>495</v>
      </c>
      <c r="J88" s="4" t="s">
        <v>229</v>
      </c>
      <c r="K88" s="4" t="s">
        <v>621</v>
      </c>
      <c r="L88" s="4" t="s">
        <v>87</v>
      </c>
      <c r="M88" s="4" t="s">
        <v>1034</v>
      </c>
      <c r="N88" s="4" t="s">
        <v>1035</v>
      </c>
      <c r="O88" s="4" t="s">
        <v>1036</v>
      </c>
      <c r="P88" s="4">
        <v>507765</v>
      </c>
      <c r="Q88" s="4">
        <v>4805782</v>
      </c>
      <c r="R88" s="91">
        <f t="shared" si="11"/>
        <v>14.9</v>
      </c>
      <c r="S88" s="35">
        <v>14.9</v>
      </c>
      <c r="T88" s="5"/>
      <c r="U88" s="6"/>
      <c r="V88" s="4"/>
      <c r="W88" s="20"/>
      <c r="X88" s="4"/>
      <c r="Y88" s="20"/>
      <c r="Z88" s="4"/>
      <c r="AA88" s="20"/>
      <c r="AB88" s="4"/>
      <c r="AC88" s="20"/>
      <c r="AD88" s="4"/>
      <c r="AE88" s="20"/>
      <c r="AF88" s="19"/>
      <c r="AG88" s="8"/>
      <c r="AH88" s="17"/>
      <c r="AI88" s="37"/>
      <c r="AJ88" s="18"/>
      <c r="AK88" s="21"/>
      <c r="AL88" s="21"/>
      <c r="AM88" s="36"/>
      <c r="AN88" s="69" t="s">
        <v>235</v>
      </c>
      <c r="AO88" s="69" t="s">
        <v>231</v>
      </c>
      <c r="AP88" s="69" t="s">
        <v>206</v>
      </c>
      <c r="AQ88" s="69" t="s">
        <v>231</v>
      </c>
      <c r="AR88" s="69" t="s">
        <v>231</v>
      </c>
      <c r="AS88" s="69" t="s">
        <v>206</v>
      </c>
      <c r="AT88" s="69" t="s">
        <v>206</v>
      </c>
      <c r="AU88" s="69" t="s">
        <v>206</v>
      </c>
      <c r="AV88" s="21" t="s">
        <v>236</v>
      </c>
      <c r="AW88" s="4" t="str">
        <f t="shared" si="12"/>
        <v>C</v>
      </c>
      <c r="AX88" s="45" t="str">
        <f t="shared" si="9"/>
        <v/>
      </c>
    </row>
    <row r="89" spans="1:50" ht="15" customHeight="1" x14ac:dyDescent="0.25">
      <c r="A89" s="46">
        <v>45852</v>
      </c>
      <c r="B89" s="46" t="s">
        <v>1042</v>
      </c>
      <c r="C89" s="46" t="s">
        <v>26</v>
      </c>
      <c r="D89" s="21" t="s">
        <v>620</v>
      </c>
      <c r="E89" s="47">
        <v>773</v>
      </c>
      <c r="F89" s="21" t="s">
        <v>381</v>
      </c>
      <c r="G89" s="4" t="s">
        <v>1037</v>
      </c>
      <c r="H89" s="4" t="s">
        <v>1007</v>
      </c>
      <c r="I89" s="4" t="s">
        <v>1041</v>
      </c>
      <c r="J89" s="4" t="s">
        <v>229</v>
      </c>
      <c r="K89" s="4" t="s">
        <v>487</v>
      </c>
      <c r="L89" s="4" t="s">
        <v>87</v>
      </c>
      <c r="M89" s="4" t="s">
        <v>1038</v>
      </c>
      <c r="N89" s="4" t="s">
        <v>1039</v>
      </c>
      <c r="O89" s="4" t="s">
        <v>1040</v>
      </c>
      <c r="P89" s="91"/>
      <c r="Q89" s="91"/>
      <c r="R89" s="91">
        <f t="shared" si="11"/>
        <v>2</v>
      </c>
      <c r="S89" s="35"/>
      <c r="T89" s="5"/>
      <c r="U89" s="6"/>
      <c r="V89" s="4"/>
      <c r="W89" s="20"/>
      <c r="X89" s="4"/>
      <c r="Y89" s="20"/>
      <c r="Z89" s="4"/>
      <c r="AA89" s="20"/>
      <c r="AB89" s="4"/>
      <c r="AC89" s="20"/>
      <c r="AD89" s="4"/>
      <c r="AE89" s="20"/>
      <c r="AF89" s="19"/>
      <c r="AG89" s="8"/>
      <c r="AH89" s="17"/>
      <c r="AI89" s="37">
        <v>2</v>
      </c>
      <c r="AJ89" s="18"/>
      <c r="AK89" s="21"/>
      <c r="AL89" s="21"/>
      <c r="AM89" s="36"/>
      <c r="AN89" s="21" t="s">
        <v>235</v>
      </c>
      <c r="AO89" s="21" t="s">
        <v>231</v>
      </c>
      <c r="AP89" s="21" t="s">
        <v>231</v>
      </c>
      <c r="AQ89" s="21" t="s">
        <v>231</v>
      </c>
      <c r="AR89" s="21" t="s">
        <v>231</v>
      </c>
      <c r="AS89" s="21" t="s">
        <v>206</v>
      </c>
      <c r="AT89" s="21" t="s">
        <v>231</v>
      </c>
      <c r="AU89" s="21" t="s">
        <v>236</v>
      </c>
      <c r="AV89" s="21" t="s">
        <v>236</v>
      </c>
      <c r="AW89" s="4" t="str">
        <f t="shared" si="12"/>
        <v>B</v>
      </c>
      <c r="AX89" s="45" t="str">
        <f t="shared" si="9"/>
        <v/>
      </c>
    </row>
    <row r="90" spans="1:50" ht="15" customHeight="1" x14ac:dyDescent="0.25">
      <c r="A90" s="46">
        <v>45853</v>
      </c>
      <c r="B90" s="46" t="s">
        <v>1046</v>
      </c>
      <c r="C90" s="46" t="s">
        <v>25</v>
      </c>
      <c r="D90" s="21" t="s">
        <v>25</v>
      </c>
      <c r="E90" s="47">
        <v>780</v>
      </c>
      <c r="F90" s="21" t="s">
        <v>226</v>
      </c>
      <c r="G90" s="4" t="s">
        <v>1059</v>
      </c>
      <c r="H90" s="152" t="s">
        <v>542</v>
      </c>
      <c r="I90" s="152"/>
      <c r="J90" s="4" t="s">
        <v>229</v>
      </c>
      <c r="K90" s="4" t="s">
        <v>621</v>
      </c>
      <c r="L90" s="4" t="s">
        <v>87</v>
      </c>
      <c r="M90" s="152" t="s">
        <v>826</v>
      </c>
      <c r="N90" s="152" t="s">
        <v>1047</v>
      </c>
      <c r="O90" s="152" t="s">
        <v>1048</v>
      </c>
      <c r="P90" s="4">
        <v>574228</v>
      </c>
      <c r="Q90" s="4">
        <v>4820470</v>
      </c>
      <c r="R90" s="91">
        <f t="shared" si="11"/>
        <v>0.5</v>
      </c>
      <c r="S90" s="35">
        <v>0.5</v>
      </c>
      <c r="T90" s="5"/>
      <c r="U90" s="6"/>
      <c r="V90" s="4"/>
      <c r="W90" s="20"/>
      <c r="X90" s="4"/>
      <c r="Y90" s="20"/>
      <c r="Z90" s="4"/>
      <c r="AA90" s="20"/>
      <c r="AB90" s="4"/>
      <c r="AC90" s="20"/>
      <c r="AD90" s="4"/>
      <c r="AE90" s="20"/>
      <c r="AF90" s="19"/>
      <c r="AG90" s="8"/>
      <c r="AH90" s="17"/>
      <c r="AI90" s="37"/>
      <c r="AJ90" s="18"/>
      <c r="AK90" s="21"/>
      <c r="AL90" s="21"/>
      <c r="AM90" s="36"/>
      <c r="AN90" s="21" t="s">
        <v>235</v>
      </c>
      <c r="AO90" s="21" t="s">
        <v>206</v>
      </c>
      <c r="AP90" s="21" t="s">
        <v>231</v>
      </c>
      <c r="AQ90" s="21" t="s">
        <v>231</v>
      </c>
      <c r="AR90" s="21" t="s">
        <v>231</v>
      </c>
      <c r="AS90" s="21" t="s">
        <v>206</v>
      </c>
      <c r="AT90" s="21" t="s">
        <v>231</v>
      </c>
      <c r="AU90" s="21" t="s">
        <v>236</v>
      </c>
      <c r="AV90" s="21" t="s">
        <v>236</v>
      </c>
      <c r="AW90" s="4" t="str">
        <f t="shared" si="12"/>
        <v>B</v>
      </c>
      <c r="AX90" s="45" t="str">
        <f t="shared" si="9"/>
        <v/>
      </c>
    </row>
    <row r="91" spans="1:50" ht="15" customHeight="1" x14ac:dyDescent="0.25">
      <c r="A91" s="46">
        <v>45853</v>
      </c>
      <c r="B91" s="46" t="s">
        <v>1049</v>
      </c>
      <c r="C91" s="46" t="s">
        <v>25</v>
      </c>
      <c r="D91" s="21" t="s">
        <v>25</v>
      </c>
      <c r="E91" s="47">
        <v>781</v>
      </c>
      <c r="F91" s="21" t="s">
        <v>269</v>
      </c>
      <c r="G91" s="4" t="s">
        <v>1050</v>
      </c>
      <c r="H91" s="4" t="s">
        <v>844</v>
      </c>
      <c r="I91" s="4" t="s">
        <v>795</v>
      </c>
      <c r="J91" s="4" t="s">
        <v>229</v>
      </c>
      <c r="K91" s="4" t="s">
        <v>279</v>
      </c>
      <c r="L91" s="4" t="s">
        <v>393</v>
      </c>
      <c r="M91" s="4" t="s">
        <v>1051</v>
      </c>
      <c r="N91" s="4" t="s">
        <v>1052</v>
      </c>
      <c r="O91" s="4" t="s">
        <v>1053</v>
      </c>
      <c r="P91" s="4">
        <v>590058</v>
      </c>
      <c r="Q91" s="4">
        <v>4759063</v>
      </c>
      <c r="R91" s="91">
        <f t="shared" si="11"/>
        <v>1697.7</v>
      </c>
      <c r="S91" s="35">
        <v>1648.7</v>
      </c>
      <c r="T91" s="5"/>
      <c r="U91" s="6">
        <v>30.4</v>
      </c>
      <c r="V91" s="4"/>
      <c r="W91" s="20"/>
      <c r="X91" s="4"/>
      <c r="Y91" s="20"/>
      <c r="Z91" s="4"/>
      <c r="AA91" s="20"/>
      <c r="AB91" s="4"/>
      <c r="AC91" s="20"/>
      <c r="AD91" s="4"/>
      <c r="AE91" s="20">
        <v>18.600000000000001</v>
      </c>
      <c r="AF91" s="19"/>
      <c r="AG91" s="8"/>
      <c r="AH91" s="17"/>
      <c r="AI91" s="37"/>
      <c r="AJ91" s="18"/>
      <c r="AK91" s="21"/>
      <c r="AL91" s="21" t="s">
        <v>218</v>
      </c>
      <c r="AM91" s="36"/>
      <c r="AN91" s="21" t="s">
        <v>235</v>
      </c>
      <c r="AO91" s="21" t="s">
        <v>206</v>
      </c>
      <c r="AP91" s="21" t="s">
        <v>231</v>
      </c>
      <c r="AQ91" s="21" t="s">
        <v>231</v>
      </c>
      <c r="AR91" s="21" t="s">
        <v>231</v>
      </c>
      <c r="AS91" s="21" t="s">
        <v>231</v>
      </c>
      <c r="AT91" s="21" t="s">
        <v>231</v>
      </c>
      <c r="AU91" s="21" t="s">
        <v>206</v>
      </c>
      <c r="AV91" s="21" t="s">
        <v>206</v>
      </c>
      <c r="AW91" s="4" t="str">
        <f t="shared" si="12"/>
        <v>F</v>
      </c>
      <c r="AX91" s="45" t="str">
        <f t="shared" si="9"/>
        <v/>
      </c>
    </row>
    <row r="92" spans="1:50" ht="15" customHeight="1" x14ac:dyDescent="0.25">
      <c r="A92" s="46">
        <v>45853</v>
      </c>
      <c r="B92" s="46" t="s">
        <v>1054</v>
      </c>
      <c r="C92" s="46" t="s">
        <v>25</v>
      </c>
      <c r="D92" s="21" t="s">
        <v>25</v>
      </c>
      <c r="E92" s="47">
        <v>782</v>
      </c>
      <c r="F92" s="21" t="s">
        <v>269</v>
      </c>
      <c r="G92" s="4" t="s">
        <v>1055</v>
      </c>
      <c r="H92" s="4" t="s">
        <v>542</v>
      </c>
      <c r="I92" s="4"/>
      <c r="J92" s="4" t="s">
        <v>229</v>
      </c>
      <c r="K92" s="4" t="s">
        <v>621</v>
      </c>
      <c r="L92" s="4" t="s">
        <v>87</v>
      </c>
      <c r="M92" s="4" t="s">
        <v>1056</v>
      </c>
      <c r="N92" s="4" t="s">
        <v>1057</v>
      </c>
      <c r="O92" s="4" t="s">
        <v>1058</v>
      </c>
      <c r="P92" s="4">
        <v>620359</v>
      </c>
      <c r="Q92" s="4">
        <v>4757070</v>
      </c>
      <c r="R92" s="91">
        <f t="shared" si="11"/>
        <v>89.2</v>
      </c>
      <c r="S92" s="35">
        <v>89.2</v>
      </c>
      <c r="T92" s="5"/>
      <c r="U92" s="6"/>
      <c r="V92" s="4"/>
      <c r="W92" s="20"/>
      <c r="X92" s="4"/>
      <c r="Y92" s="20"/>
      <c r="Z92" s="4"/>
      <c r="AA92" s="20"/>
      <c r="AB92" s="4"/>
      <c r="AC92" s="20"/>
      <c r="AD92" s="4"/>
      <c r="AE92" s="20"/>
      <c r="AF92" s="19"/>
      <c r="AG92" s="8"/>
      <c r="AH92" s="17"/>
      <c r="AI92" s="37"/>
      <c r="AJ92" s="18"/>
      <c r="AK92" s="21"/>
      <c r="AL92" s="21" t="s">
        <v>218</v>
      </c>
      <c r="AM92" s="36"/>
      <c r="AN92" s="69" t="s">
        <v>235</v>
      </c>
      <c r="AO92" s="69" t="s">
        <v>206</v>
      </c>
      <c r="AP92" s="69" t="s">
        <v>231</v>
      </c>
      <c r="AQ92" s="69" t="s">
        <v>231</v>
      </c>
      <c r="AR92" s="69" t="s">
        <v>231</v>
      </c>
      <c r="AS92" s="69" t="s">
        <v>206</v>
      </c>
      <c r="AT92" s="69" t="s">
        <v>231</v>
      </c>
      <c r="AU92" s="69" t="s">
        <v>206</v>
      </c>
      <c r="AV92" s="21" t="s">
        <v>206</v>
      </c>
      <c r="AW92" s="4" t="str">
        <f t="shared" si="12"/>
        <v>C</v>
      </c>
      <c r="AX92" s="45" t="str">
        <f t="shared" si="9"/>
        <v/>
      </c>
    </row>
    <row r="93" spans="1:50" ht="15" customHeight="1" x14ac:dyDescent="0.25">
      <c r="A93" s="46">
        <v>45853</v>
      </c>
      <c r="B93" s="46" t="s">
        <v>1063</v>
      </c>
      <c r="C93" s="46" t="s">
        <v>25</v>
      </c>
      <c r="D93" s="21" t="s">
        <v>25</v>
      </c>
      <c r="E93" s="47">
        <v>784</v>
      </c>
      <c r="F93" s="21" t="s">
        <v>269</v>
      </c>
      <c r="G93" s="4" t="s">
        <v>1060</v>
      </c>
      <c r="H93" s="4" t="s">
        <v>494</v>
      </c>
      <c r="I93" s="4"/>
      <c r="J93" s="4" t="s">
        <v>229</v>
      </c>
      <c r="K93" s="4" t="s">
        <v>317</v>
      </c>
      <c r="L93" s="4" t="s">
        <v>87</v>
      </c>
      <c r="M93" s="4" t="s">
        <v>437</v>
      </c>
      <c r="N93" s="4" t="s">
        <v>1061</v>
      </c>
      <c r="O93" s="4" t="s">
        <v>1062</v>
      </c>
      <c r="P93" s="4">
        <v>560078</v>
      </c>
      <c r="Q93" s="4">
        <v>4802162</v>
      </c>
      <c r="R93" s="91">
        <f t="shared" ref="R93:R106" si="13">SUM(S93:AJ93)</f>
        <v>5</v>
      </c>
      <c r="S93" s="35">
        <v>5</v>
      </c>
      <c r="T93" s="5"/>
      <c r="U93" s="6"/>
      <c r="V93" s="4"/>
      <c r="W93" s="20"/>
      <c r="X93" s="4"/>
      <c r="Y93" s="20"/>
      <c r="Z93" s="4"/>
      <c r="AA93" s="20"/>
      <c r="AB93" s="4"/>
      <c r="AC93" s="20"/>
      <c r="AD93" s="4"/>
      <c r="AE93" s="20"/>
      <c r="AF93" s="19"/>
      <c r="AG93" s="8"/>
      <c r="AH93" s="17"/>
      <c r="AI93" s="37"/>
      <c r="AJ93" s="18"/>
      <c r="AK93" s="21"/>
      <c r="AL93" s="21"/>
      <c r="AM93" s="36"/>
      <c r="AN93" s="21" t="s">
        <v>235</v>
      </c>
      <c r="AO93" s="21" t="s">
        <v>231</v>
      </c>
      <c r="AP93" s="21" t="s">
        <v>231</v>
      </c>
      <c r="AQ93" s="21" t="s">
        <v>231</v>
      </c>
      <c r="AR93" s="21" t="s">
        <v>231</v>
      </c>
      <c r="AS93" s="21" t="s">
        <v>231</v>
      </c>
      <c r="AT93" s="21" t="s">
        <v>231</v>
      </c>
      <c r="AU93" s="21" t="s">
        <v>236</v>
      </c>
      <c r="AV93" s="21" t="s">
        <v>236</v>
      </c>
      <c r="AW93" s="4" t="str">
        <f t="shared" ref="AW93:AW107" si="14">IF(R93&gt;4999.9,"G",IF(R93&gt;999.9,"F",IF(R93&gt;299.9,"E",IF(R93&gt;99.9,"D",IF(R93&gt;9.9,"C",IF(R93&gt;0.25,"B",IF(R93&gt;0,"A","")))))))</f>
        <v>B</v>
      </c>
      <c r="AX93" s="45" t="str">
        <f t="shared" ref="AX93:AX102" si="15">IF(AND(AV93="Y",AND(T93&gt;0, T93&lt;300)),"Y","")</f>
        <v/>
      </c>
    </row>
    <row r="94" spans="1:50" ht="15" customHeight="1" x14ac:dyDescent="0.25">
      <c r="A94" s="46">
        <v>45854</v>
      </c>
      <c r="B94" s="46" t="s">
        <v>1064</v>
      </c>
      <c r="C94" s="46" t="s">
        <v>25</v>
      </c>
      <c r="D94" s="21" t="s">
        <v>25</v>
      </c>
      <c r="E94" s="47">
        <v>790</v>
      </c>
      <c r="F94" s="21" t="s">
        <v>252</v>
      </c>
      <c r="G94" s="4" t="s">
        <v>1065</v>
      </c>
      <c r="H94" s="4" t="s">
        <v>1066</v>
      </c>
      <c r="I94" s="4"/>
      <c r="J94" s="4" t="s">
        <v>229</v>
      </c>
      <c r="K94" s="4" t="s">
        <v>279</v>
      </c>
      <c r="L94" s="4" t="s">
        <v>765</v>
      </c>
      <c r="M94" s="4" t="s">
        <v>1067</v>
      </c>
      <c r="N94" s="4" t="s">
        <v>1068</v>
      </c>
      <c r="O94" s="4" t="s">
        <v>1069</v>
      </c>
      <c r="P94" s="4">
        <v>527601</v>
      </c>
      <c r="Q94" s="4">
        <v>4793882</v>
      </c>
      <c r="R94" s="91">
        <f t="shared" si="13"/>
        <v>6.4</v>
      </c>
      <c r="S94" s="7">
        <v>6.4</v>
      </c>
      <c r="T94" s="5"/>
      <c r="U94" s="6"/>
      <c r="V94" s="21"/>
      <c r="W94" s="20"/>
      <c r="X94" s="21"/>
      <c r="Y94" s="20"/>
      <c r="Z94" s="21"/>
      <c r="AA94" s="20"/>
      <c r="AB94" s="21"/>
      <c r="AC94" s="20"/>
      <c r="AD94" s="21"/>
      <c r="AE94" s="20"/>
      <c r="AF94" s="19"/>
      <c r="AG94" s="8"/>
      <c r="AH94" s="17"/>
      <c r="AI94" s="37"/>
      <c r="AJ94" s="18"/>
      <c r="AK94" s="21"/>
      <c r="AL94" s="21"/>
      <c r="AM94" s="21"/>
      <c r="AN94" s="21" t="s">
        <v>235</v>
      </c>
      <c r="AO94" s="21" t="s">
        <v>231</v>
      </c>
      <c r="AP94" s="21" t="s">
        <v>206</v>
      </c>
      <c r="AQ94" s="21" t="s">
        <v>231</v>
      </c>
      <c r="AR94" s="21" t="s">
        <v>231</v>
      </c>
      <c r="AS94" s="21" t="s">
        <v>206</v>
      </c>
      <c r="AT94" s="21" t="s">
        <v>231</v>
      </c>
      <c r="AU94" s="21" t="s">
        <v>206</v>
      </c>
      <c r="AV94" s="21" t="s">
        <v>236</v>
      </c>
      <c r="AW94" s="4" t="str">
        <f t="shared" si="14"/>
        <v>B</v>
      </c>
      <c r="AX94" s="45" t="str">
        <f t="shared" si="15"/>
        <v/>
      </c>
    </row>
    <row r="95" spans="1:50" ht="15" customHeight="1" x14ac:dyDescent="0.25">
      <c r="A95" s="46">
        <v>45856</v>
      </c>
      <c r="B95" s="46" t="s">
        <v>1071</v>
      </c>
      <c r="C95" s="46" t="s">
        <v>25</v>
      </c>
      <c r="D95" s="21" t="s">
        <v>25</v>
      </c>
      <c r="E95" s="47">
        <v>796</v>
      </c>
      <c r="F95" s="21" t="s">
        <v>252</v>
      </c>
      <c r="G95" s="4" t="s">
        <v>1070</v>
      </c>
      <c r="H95" s="4" t="s">
        <v>276</v>
      </c>
      <c r="I95" s="4" t="s">
        <v>1066</v>
      </c>
      <c r="J95" s="4" t="s">
        <v>229</v>
      </c>
      <c r="K95" s="4" t="s">
        <v>621</v>
      </c>
      <c r="L95" s="4" t="s">
        <v>87</v>
      </c>
      <c r="M95" s="4" t="s">
        <v>1072</v>
      </c>
      <c r="N95" s="4" t="s">
        <v>1073</v>
      </c>
      <c r="O95" s="4" t="s">
        <v>1074</v>
      </c>
      <c r="P95" s="4">
        <v>528721</v>
      </c>
      <c r="Q95" s="4">
        <v>4795504</v>
      </c>
      <c r="R95" s="91">
        <f t="shared" si="13"/>
        <v>54.8</v>
      </c>
      <c r="S95" s="35">
        <v>54.8</v>
      </c>
      <c r="T95" s="5"/>
      <c r="U95" s="6"/>
      <c r="V95" s="4"/>
      <c r="W95" s="20"/>
      <c r="X95" s="4"/>
      <c r="Y95" s="20"/>
      <c r="Z95" s="4"/>
      <c r="AA95" s="20"/>
      <c r="AB95" s="4"/>
      <c r="AC95" s="20"/>
      <c r="AD95" s="4"/>
      <c r="AE95" s="20"/>
      <c r="AF95" s="19"/>
      <c r="AG95" s="8"/>
      <c r="AH95" s="17"/>
      <c r="AI95" s="37"/>
      <c r="AJ95" s="18"/>
      <c r="AK95" s="21"/>
      <c r="AL95" s="21"/>
      <c r="AM95" s="36"/>
      <c r="AN95" s="21" t="s">
        <v>235</v>
      </c>
      <c r="AO95" s="21" t="s">
        <v>206</v>
      </c>
      <c r="AP95" s="21" t="s">
        <v>231</v>
      </c>
      <c r="AQ95" s="21" t="s">
        <v>231</v>
      </c>
      <c r="AR95" s="21" t="s">
        <v>231</v>
      </c>
      <c r="AS95" s="21" t="s">
        <v>206</v>
      </c>
      <c r="AT95" s="21" t="s">
        <v>231</v>
      </c>
      <c r="AU95" s="21" t="s">
        <v>206</v>
      </c>
      <c r="AV95" s="21" t="s">
        <v>206</v>
      </c>
      <c r="AW95" s="4" t="str">
        <f t="shared" si="14"/>
        <v>C</v>
      </c>
      <c r="AX95" s="45" t="str">
        <f t="shared" si="15"/>
        <v/>
      </c>
    </row>
    <row r="96" spans="1:50" ht="15" customHeight="1" x14ac:dyDescent="0.25">
      <c r="A96" s="46">
        <v>45857</v>
      </c>
      <c r="B96" s="46" t="s">
        <v>1077</v>
      </c>
      <c r="C96" s="46" t="s">
        <v>25</v>
      </c>
      <c r="D96" s="21" t="s">
        <v>80</v>
      </c>
      <c r="E96" s="47">
        <v>800</v>
      </c>
      <c r="F96" s="21" t="s">
        <v>226</v>
      </c>
      <c r="G96" s="4" t="s">
        <v>1075</v>
      </c>
      <c r="H96" s="4" t="s">
        <v>811</v>
      </c>
      <c r="I96" s="4"/>
      <c r="J96" s="4" t="s">
        <v>229</v>
      </c>
      <c r="K96" s="4" t="s">
        <v>621</v>
      </c>
      <c r="L96" s="4" t="s">
        <v>243</v>
      </c>
      <c r="M96" s="4" t="s">
        <v>1076</v>
      </c>
      <c r="N96" s="4" t="s">
        <v>1080</v>
      </c>
      <c r="O96" s="4" t="s">
        <v>1081</v>
      </c>
      <c r="P96" s="4">
        <v>574907</v>
      </c>
      <c r="Q96" s="4">
        <v>4810769</v>
      </c>
      <c r="R96" s="91">
        <f t="shared" si="13"/>
        <v>8898.2999999999993</v>
      </c>
      <c r="S96" s="35">
        <v>3953.2</v>
      </c>
      <c r="T96" s="5"/>
      <c r="U96" s="6">
        <v>635.6</v>
      </c>
      <c r="V96" s="4">
        <v>4309.5</v>
      </c>
      <c r="W96" s="20"/>
      <c r="X96" s="4"/>
      <c r="Y96" s="20"/>
      <c r="Z96" s="4"/>
      <c r="AA96" s="20"/>
      <c r="AB96" s="4"/>
      <c r="AC96" s="20"/>
      <c r="AD96" s="4"/>
      <c r="AE96" s="20"/>
      <c r="AF96" s="19"/>
      <c r="AG96" s="8"/>
      <c r="AH96" s="17"/>
      <c r="AI96" s="37"/>
      <c r="AJ96" s="18"/>
      <c r="AK96" s="21"/>
      <c r="AL96" s="21" t="s">
        <v>218</v>
      </c>
      <c r="AM96" s="36"/>
      <c r="AN96" s="21" t="s">
        <v>235</v>
      </c>
      <c r="AO96" s="21" t="s">
        <v>206</v>
      </c>
      <c r="AP96" s="21" t="s">
        <v>231</v>
      </c>
      <c r="AQ96" s="21" t="s">
        <v>231</v>
      </c>
      <c r="AR96" s="21" t="s">
        <v>231</v>
      </c>
      <c r="AS96" s="21" t="s">
        <v>206</v>
      </c>
      <c r="AT96" s="21" t="s">
        <v>231</v>
      </c>
      <c r="AU96" s="21" t="s">
        <v>236</v>
      </c>
      <c r="AV96" s="21" t="s">
        <v>206</v>
      </c>
      <c r="AW96" s="4" t="str">
        <f t="shared" si="14"/>
        <v>G</v>
      </c>
      <c r="AX96" s="45" t="str">
        <f t="shared" si="15"/>
        <v/>
      </c>
    </row>
    <row r="97" spans="1:51" ht="15" customHeight="1" x14ac:dyDescent="0.25">
      <c r="A97" s="46">
        <v>45857</v>
      </c>
      <c r="B97" s="46" t="s">
        <v>1078</v>
      </c>
      <c r="C97" s="46" t="s">
        <v>25</v>
      </c>
      <c r="D97" s="21" t="s">
        <v>25</v>
      </c>
      <c r="E97" s="47">
        <v>801</v>
      </c>
      <c r="F97" s="21" t="s">
        <v>269</v>
      </c>
      <c r="G97" s="4" t="s">
        <v>1079</v>
      </c>
      <c r="H97" s="4" t="s">
        <v>844</v>
      </c>
      <c r="I97" s="4"/>
      <c r="J97" s="4" t="s">
        <v>229</v>
      </c>
      <c r="K97" s="4" t="s">
        <v>317</v>
      </c>
      <c r="L97" s="4" t="s">
        <v>87</v>
      </c>
      <c r="M97" s="4" t="s">
        <v>318</v>
      </c>
      <c r="N97" s="4" t="s">
        <v>1082</v>
      </c>
      <c r="O97" s="4" t="s">
        <v>1083</v>
      </c>
      <c r="P97" s="4">
        <v>560674</v>
      </c>
      <c r="Q97" s="4">
        <v>4799566</v>
      </c>
      <c r="R97" s="91">
        <f t="shared" si="13"/>
        <v>23</v>
      </c>
      <c r="S97" s="7">
        <v>23</v>
      </c>
      <c r="T97" s="5"/>
      <c r="U97" s="6"/>
      <c r="V97" s="21"/>
      <c r="W97" s="20"/>
      <c r="X97" s="21"/>
      <c r="Y97" s="20"/>
      <c r="Z97" s="21"/>
      <c r="AA97" s="20"/>
      <c r="AB97" s="21"/>
      <c r="AC97" s="20"/>
      <c r="AD97" s="21"/>
      <c r="AE97" s="20"/>
      <c r="AF97" s="19"/>
      <c r="AG97" s="8"/>
      <c r="AH97" s="17"/>
      <c r="AI97" s="37"/>
      <c r="AJ97" s="18"/>
      <c r="AK97" s="21"/>
      <c r="AL97" s="21" t="s">
        <v>218</v>
      </c>
      <c r="AM97" s="21"/>
      <c r="AN97" s="21" t="s">
        <v>235</v>
      </c>
      <c r="AO97" s="21" t="s">
        <v>231</v>
      </c>
      <c r="AP97" s="21" t="s">
        <v>231</v>
      </c>
      <c r="AQ97" s="21" t="s">
        <v>231</v>
      </c>
      <c r="AR97" s="21" t="s">
        <v>231</v>
      </c>
      <c r="AS97" s="21" t="s">
        <v>206</v>
      </c>
      <c r="AT97" s="21" t="s">
        <v>231</v>
      </c>
      <c r="AU97" s="21" t="s">
        <v>236</v>
      </c>
      <c r="AV97" s="21" t="s">
        <v>236</v>
      </c>
      <c r="AW97" s="4" t="str">
        <f t="shared" si="14"/>
        <v>C</v>
      </c>
      <c r="AX97" s="45" t="str">
        <f t="shared" si="15"/>
        <v/>
      </c>
    </row>
    <row r="98" spans="1:51" ht="16.5" customHeight="1" x14ac:dyDescent="0.25">
      <c r="A98" s="46">
        <v>45858</v>
      </c>
      <c r="B98" s="46" t="s">
        <v>1090</v>
      </c>
      <c r="C98" s="46" t="s">
        <v>25</v>
      </c>
      <c r="D98" s="21" t="s">
        <v>25</v>
      </c>
      <c r="E98" s="47">
        <v>805</v>
      </c>
      <c r="F98" s="21" t="s">
        <v>226</v>
      </c>
      <c r="G98" s="4" t="s">
        <v>1089</v>
      </c>
      <c r="H98" s="4" t="s">
        <v>495</v>
      </c>
      <c r="I98" s="4" t="s">
        <v>615</v>
      </c>
      <c r="J98" s="4" t="s">
        <v>229</v>
      </c>
      <c r="K98" s="4" t="s">
        <v>317</v>
      </c>
      <c r="L98" s="4" t="s">
        <v>87</v>
      </c>
      <c r="M98" s="4" t="s">
        <v>341</v>
      </c>
      <c r="N98" s="4" t="s">
        <v>1091</v>
      </c>
      <c r="O98" s="4" t="s">
        <v>343</v>
      </c>
      <c r="P98" s="289">
        <v>516425</v>
      </c>
      <c r="Q98" s="4">
        <v>4852891</v>
      </c>
      <c r="R98" s="91">
        <f t="shared" si="13"/>
        <v>4</v>
      </c>
      <c r="S98" s="35">
        <v>4</v>
      </c>
      <c r="T98" s="5"/>
      <c r="U98" s="6"/>
      <c r="V98" s="4"/>
      <c r="W98" s="20"/>
      <c r="X98" s="4"/>
      <c r="Y98" s="20"/>
      <c r="Z98" s="4"/>
      <c r="AA98" s="20"/>
      <c r="AB98" s="4"/>
      <c r="AC98" s="20"/>
      <c r="AD98" s="4"/>
      <c r="AE98" s="20"/>
      <c r="AF98" s="19"/>
      <c r="AG98" s="8"/>
      <c r="AH98" s="17"/>
      <c r="AI98" s="37"/>
      <c r="AJ98" s="18"/>
      <c r="AK98" s="21"/>
      <c r="AL98" s="21" t="s">
        <v>218</v>
      </c>
      <c r="AM98" s="36"/>
      <c r="AN98" s="21" t="s">
        <v>235</v>
      </c>
      <c r="AO98" s="21" t="s">
        <v>231</v>
      </c>
      <c r="AP98" s="21" t="s">
        <v>231</v>
      </c>
      <c r="AQ98" s="21" t="s">
        <v>231</v>
      </c>
      <c r="AR98" s="21" t="s">
        <v>231</v>
      </c>
      <c r="AS98" s="21" t="s">
        <v>206</v>
      </c>
      <c r="AT98" s="21" t="s">
        <v>231</v>
      </c>
      <c r="AU98" s="21" t="s">
        <v>206</v>
      </c>
      <c r="AV98" s="21" t="s">
        <v>236</v>
      </c>
      <c r="AW98" s="4" t="str">
        <f t="shared" si="14"/>
        <v>B</v>
      </c>
      <c r="AX98" s="45" t="str">
        <f t="shared" si="15"/>
        <v/>
      </c>
    </row>
    <row r="99" spans="1:51" ht="16.5" customHeight="1" x14ac:dyDescent="0.25">
      <c r="A99" s="46">
        <v>45859</v>
      </c>
      <c r="B99" s="46" t="s">
        <v>1092</v>
      </c>
      <c r="C99" s="46" t="s">
        <v>25</v>
      </c>
      <c r="D99" s="21" t="s">
        <v>82</v>
      </c>
      <c r="E99" s="47">
        <v>810</v>
      </c>
      <c r="F99" s="21" t="s">
        <v>252</v>
      </c>
      <c r="G99" s="4" t="s">
        <v>1094</v>
      </c>
      <c r="H99" s="4" t="s">
        <v>1096</v>
      </c>
      <c r="I99" s="4" t="s">
        <v>1097</v>
      </c>
      <c r="J99" s="4" t="s">
        <v>229</v>
      </c>
      <c r="K99" s="4" t="s">
        <v>279</v>
      </c>
      <c r="L99" s="4" t="s">
        <v>765</v>
      </c>
      <c r="M99" s="4" t="s">
        <v>1098</v>
      </c>
      <c r="N99" s="4" t="s">
        <v>1100</v>
      </c>
      <c r="O99" s="4" t="s">
        <v>1101</v>
      </c>
      <c r="P99" s="4">
        <v>506461</v>
      </c>
      <c r="Q99" s="4">
        <v>4814627</v>
      </c>
      <c r="R99" s="91">
        <f t="shared" si="13"/>
        <v>0.1</v>
      </c>
      <c r="S99" s="35"/>
      <c r="T99" s="5"/>
      <c r="U99" s="6"/>
      <c r="V99" s="4"/>
      <c r="W99" s="20"/>
      <c r="X99" s="4"/>
      <c r="Y99" s="20"/>
      <c r="Z99" s="4"/>
      <c r="AA99" s="20"/>
      <c r="AB99" s="4"/>
      <c r="AC99" s="20"/>
      <c r="AD99" s="4"/>
      <c r="AE99" s="20">
        <v>0.1</v>
      </c>
      <c r="AF99" s="19"/>
      <c r="AG99" s="8"/>
      <c r="AH99" s="17"/>
      <c r="AI99" s="37"/>
      <c r="AJ99" s="18"/>
      <c r="AK99" s="21"/>
      <c r="AL99" s="21"/>
      <c r="AM99" s="36"/>
      <c r="AN99" s="21" t="s">
        <v>235</v>
      </c>
      <c r="AO99" s="21" t="s">
        <v>206</v>
      </c>
      <c r="AP99" s="21" t="s">
        <v>206</v>
      </c>
      <c r="AQ99" s="21" t="s">
        <v>231</v>
      </c>
      <c r="AR99" s="21" t="s">
        <v>231</v>
      </c>
      <c r="AS99" s="21" t="s">
        <v>206</v>
      </c>
      <c r="AT99" s="21" t="s">
        <v>231</v>
      </c>
      <c r="AU99" s="21" t="s">
        <v>236</v>
      </c>
      <c r="AV99" s="21" t="s">
        <v>236</v>
      </c>
      <c r="AW99" s="4" t="str">
        <f t="shared" si="14"/>
        <v>A</v>
      </c>
      <c r="AX99" s="45" t="str">
        <f t="shared" si="15"/>
        <v/>
      </c>
    </row>
    <row r="100" spans="1:51" ht="16.5" customHeight="1" x14ac:dyDescent="0.25">
      <c r="A100" s="46">
        <v>45859</v>
      </c>
      <c r="B100" s="46" t="s">
        <v>1093</v>
      </c>
      <c r="C100" s="46" t="s">
        <v>25</v>
      </c>
      <c r="D100" s="21" t="s">
        <v>25</v>
      </c>
      <c r="E100" s="47">
        <v>811</v>
      </c>
      <c r="F100" s="21" t="s">
        <v>226</v>
      </c>
      <c r="G100" s="4" t="s">
        <v>1095</v>
      </c>
      <c r="H100" s="4" t="s">
        <v>495</v>
      </c>
      <c r="I100" s="4"/>
      <c r="J100" s="4" t="s">
        <v>229</v>
      </c>
      <c r="K100" s="4" t="s">
        <v>279</v>
      </c>
      <c r="L100" s="4" t="s">
        <v>765</v>
      </c>
      <c r="M100" s="4" t="s">
        <v>1099</v>
      </c>
      <c r="N100" s="4" t="s">
        <v>1102</v>
      </c>
      <c r="O100" s="4" t="s">
        <v>1103</v>
      </c>
      <c r="P100" s="4">
        <v>545738</v>
      </c>
      <c r="Q100" s="4">
        <v>4811184</v>
      </c>
      <c r="R100" s="91">
        <f t="shared" si="13"/>
        <v>5</v>
      </c>
      <c r="S100" s="35">
        <v>5</v>
      </c>
      <c r="T100" s="5"/>
      <c r="U100" s="6"/>
      <c r="V100" s="4"/>
      <c r="W100" s="20"/>
      <c r="X100" s="4"/>
      <c r="Y100" s="20"/>
      <c r="Z100" s="4"/>
      <c r="AA100" s="20"/>
      <c r="AB100" s="4"/>
      <c r="AC100" s="20"/>
      <c r="AD100" s="4"/>
      <c r="AE100" s="20"/>
      <c r="AF100" s="19"/>
      <c r="AG100" s="8"/>
      <c r="AH100" s="17"/>
      <c r="AI100" s="37"/>
      <c r="AJ100" s="18"/>
      <c r="AK100" s="21"/>
      <c r="AL100" s="21"/>
      <c r="AM100" s="36"/>
      <c r="AN100" s="21" t="s">
        <v>235</v>
      </c>
      <c r="AO100" s="21" t="s">
        <v>231</v>
      </c>
      <c r="AP100" s="21" t="s">
        <v>231</v>
      </c>
      <c r="AQ100" s="21" t="s">
        <v>231</v>
      </c>
      <c r="AR100" s="21" t="s">
        <v>231</v>
      </c>
      <c r="AS100" s="21" t="s">
        <v>206</v>
      </c>
      <c r="AT100" s="21" t="s">
        <v>231</v>
      </c>
      <c r="AU100" s="21" t="s">
        <v>236</v>
      </c>
      <c r="AV100" s="21" t="s">
        <v>236</v>
      </c>
      <c r="AW100" s="4" t="str">
        <f t="shared" si="14"/>
        <v>B</v>
      </c>
      <c r="AX100" s="45" t="str">
        <f t="shared" si="15"/>
        <v/>
      </c>
    </row>
    <row r="101" spans="1:51" ht="16.5" customHeight="1" x14ac:dyDescent="0.25">
      <c r="A101" s="46">
        <v>45860</v>
      </c>
      <c r="B101" s="46" t="s">
        <v>1104</v>
      </c>
      <c r="C101" s="46" t="s">
        <v>25</v>
      </c>
      <c r="D101" s="21" t="s">
        <v>25</v>
      </c>
      <c r="E101" s="47">
        <v>816</v>
      </c>
      <c r="F101" s="21" t="s">
        <v>226</v>
      </c>
      <c r="G101" s="4" t="s">
        <v>2089</v>
      </c>
      <c r="H101" s="4" t="s">
        <v>795</v>
      </c>
      <c r="I101" s="4"/>
      <c r="J101" s="4" t="s">
        <v>229</v>
      </c>
      <c r="K101" s="4" t="s">
        <v>621</v>
      </c>
      <c r="L101" s="4" t="s">
        <v>87</v>
      </c>
      <c r="M101" s="4" t="s">
        <v>1105</v>
      </c>
      <c r="N101" s="4" t="s">
        <v>1106</v>
      </c>
      <c r="O101" s="4" t="s">
        <v>1107</v>
      </c>
      <c r="P101" s="4">
        <v>630081</v>
      </c>
      <c r="Q101" s="4">
        <v>4756052</v>
      </c>
      <c r="R101" s="91">
        <f t="shared" si="13"/>
        <v>0.1</v>
      </c>
      <c r="S101" s="35">
        <v>0.1</v>
      </c>
      <c r="T101" s="5"/>
      <c r="U101" s="6"/>
      <c r="V101" s="4"/>
      <c r="W101" s="20"/>
      <c r="X101" s="4"/>
      <c r="Y101" s="20"/>
      <c r="Z101" s="4"/>
      <c r="AA101" s="20"/>
      <c r="AB101" s="4"/>
      <c r="AC101" s="20"/>
      <c r="AD101" s="4"/>
      <c r="AE101" s="20"/>
      <c r="AF101" s="19"/>
      <c r="AG101" s="8"/>
      <c r="AH101" s="17"/>
      <c r="AI101" s="37"/>
      <c r="AJ101" s="18"/>
      <c r="AK101" s="21"/>
      <c r="AL101" s="21"/>
      <c r="AM101" s="36"/>
      <c r="AN101" s="21" t="s">
        <v>516</v>
      </c>
      <c r="AO101" s="21" t="s">
        <v>206</v>
      </c>
      <c r="AP101" s="21" t="s">
        <v>231</v>
      </c>
      <c r="AQ101" s="21" t="s">
        <v>231</v>
      </c>
      <c r="AR101" s="21" t="s">
        <v>231</v>
      </c>
      <c r="AS101" s="21" t="s">
        <v>206</v>
      </c>
      <c r="AT101" s="21" t="s">
        <v>231</v>
      </c>
      <c r="AU101" s="21" t="s">
        <v>236</v>
      </c>
      <c r="AV101" s="21" t="s">
        <v>236</v>
      </c>
      <c r="AW101" s="4" t="str">
        <f t="shared" si="14"/>
        <v>A</v>
      </c>
      <c r="AX101" s="45" t="str">
        <f t="shared" si="15"/>
        <v/>
      </c>
    </row>
    <row r="102" spans="1:51" ht="16.5" customHeight="1" x14ac:dyDescent="0.25">
      <c r="A102" s="46">
        <v>45862</v>
      </c>
      <c r="B102" s="46" t="s">
        <v>1114</v>
      </c>
      <c r="C102" s="46" t="s">
        <v>25</v>
      </c>
      <c r="D102" s="21" t="s">
        <v>25</v>
      </c>
      <c r="E102" s="47">
        <v>827</v>
      </c>
      <c r="F102" s="21" t="s">
        <v>252</v>
      </c>
      <c r="G102" s="4" t="s">
        <v>1115</v>
      </c>
      <c r="H102" s="4" t="s">
        <v>392</v>
      </c>
      <c r="I102" s="4"/>
      <c r="J102" s="4" t="s">
        <v>556</v>
      </c>
      <c r="K102" s="4"/>
      <c r="L102" s="4"/>
      <c r="M102" s="4" t="s">
        <v>1193</v>
      </c>
      <c r="N102" s="4" t="s">
        <v>1194</v>
      </c>
      <c r="O102" s="4" t="s">
        <v>1169</v>
      </c>
      <c r="P102" s="4">
        <v>530160</v>
      </c>
      <c r="Q102" s="4">
        <v>4661307</v>
      </c>
      <c r="R102" s="91">
        <f t="shared" si="13"/>
        <v>890.3</v>
      </c>
      <c r="S102" s="35">
        <v>890.3</v>
      </c>
      <c r="T102" s="5"/>
      <c r="U102" s="6"/>
      <c r="V102" s="4"/>
      <c r="W102" s="20"/>
      <c r="X102" s="4"/>
      <c r="Y102" s="20"/>
      <c r="Z102" s="4"/>
      <c r="AA102" s="20"/>
      <c r="AB102" s="4"/>
      <c r="AC102" s="20"/>
      <c r="AD102" s="4"/>
      <c r="AE102" s="20"/>
      <c r="AF102" s="19"/>
      <c r="AG102" s="8"/>
      <c r="AH102" s="17"/>
      <c r="AI102" s="37"/>
      <c r="AJ102" s="18"/>
      <c r="AK102" s="21"/>
      <c r="AL102" s="21" t="s">
        <v>218</v>
      </c>
      <c r="AM102" s="36"/>
      <c r="AN102" s="21" t="s">
        <v>132</v>
      </c>
      <c r="AO102" s="21" t="s">
        <v>231</v>
      </c>
      <c r="AP102" s="21" t="s">
        <v>206</v>
      </c>
      <c r="AQ102" s="21" t="s">
        <v>231</v>
      </c>
      <c r="AR102" s="21" t="s">
        <v>231</v>
      </c>
      <c r="AS102" s="21" t="s">
        <v>231</v>
      </c>
      <c r="AT102" s="21" t="s">
        <v>231</v>
      </c>
      <c r="AU102" s="21" t="s">
        <v>206</v>
      </c>
      <c r="AV102" s="21" t="s">
        <v>206</v>
      </c>
      <c r="AW102" s="4" t="str">
        <f t="shared" si="14"/>
        <v>E</v>
      </c>
      <c r="AX102" s="45" t="str">
        <f t="shared" si="15"/>
        <v/>
      </c>
    </row>
    <row r="103" spans="1:51" ht="16.5" customHeight="1" x14ac:dyDescent="0.25">
      <c r="A103" s="46">
        <v>45864</v>
      </c>
      <c r="B103" s="46" t="s">
        <v>1125</v>
      </c>
      <c r="C103" s="46" t="s">
        <v>25</v>
      </c>
      <c r="D103" s="21" t="s">
        <v>25</v>
      </c>
      <c r="E103" s="47">
        <v>841</v>
      </c>
      <c r="F103" s="21" t="s">
        <v>1119</v>
      </c>
      <c r="G103" s="4" t="s">
        <v>1120</v>
      </c>
      <c r="H103" s="4" t="s">
        <v>1126</v>
      </c>
      <c r="I103" s="4"/>
      <c r="J103" s="4" t="s">
        <v>556</v>
      </c>
      <c r="K103" s="4"/>
      <c r="L103" s="4"/>
      <c r="M103" s="4" t="s">
        <v>1121</v>
      </c>
      <c r="N103" s="4" t="s">
        <v>1127</v>
      </c>
      <c r="O103" s="4" t="s">
        <v>1128</v>
      </c>
      <c r="P103" s="91"/>
      <c r="Q103" s="91"/>
      <c r="R103" s="91">
        <f t="shared" si="13"/>
        <v>0.1</v>
      </c>
      <c r="S103" s="35">
        <v>0.1</v>
      </c>
      <c r="T103" s="5"/>
      <c r="U103" s="6"/>
      <c r="V103" s="4"/>
      <c r="W103" s="20"/>
      <c r="X103" s="4"/>
      <c r="Y103" s="20"/>
      <c r="Z103" s="4"/>
      <c r="AA103" s="20"/>
      <c r="AB103" s="4"/>
      <c r="AC103" s="20"/>
      <c r="AD103" s="4"/>
      <c r="AE103" s="20"/>
      <c r="AF103" s="19"/>
      <c r="AG103" s="8"/>
      <c r="AH103" s="17"/>
      <c r="AI103" s="37"/>
      <c r="AJ103" s="18"/>
      <c r="AK103" s="21"/>
      <c r="AL103" s="21" t="s">
        <v>218</v>
      </c>
      <c r="AM103" s="36"/>
      <c r="AN103" s="21" t="s">
        <v>132</v>
      </c>
      <c r="AO103" s="21" t="s">
        <v>231</v>
      </c>
      <c r="AP103" s="21" t="s">
        <v>206</v>
      </c>
      <c r="AQ103" s="21" t="s">
        <v>231</v>
      </c>
      <c r="AR103" s="21" t="s">
        <v>231</v>
      </c>
      <c r="AS103" s="21" t="s">
        <v>231</v>
      </c>
      <c r="AT103" s="21" t="s">
        <v>231</v>
      </c>
      <c r="AU103" s="21" t="s">
        <v>236</v>
      </c>
      <c r="AV103" s="21" t="s">
        <v>236</v>
      </c>
      <c r="AW103" s="4" t="str">
        <f t="shared" si="14"/>
        <v>A</v>
      </c>
      <c r="AX103" s="45" t="str">
        <f t="shared" si="9"/>
        <v/>
      </c>
    </row>
    <row r="104" spans="1:51" ht="16.5" customHeight="1" x14ac:dyDescent="0.25">
      <c r="A104" s="46">
        <v>45864</v>
      </c>
      <c r="B104" s="46" t="s">
        <v>1135</v>
      </c>
      <c r="C104" s="46" t="s">
        <v>25</v>
      </c>
      <c r="D104" s="21" t="s">
        <v>25</v>
      </c>
      <c r="E104" s="47">
        <v>843</v>
      </c>
      <c r="F104" s="21" t="s">
        <v>252</v>
      </c>
      <c r="G104" s="4" t="s">
        <v>1129</v>
      </c>
      <c r="H104" s="4" t="s">
        <v>1133</v>
      </c>
      <c r="I104" s="4" t="s">
        <v>1134</v>
      </c>
      <c r="J104" s="4" t="s">
        <v>556</v>
      </c>
      <c r="K104" s="4"/>
      <c r="L104" s="4"/>
      <c r="M104" s="4" t="s">
        <v>1130</v>
      </c>
      <c r="N104" s="4" t="s">
        <v>1136</v>
      </c>
      <c r="O104" s="4" t="s">
        <v>1137</v>
      </c>
      <c r="P104" s="91"/>
      <c r="Q104" s="91"/>
      <c r="R104" s="91">
        <f t="shared" si="13"/>
        <v>0.5</v>
      </c>
      <c r="S104" s="35">
        <v>0.5</v>
      </c>
      <c r="T104" s="5"/>
      <c r="U104" s="6"/>
      <c r="V104" s="4"/>
      <c r="W104" s="20"/>
      <c r="X104" s="4"/>
      <c r="Y104" s="20"/>
      <c r="Z104" s="4"/>
      <c r="AA104" s="20"/>
      <c r="AB104" s="4"/>
      <c r="AC104" s="20"/>
      <c r="AD104" s="4"/>
      <c r="AE104" s="20"/>
      <c r="AF104" s="19"/>
      <c r="AG104" s="8"/>
      <c r="AH104" s="17"/>
      <c r="AI104" s="37"/>
      <c r="AJ104" s="18"/>
      <c r="AK104" s="21"/>
      <c r="AL104" s="21"/>
      <c r="AM104" s="36" t="s">
        <v>218</v>
      </c>
      <c r="AN104" s="21" t="s">
        <v>516</v>
      </c>
      <c r="AO104" s="21" t="s">
        <v>231</v>
      </c>
      <c r="AP104" s="21" t="s">
        <v>206</v>
      </c>
      <c r="AQ104" s="21" t="s">
        <v>231</v>
      </c>
      <c r="AR104" s="21" t="s">
        <v>231</v>
      </c>
      <c r="AS104" s="21" t="s">
        <v>231</v>
      </c>
      <c r="AT104" s="21" t="s">
        <v>206</v>
      </c>
      <c r="AU104" s="21" t="s">
        <v>236</v>
      </c>
      <c r="AV104" s="21" t="s">
        <v>236</v>
      </c>
      <c r="AW104" s="4" t="str">
        <f t="shared" si="14"/>
        <v>B</v>
      </c>
      <c r="AX104" s="45" t="str">
        <f t="shared" si="9"/>
        <v/>
      </c>
    </row>
    <row r="105" spans="1:51" ht="16.5" customHeight="1" x14ac:dyDescent="0.25">
      <c r="A105" s="46">
        <v>45864</v>
      </c>
      <c r="B105" s="46" t="s">
        <v>416</v>
      </c>
      <c r="C105" s="46" t="s">
        <v>26</v>
      </c>
      <c r="D105" s="21" t="s">
        <v>26</v>
      </c>
      <c r="E105" s="47">
        <v>844</v>
      </c>
      <c r="F105" s="21" t="s">
        <v>327</v>
      </c>
      <c r="G105" s="4" t="s">
        <v>1132</v>
      </c>
      <c r="H105" s="4" t="s">
        <v>1138</v>
      </c>
      <c r="I105" s="4"/>
      <c r="J105" s="4" t="s">
        <v>556</v>
      </c>
      <c r="K105" s="4"/>
      <c r="L105" s="4"/>
      <c r="M105" s="4" t="s">
        <v>1131</v>
      </c>
      <c r="N105" s="4" t="s">
        <v>1139</v>
      </c>
      <c r="O105" s="4" t="s">
        <v>1140</v>
      </c>
      <c r="P105" s="91"/>
      <c r="Q105" s="91"/>
      <c r="R105" s="91">
        <f t="shared" si="13"/>
        <v>0.1</v>
      </c>
      <c r="S105" s="35"/>
      <c r="T105" s="5">
        <v>0.1</v>
      </c>
      <c r="U105" s="6"/>
      <c r="V105" s="4"/>
      <c r="W105" s="20"/>
      <c r="X105" s="4"/>
      <c r="Y105" s="20"/>
      <c r="Z105" s="4"/>
      <c r="AA105" s="20"/>
      <c r="AB105" s="4"/>
      <c r="AC105" s="20"/>
      <c r="AD105" s="4"/>
      <c r="AE105" s="20"/>
      <c r="AF105" s="19"/>
      <c r="AG105" s="8"/>
      <c r="AH105" s="17"/>
      <c r="AI105" s="37"/>
      <c r="AJ105" s="18"/>
      <c r="AK105" s="21"/>
      <c r="AL105" s="21"/>
      <c r="AM105" s="36"/>
      <c r="AN105" s="21" t="s">
        <v>516</v>
      </c>
      <c r="AO105" s="21" t="s">
        <v>231</v>
      </c>
      <c r="AP105" s="21" t="s">
        <v>231</v>
      </c>
      <c r="AQ105" s="21" t="s">
        <v>231</v>
      </c>
      <c r="AR105" s="21" t="s">
        <v>231</v>
      </c>
      <c r="AS105" s="21" t="s">
        <v>231</v>
      </c>
      <c r="AT105" s="21" t="s">
        <v>231</v>
      </c>
      <c r="AU105" s="21" t="s">
        <v>236</v>
      </c>
      <c r="AV105" s="21" t="s">
        <v>236</v>
      </c>
      <c r="AW105" s="4" t="str">
        <f t="shared" si="14"/>
        <v>A</v>
      </c>
      <c r="AX105" s="45" t="str">
        <f t="shared" si="9"/>
        <v/>
      </c>
    </row>
    <row r="106" spans="1:51" ht="16.5" customHeight="1" x14ac:dyDescent="0.25">
      <c r="A106" s="46">
        <v>45865</v>
      </c>
      <c r="B106" s="46" t="s">
        <v>416</v>
      </c>
      <c r="C106" s="46" t="s">
        <v>26</v>
      </c>
      <c r="D106" s="21" t="s">
        <v>26</v>
      </c>
      <c r="E106" s="47">
        <v>847</v>
      </c>
      <c r="F106" s="21" t="s">
        <v>327</v>
      </c>
      <c r="G106" s="4" t="s">
        <v>1142</v>
      </c>
      <c r="H106" s="4" t="s">
        <v>580</v>
      </c>
      <c r="I106" s="4" t="s">
        <v>963</v>
      </c>
      <c r="J106" s="4" t="s">
        <v>556</v>
      </c>
      <c r="K106" s="4"/>
      <c r="L106" s="4"/>
      <c r="M106" s="4" t="s">
        <v>1141</v>
      </c>
      <c r="N106" s="4" t="s">
        <v>1143</v>
      </c>
      <c r="O106" s="4" t="s">
        <v>1144</v>
      </c>
      <c r="P106" s="91"/>
      <c r="Q106" s="91"/>
      <c r="R106" s="91">
        <f t="shared" si="13"/>
        <v>0.1</v>
      </c>
      <c r="S106" s="35"/>
      <c r="T106" s="5">
        <v>0.1</v>
      </c>
      <c r="U106" s="6"/>
      <c r="V106" s="4"/>
      <c r="W106" s="20"/>
      <c r="X106" s="4"/>
      <c r="Y106" s="20"/>
      <c r="Z106" s="4"/>
      <c r="AA106" s="20"/>
      <c r="AB106" s="4"/>
      <c r="AC106" s="20"/>
      <c r="AD106" s="4"/>
      <c r="AE106" s="20"/>
      <c r="AF106" s="19"/>
      <c r="AG106" s="8"/>
      <c r="AH106" s="17"/>
      <c r="AI106" s="37"/>
      <c r="AJ106" s="18"/>
      <c r="AK106" s="21"/>
      <c r="AL106" s="21"/>
      <c r="AM106" s="36"/>
      <c r="AN106" s="21" t="s">
        <v>132</v>
      </c>
      <c r="AO106" s="21" t="s">
        <v>231</v>
      </c>
      <c r="AP106" s="21" t="s">
        <v>231</v>
      </c>
      <c r="AQ106" s="21" t="s">
        <v>231</v>
      </c>
      <c r="AR106" s="21" t="s">
        <v>231</v>
      </c>
      <c r="AS106" s="21" t="s">
        <v>231</v>
      </c>
      <c r="AT106" s="21" t="s">
        <v>231</v>
      </c>
      <c r="AU106" s="21" t="s">
        <v>236</v>
      </c>
      <c r="AV106" s="21" t="s">
        <v>236</v>
      </c>
      <c r="AW106" s="4" t="str">
        <f t="shared" si="14"/>
        <v>A</v>
      </c>
      <c r="AX106" s="45" t="str">
        <f t="shared" si="9"/>
        <v/>
      </c>
    </row>
    <row r="107" spans="1:51" ht="16.5" customHeight="1" x14ac:dyDescent="0.25">
      <c r="A107" s="46">
        <v>45865</v>
      </c>
      <c r="B107" s="46" t="s">
        <v>416</v>
      </c>
      <c r="C107" s="46" t="s">
        <v>26</v>
      </c>
      <c r="D107" s="21" t="s">
        <v>26</v>
      </c>
      <c r="E107" s="47">
        <v>848</v>
      </c>
      <c r="F107" s="21" t="s">
        <v>381</v>
      </c>
      <c r="G107" s="4" t="s">
        <v>1148</v>
      </c>
      <c r="H107" s="4" t="s">
        <v>1146</v>
      </c>
      <c r="I107" s="4" t="s">
        <v>1147</v>
      </c>
      <c r="J107" s="4" t="s">
        <v>556</v>
      </c>
      <c r="K107" s="4"/>
      <c r="L107" s="4"/>
      <c r="M107" s="4" t="s">
        <v>1145</v>
      </c>
      <c r="N107" s="4" t="s">
        <v>1149</v>
      </c>
      <c r="O107" s="4" t="s">
        <v>1150</v>
      </c>
      <c r="P107" s="91"/>
      <c r="Q107" s="91"/>
      <c r="R107" s="91">
        <f t="shared" si="11"/>
        <v>0.25</v>
      </c>
      <c r="S107" s="35"/>
      <c r="T107" s="5">
        <v>0.25</v>
      </c>
      <c r="U107" s="6"/>
      <c r="V107" s="4"/>
      <c r="W107" s="20"/>
      <c r="X107" s="4"/>
      <c r="Y107" s="20"/>
      <c r="Z107" s="4"/>
      <c r="AA107" s="20"/>
      <c r="AB107" s="4"/>
      <c r="AC107" s="20"/>
      <c r="AD107" s="4"/>
      <c r="AE107" s="20"/>
      <c r="AF107" s="19"/>
      <c r="AG107" s="8"/>
      <c r="AH107" s="17"/>
      <c r="AI107" s="37"/>
      <c r="AJ107" s="18"/>
      <c r="AK107" s="21"/>
      <c r="AL107" s="21"/>
      <c r="AM107" s="36"/>
      <c r="AN107" s="21" t="s">
        <v>132</v>
      </c>
      <c r="AO107" s="21" t="s">
        <v>206</v>
      </c>
      <c r="AP107" s="21" t="s">
        <v>231</v>
      </c>
      <c r="AQ107" s="21" t="s">
        <v>231</v>
      </c>
      <c r="AR107" s="21" t="s">
        <v>231</v>
      </c>
      <c r="AS107" s="21" t="s">
        <v>231</v>
      </c>
      <c r="AT107" s="21" t="s">
        <v>231</v>
      </c>
      <c r="AU107" s="21" t="s">
        <v>236</v>
      </c>
      <c r="AV107" s="21" t="s">
        <v>236</v>
      </c>
      <c r="AW107" s="4" t="str">
        <f t="shared" si="14"/>
        <v>A</v>
      </c>
      <c r="AX107" s="45" t="str">
        <f t="shared" si="9"/>
        <v/>
      </c>
    </row>
    <row r="108" spans="1:51" ht="16.5" customHeight="1" x14ac:dyDescent="0.25">
      <c r="A108" s="46">
        <v>45865</v>
      </c>
      <c r="B108" s="46" t="s">
        <v>1153</v>
      </c>
      <c r="C108" s="46" t="s">
        <v>25</v>
      </c>
      <c r="D108" s="21" t="s">
        <v>25</v>
      </c>
      <c r="E108" s="47">
        <v>849</v>
      </c>
      <c r="F108" s="21" t="s">
        <v>252</v>
      </c>
      <c r="G108" s="4" t="s">
        <v>1151</v>
      </c>
      <c r="H108" s="4" t="s">
        <v>248</v>
      </c>
      <c r="I108" s="4"/>
      <c r="J108" s="4" t="s">
        <v>556</v>
      </c>
      <c r="K108" s="4"/>
      <c r="L108" s="4"/>
      <c r="M108" s="4" t="s">
        <v>1152</v>
      </c>
      <c r="N108" s="4" t="s">
        <v>1155</v>
      </c>
      <c r="O108" s="4" t="s">
        <v>1156</v>
      </c>
      <c r="P108" s="4">
        <v>500139</v>
      </c>
      <c r="Q108" s="4">
        <v>479776</v>
      </c>
      <c r="R108" s="91">
        <f t="shared" si="11"/>
        <v>0.1</v>
      </c>
      <c r="S108" s="35">
        <v>0.1</v>
      </c>
      <c r="T108" s="5"/>
      <c r="U108" s="6"/>
      <c r="V108" s="4"/>
      <c r="W108" s="20"/>
      <c r="X108" s="4"/>
      <c r="Y108" s="20"/>
      <c r="Z108" s="4"/>
      <c r="AA108" s="20"/>
      <c r="AB108" s="4"/>
      <c r="AC108" s="20"/>
      <c r="AD108" s="4"/>
      <c r="AE108" s="20"/>
      <c r="AF108" s="19"/>
      <c r="AG108" s="8"/>
      <c r="AH108" s="17"/>
      <c r="AI108" s="37"/>
      <c r="AJ108" s="18"/>
      <c r="AK108" s="21"/>
      <c r="AL108" s="21"/>
      <c r="AM108" s="36" t="s">
        <v>218</v>
      </c>
      <c r="AN108" s="21" t="s">
        <v>235</v>
      </c>
      <c r="AO108" s="21" t="s">
        <v>206</v>
      </c>
      <c r="AP108" s="21" t="s">
        <v>206</v>
      </c>
      <c r="AQ108" s="21" t="s">
        <v>231</v>
      </c>
      <c r="AR108" s="21" t="s">
        <v>231</v>
      </c>
      <c r="AS108" s="21" t="s">
        <v>231</v>
      </c>
      <c r="AT108" s="21" t="s">
        <v>206</v>
      </c>
      <c r="AU108" s="21" t="s">
        <v>236</v>
      </c>
      <c r="AV108" s="21" t="s">
        <v>236</v>
      </c>
      <c r="AW108" s="4" t="str">
        <f t="shared" si="12"/>
        <v>A</v>
      </c>
      <c r="AX108" s="45" t="str">
        <f t="shared" si="9"/>
        <v/>
      </c>
    </row>
    <row r="109" spans="1:51" ht="16.5" customHeight="1" x14ac:dyDescent="0.25">
      <c r="A109" s="46">
        <v>45865</v>
      </c>
      <c r="B109" s="46" t="s">
        <v>1157</v>
      </c>
      <c r="C109" s="46" t="s">
        <v>25</v>
      </c>
      <c r="D109" s="21" t="s">
        <v>80</v>
      </c>
      <c r="E109" s="47">
        <v>850</v>
      </c>
      <c r="F109" s="21" t="s">
        <v>226</v>
      </c>
      <c r="G109" s="4" t="s">
        <v>1154</v>
      </c>
      <c r="H109" s="4" t="s">
        <v>494</v>
      </c>
      <c r="I109" s="4" t="s">
        <v>770</v>
      </c>
      <c r="J109" s="4" t="s">
        <v>556</v>
      </c>
      <c r="K109" s="4"/>
      <c r="L109" s="4"/>
      <c r="M109" s="4" t="s">
        <v>1158</v>
      </c>
      <c r="N109" s="4" t="s">
        <v>1159</v>
      </c>
      <c r="O109" s="4" t="s">
        <v>1160</v>
      </c>
      <c r="P109" s="4">
        <v>578564</v>
      </c>
      <c r="Q109" s="4">
        <v>4795610</v>
      </c>
      <c r="R109" s="91">
        <f t="shared" si="11"/>
        <v>0.25</v>
      </c>
      <c r="S109" s="35"/>
      <c r="T109" s="5"/>
      <c r="U109" s="6"/>
      <c r="V109" s="4">
        <v>0.25</v>
      </c>
      <c r="W109" s="20"/>
      <c r="X109" s="4"/>
      <c r="Y109" s="20"/>
      <c r="Z109" s="4"/>
      <c r="AA109" s="20"/>
      <c r="AB109" s="4"/>
      <c r="AC109" s="20"/>
      <c r="AD109" s="4"/>
      <c r="AE109" s="20"/>
      <c r="AF109" s="19"/>
      <c r="AG109" s="8"/>
      <c r="AH109" s="17"/>
      <c r="AI109" s="37"/>
      <c r="AJ109" s="18"/>
      <c r="AK109" s="21"/>
      <c r="AL109" s="21"/>
      <c r="AM109" s="36"/>
      <c r="AN109" s="21" t="s">
        <v>516</v>
      </c>
      <c r="AO109" s="21" t="s">
        <v>206</v>
      </c>
      <c r="AP109" s="21" t="s">
        <v>231</v>
      </c>
      <c r="AQ109" s="21" t="s">
        <v>231</v>
      </c>
      <c r="AR109" s="21" t="s">
        <v>231</v>
      </c>
      <c r="AS109" s="21" t="s">
        <v>231</v>
      </c>
      <c r="AT109" s="21" t="s">
        <v>206</v>
      </c>
      <c r="AU109" s="21" t="s">
        <v>206</v>
      </c>
      <c r="AV109" s="21" t="s">
        <v>236</v>
      </c>
      <c r="AW109" s="4" t="str">
        <f t="shared" si="12"/>
        <v>A</v>
      </c>
      <c r="AX109" s="45" t="str">
        <f t="shared" si="9"/>
        <v/>
      </c>
    </row>
    <row r="110" spans="1:51" ht="16.5" customHeight="1" x14ac:dyDescent="0.25">
      <c r="A110" s="46">
        <v>45866</v>
      </c>
      <c r="B110" s="46" t="s">
        <v>1161</v>
      </c>
      <c r="C110" s="46" t="s">
        <v>25</v>
      </c>
      <c r="D110" s="21" t="s">
        <v>82</v>
      </c>
      <c r="E110" s="47">
        <v>852</v>
      </c>
      <c r="F110" s="21" t="s">
        <v>252</v>
      </c>
      <c r="G110" s="4" t="s">
        <v>1162</v>
      </c>
      <c r="H110" s="4" t="s">
        <v>832</v>
      </c>
      <c r="I110" s="4"/>
      <c r="J110" s="4" t="s">
        <v>556</v>
      </c>
      <c r="K110" s="4"/>
      <c r="L110" s="4"/>
      <c r="M110" s="4" t="s">
        <v>1163</v>
      </c>
      <c r="N110" s="4" t="s">
        <v>1164</v>
      </c>
      <c r="O110" s="4" t="s">
        <v>2104</v>
      </c>
      <c r="P110" s="4">
        <v>504606</v>
      </c>
      <c r="Q110" s="4">
        <v>4783719</v>
      </c>
      <c r="R110" s="91">
        <f t="shared" si="11"/>
        <v>390.4</v>
      </c>
      <c r="S110" s="35">
        <v>383.2</v>
      </c>
      <c r="T110" s="5"/>
      <c r="U110" s="6"/>
      <c r="V110" s="4"/>
      <c r="W110" s="20"/>
      <c r="X110" s="4"/>
      <c r="Y110" s="20"/>
      <c r="Z110" s="4"/>
      <c r="AA110" s="20"/>
      <c r="AB110" s="4"/>
      <c r="AC110" s="20"/>
      <c r="AD110" s="4"/>
      <c r="AE110" s="20">
        <v>7.2</v>
      </c>
      <c r="AF110" s="19"/>
      <c r="AG110" s="8"/>
      <c r="AH110" s="17"/>
      <c r="AI110" s="37"/>
      <c r="AJ110" s="18"/>
      <c r="AK110" s="21"/>
      <c r="AL110" s="21" t="s">
        <v>218</v>
      </c>
      <c r="AM110" s="36"/>
      <c r="AN110" s="21" t="s">
        <v>235</v>
      </c>
      <c r="AO110" s="21" t="s">
        <v>231</v>
      </c>
      <c r="AP110" s="21" t="s">
        <v>206</v>
      </c>
      <c r="AQ110" s="21" t="s">
        <v>231</v>
      </c>
      <c r="AR110" s="21" t="s">
        <v>231</v>
      </c>
      <c r="AS110" s="21" t="s">
        <v>231</v>
      </c>
      <c r="AT110" s="21" t="s">
        <v>206</v>
      </c>
      <c r="AU110" s="21" t="s">
        <v>206</v>
      </c>
      <c r="AV110" s="21" t="s">
        <v>236</v>
      </c>
      <c r="AW110" s="4" t="str">
        <f t="shared" si="12"/>
        <v>E</v>
      </c>
      <c r="AX110" s="45" t="str">
        <f t="shared" si="9"/>
        <v/>
      </c>
    </row>
    <row r="111" spans="1:51" ht="16.5" customHeight="1" x14ac:dyDescent="0.25">
      <c r="A111" s="46">
        <v>45866</v>
      </c>
      <c r="B111" s="46" t="s">
        <v>1166</v>
      </c>
      <c r="C111" s="46" t="s">
        <v>25</v>
      </c>
      <c r="D111" s="21" t="s">
        <v>25</v>
      </c>
      <c r="E111" s="47">
        <v>854</v>
      </c>
      <c r="F111" s="21" t="s">
        <v>252</v>
      </c>
      <c r="G111" s="4" t="s">
        <v>1170</v>
      </c>
      <c r="H111" s="4" t="s">
        <v>1011</v>
      </c>
      <c r="I111" s="4" t="s">
        <v>1167</v>
      </c>
      <c r="J111" s="4" t="s">
        <v>556</v>
      </c>
      <c r="K111" s="4"/>
      <c r="L111" s="4"/>
      <c r="M111" s="4" t="s">
        <v>1165</v>
      </c>
      <c r="N111" s="4" t="s">
        <v>1168</v>
      </c>
      <c r="O111" s="4" t="s">
        <v>1169</v>
      </c>
      <c r="P111" s="91"/>
      <c r="Q111" s="91"/>
      <c r="R111" s="91">
        <f t="shared" si="11"/>
        <v>0.1</v>
      </c>
      <c r="S111" s="35">
        <v>0.1</v>
      </c>
      <c r="T111" s="5"/>
      <c r="U111" s="6"/>
      <c r="V111" s="4"/>
      <c r="W111" s="20"/>
      <c r="X111" s="4"/>
      <c r="Y111" s="20"/>
      <c r="Z111" s="4"/>
      <c r="AA111" s="20"/>
      <c r="AB111" s="4"/>
      <c r="AC111" s="20"/>
      <c r="AD111" s="4"/>
      <c r="AE111" s="20"/>
      <c r="AF111" s="19"/>
      <c r="AG111" s="8"/>
      <c r="AH111" s="17"/>
      <c r="AI111" s="37"/>
      <c r="AJ111" s="18"/>
      <c r="AK111" s="21"/>
      <c r="AL111" s="21" t="s">
        <v>218</v>
      </c>
      <c r="AM111" s="36"/>
      <c r="AN111" s="21" t="s">
        <v>235</v>
      </c>
      <c r="AO111" s="21" t="s">
        <v>231</v>
      </c>
      <c r="AP111" s="21" t="s">
        <v>206</v>
      </c>
      <c r="AQ111" s="21" t="s">
        <v>231</v>
      </c>
      <c r="AR111" s="21" t="s">
        <v>231</v>
      </c>
      <c r="AS111" s="21" t="s">
        <v>231</v>
      </c>
      <c r="AT111" s="21" t="s">
        <v>231</v>
      </c>
      <c r="AU111" s="21" t="s">
        <v>236</v>
      </c>
      <c r="AV111" s="21" t="s">
        <v>236</v>
      </c>
      <c r="AW111" s="4" t="str">
        <f t="shared" si="12"/>
        <v>A</v>
      </c>
      <c r="AX111" s="45" t="str">
        <f t="shared" si="9"/>
        <v/>
      </c>
    </row>
    <row r="112" spans="1:51" ht="15" customHeight="1" x14ac:dyDescent="0.25">
      <c r="A112" s="46">
        <v>45866</v>
      </c>
      <c r="B112" s="46" t="s">
        <v>1172</v>
      </c>
      <c r="C112" s="46" t="s">
        <v>25</v>
      </c>
      <c r="D112" s="21" t="s">
        <v>25</v>
      </c>
      <c r="E112" s="47">
        <v>861</v>
      </c>
      <c r="F112" s="21" t="s">
        <v>252</v>
      </c>
      <c r="G112" s="4" t="s">
        <v>1171</v>
      </c>
      <c r="H112" s="4" t="s">
        <v>1011</v>
      </c>
      <c r="I112" s="4"/>
      <c r="J112" s="4" t="s">
        <v>556</v>
      </c>
      <c r="K112" s="4"/>
      <c r="L112" s="4"/>
      <c r="M112" s="4" t="s">
        <v>1173</v>
      </c>
      <c r="N112" s="4" t="s">
        <v>1174</v>
      </c>
      <c r="O112" s="4" t="s">
        <v>1175</v>
      </c>
      <c r="P112" s="4">
        <v>543557</v>
      </c>
      <c r="Q112" s="4">
        <v>4767032</v>
      </c>
      <c r="R112" s="91">
        <f t="shared" si="11"/>
        <v>3</v>
      </c>
      <c r="S112" s="35">
        <v>3</v>
      </c>
      <c r="T112" s="5"/>
      <c r="U112" s="6"/>
      <c r="V112" s="4"/>
      <c r="W112" s="20"/>
      <c r="X112" s="4"/>
      <c r="Y112" s="20"/>
      <c r="Z112" s="4"/>
      <c r="AA112" s="20"/>
      <c r="AB112" s="4"/>
      <c r="AC112" s="20"/>
      <c r="AD112" s="4"/>
      <c r="AE112" s="20"/>
      <c r="AF112" s="19"/>
      <c r="AG112" s="8"/>
      <c r="AH112" s="17"/>
      <c r="AI112" s="37"/>
      <c r="AJ112" s="18"/>
      <c r="AK112" s="21"/>
      <c r="AL112" s="21"/>
      <c r="AM112" s="36"/>
      <c r="AN112" s="21" t="s">
        <v>235</v>
      </c>
      <c r="AO112" s="21" t="s">
        <v>206</v>
      </c>
      <c r="AP112" s="21" t="s">
        <v>206</v>
      </c>
      <c r="AQ112" s="21" t="s">
        <v>231</v>
      </c>
      <c r="AR112" s="21" t="s">
        <v>231</v>
      </c>
      <c r="AS112" s="21" t="s">
        <v>206</v>
      </c>
      <c r="AT112" s="21" t="s">
        <v>231</v>
      </c>
      <c r="AU112" s="21" t="s">
        <v>236</v>
      </c>
      <c r="AV112" s="21" t="s">
        <v>236</v>
      </c>
      <c r="AW112" s="4" t="str">
        <f t="shared" si="12"/>
        <v>B</v>
      </c>
      <c r="AX112" s="45" t="str">
        <f t="shared" si="9"/>
        <v/>
      </c>
      <c r="AY112" s="22" t="s">
        <v>5</v>
      </c>
    </row>
    <row r="113" spans="1:50" ht="15" customHeight="1" x14ac:dyDescent="0.25">
      <c r="A113" s="46">
        <v>45867</v>
      </c>
      <c r="B113" s="46" t="s">
        <v>1185</v>
      </c>
      <c r="C113" s="46" t="s">
        <v>28</v>
      </c>
      <c r="D113" s="21" t="s">
        <v>26</v>
      </c>
      <c r="E113" s="47">
        <v>862</v>
      </c>
      <c r="F113" s="21" t="s">
        <v>381</v>
      </c>
      <c r="G113" s="4" t="s">
        <v>1176</v>
      </c>
      <c r="H113" s="4" t="s">
        <v>247</v>
      </c>
      <c r="I113" s="4"/>
      <c r="J113" s="4" t="s">
        <v>556</v>
      </c>
      <c r="K113" s="4"/>
      <c r="L113" s="4"/>
      <c r="M113" s="4" t="s">
        <v>1186</v>
      </c>
      <c r="N113" s="4" t="s">
        <v>1187</v>
      </c>
      <c r="O113" s="4" t="s">
        <v>1188</v>
      </c>
      <c r="P113" s="91"/>
      <c r="Q113" s="91"/>
      <c r="R113" s="91">
        <f t="shared" si="11"/>
        <v>26.8</v>
      </c>
      <c r="S113" s="35"/>
      <c r="T113" s="5">
        <v>26.8</v>
      </c>
      <c r="U113" s="6"/>
      <c r="V113" s="4"/>
      <c r="W113" s="20"/>
      <c r="X113" s="4"/>
      <c r="Y113" s="20"/>
      <c r="Z113" s="4"/>
      <c r="AA113" s="20"/>
      <c r="AB113" s="4"/>
      <c r="AC113" s="20"/>
      <c r="AD113" s="4"/>
      <c r="AE113" s="20"/>
      <c r="AF113" s="19"/>
      <c r="AG113" s="8"/>
      <c r="AH113" s="17"/>
      <c r="AI113" s="37"/>
      <c r="AJ113" s="18"/>
      <c r="AK113" s="21"/>
      <c r="AL113" s="21"/>
      <c r="AM113" s="36"/>
      <c r="AN113" s="21" t="s">
        <v>235</v>
      </c>
      <c r="AO113" s="21" t="s">
        <v>231</v>
      </c>
      <c r="AP113" s="21" t="s">
        <v>231</v>
      </c>
      <c r="AQ113" s="21" t="s">
        <v>231</v>
      </c>
      <c r="AR113" s="21" t="s">
        <v>231</v>
      </c>
      <c r="AS113" s="21" t="s">
        <v>231</v>
      </c>
      <c r="AT113" s="21" t="s">
        <v>231</v>
      </c>
      <c r="AU113" s="21" t="s">
        <v>236</v>
      </c>
      <c r="AV113" s="21" t="s">
        <v>236</v>
      </c>
      <c r="AW113" s="4" t="str">
        <f t="shared" si="12"/>
        <v>C</v>
      </c>
      <c r="AX113" s="45" t="str">
        <f t="shared" si="9"/>
        <v/>
      </c>
    </row>
    <row r="114" spans="1:50" ht="15" customHeight="1" x14ac:dyDescent="0.25">
      <c r="A114" s="46">
        <v>45867</v>
      </c>
      <c r="B114" s="46" t="s">
        <v>416</v>
      </c>
      <c r="C114" s="46" t="s">
        <v>26</v>
      </c>
      <c r="D114" s="21" t="s">
        <v>26</v>
      </c>
      <c r="E114" s="47">
        <v>863</v>
      </c>
      <c r="F114" s="21" t="s">
        <v>456</v>
      </c>
      <c r="G114" s="4" t="s">
        <v>1177</v>
      </c>
      <c r="H114" s="4" t="s">
        <v>1189</v>
      </c>
      <c r="I114" s="4" t="s">
        <v>1190</v>
      </c>
      <c r="J114" s="4" t="s">
        <v>556</v>
      </c>
      <c r="K114" s="4"/>
      <c r="L114" s="4"/>
      <c r="M114" s="4" t="s">
        <v>1199</v>
      </c>
      <c r="N114" s="4" t="s">
        <v>1197</v>
      </c>
      <c r="O114" s="4" t="s">
        <v>1198</v>
      </c>
      <c r="P114" s="91"/>
      <c r="Q114" s="91"/>
      <c r="R114" s="91">
        <f t="shared" si="11"/>
        <v>0.1</v>
      </c>
      <c r="S114" s="35"/>
      <c r="T114" s="5">
        <v>0.1</v>
      </c>
      <c r="U114" s="6"/>
      <c r="V114" s="4"/>
      <c r="W114" s="20"/>
      <c r="X114" s="4"/>
      <c r="Y114" s="20"/>
      <c r="Z114" s="4"/>
      <c r="AA114" s="20"/>
      <c r="AB114" s="4"/>
      <c r="AC114" s="20"/>
      <c r="AD114" s="4"/>
      <c r="AE114" s="20"/>
      <c r="AF114" s="19"/>
      <c r="AG114" s="8"/>
      <c r="AH114" s="17"/>
      <c r="AI114" s="37"/>
      <c r="AJ114" s="18"/>
      <c r="AK114" s="21"/>
      <c r="AL114" s="21"/>
      <c r="AM114" s="36"/>
      <c r="AN114" s="21" t="s">
        <v>928</v>
      </c>
      <c r="AO114" s="21" t="s">
        <v>231</v>
      </c>
      <c r="AP114" s="21" t="s">
        <v>231</v>
      </c>
      <c r="AQ114" s="21" t="s">
        <v>231</v>
      </c>
      <c r="AR114" s="21" t="s">
        <v>231</v>
      </c>
      <c r="AS114" s="21" t="s">
        <v>231</v>
      </c>
      <c r="AT114" s="21" t="s">
        <v>231</v>
      </c>
      <c r="AU114" s="21" t="s">
        <v>236</v>
      </c>
      <c r="AV114" s="21" t="s">
        <v>236</v>
      </c>
      <c r="AW114" s="4" t="str">
        <f t="shared" si="12"/>
        <v>A</v>
      </c>
      <c r="AX114" s="45" t="str">
        <f t="shared" si="9"/>
        <v/>
      </c>
    </row>
    <row r="115" spans="1:50" ht="15" customHeight="1" x14ac:dyDescent="0.25">
      <c r="A115" s="46">
        <v>45867</v>
      </c>
      <c r="B115" s="46" t="s">
        <v>416</v>
      </c>
      <c r="C115" s="46" t="s">
        <v>26</v>
      </c>
      <c r="D115" s="21" t="s">
        <v>26</v>
      </c>
      <c r="E115" s="47">
        <v>864</v>
      </c>
      <c r="F115" s="21" t="s">
        <v>381</v>
      </c>
      <c r="G115" s="4" t="s">
        <v>1178</v>
      </c>
      <c r="H115" s="4" t="s">
        <v>580</v>
      </c>
      <c r="I115" s="4"/>
      <c r="J115" s="4" t="s">
        <v>556</v>
      </c>
      <c r="K115" s="4"/>
      <c r="L115" s="4"/>
      <c r="M115" s="4" t="s">
        <v>1179</v>
      </c>
      <c r="N115" s="4" t="s">
        <v>1195</v>
      </c>
      <c r="O115" s="4" t="s">
        <v>1196</v>
      </c>
      <c r="P115" s="91"/>
      <c r="Q115" s="91"/>
      <c r="R115" s="91">
        <f t="shared" si="11"/>
        <v>0.5</v>
      </c>
      <c r="S115" s="35"/>
      <c r="T115" s="5">
        <v>0.5</v>
      </c>
      <c r="U115" s="6"/>
      <c r="V115" s="4"/>
      <c r="W115" s="20"/>
      <c r="X115" s="4"/>
      <c r="Y115" s="20"/>
      <c r="Z115" s="4"/>
      <c r="AA115" s="20"/>
      <c r="AB115" s="4"/>
      <c r="AC115" s="20"/>
      <c r="AD115" s="4"/>
      <c r="AE115" s="20"/>
      <c r="AF115" s="19"/>
      <c r="AG115" s="8"/>
      <c r="AH115" s="17"/>
      <c r="AI115" s="37"/>
      <c r="AJ115" s="18"/>
      <c r="AK115" s="21"/>
      <c r="AL115" s="21"/>
      <c r="AM115" s="36"/>
      <c r="AN115" s="21" t="s">
        <v>235</v>
      </c>
      <c r="AO115" s="21" t="s">
        <v>231</v>
      </c>
      <c r="AP115" s="21" t="s">
        <v>231</v>
      </c>
      <c r="AQ115" s="21" t="s">
        <v>231</v>
      </c>
      <c r="AR115" s="21" t="s">
        <v>231</v>
      </c>
      <c r="AS115" s="21" t="s">
        <v>231</v>
      </c>
      <c r="AT115" s="21" t="s">
        <v>231</v>
      </c>
      <c r="AU115" s="21" t="s">
        <v>236</v>
      </c>
      <c r="AV115" s="21" t="s">
        <v>236</v>
      </c>
      <c r="AW115" s="4" t="str">
        <f t="shared" si="12"/>
        <v>B</v>
      </c>
      <c r="AX115" s="45" t="str">
        <f t="shared" si="9"/>
        <v/>
      </c>
    </row>
    <row r="116" spans="1:50" ht="15" customHeight="1" x14ac:dyDescent="0.25">
      <c r="A116" s="46">
        <v>45867</v>
      </c>
      <c r="B116" s="46" t="s">
        <v>1184</v>
      </c>
      <c r="C116" s="46" t="s">
        <v>28</v>
      </c>
      <c r="D116" s="21" t="s">
        <v>26</v>
      </c>
      <c r="E116" s="47">
        <v>866</v>
      </c>
      <c r="F116" s="21" t="s">
        <v>381</v>
      </c>
      <c r="G116" s="4" t="s">
        <v>1180</v>
      </c>
      <c r="H116" s="4" t="s">
        <v>1133</v>
      </c>
      <c r="I116" s="4" t="s">
        <v>1134</v>
      </c>
      <c r="J116" s="4" t="s">
        <v>556</v>
      </c>
      <c r="K116" s="4"/>
      <c r="L116" s="4"/>
      <c r="M116" s="4" t="s">
        <v>1181</v>
      </c>
      <c r="N116" s="4" t="s">
        <v>1182</v>
      </c>
      <c r="O116" s="4" t="s">
        <v>1183</v>
      </c>
      <c r="P116" s="91"/>
      <c r="Q116" s="91"/>
      <c r="R116" s="91">
        <f t="shared" si="11"/>
        <v>0.5</v>
      </c>
      <c r="S116" s="35"/>
      <c r="T116" s="5">
        <v>0.5</v>
      </c>
      <c r="U116" s="6"/>
      <c r="V116" s="4"/>
      <c r="W116" s="20"/>
      <c r="X116" s="4"/>
      <c r="Y116" s="20"/>
      <c r="Z116" s="4"/>
      <c r="AA116" s="20"/>
      <c r="AB116" s="4"/>
      <c r="AC116" s="20"/>
      <c r="AD116" s="4"/>
      <c r="AE116" s="20"/>
      <c r="AF116" s="19"/>
      <c r="AG116" s="8"/>
      <c r="AH116" s="17"/>
      <c r="AI116" s="37"/>
      <c r="AJ116" s="18"/>
      <c r="AK116" s="21"/>
      <c r="AL116" s="21" t="s">
        <v>218</v>
      </c>
      <c r="AM116" s="36"/>
      <c r="AN116" s="21" t="s">
        <v>27</v>
      </c>
      <c r="AO116" s="21" t="s">
        <v>231</v>
      </c>
      <c r="AP116" s="21" t="s">
        <v>231</v>
      </c>
      <c r="AQ116" s="21" t="s">
        <v>231</v>
      </c>
      <c r="AR116" s="21" t="s">
        <v>231</v>
      </c>
      <c r="AS116" s="21" t="s">
        <v>231</v>
      </c>
      <c r="AT116" s="21" t="s">
        <v>231</v>
      </c>
      <c r="AU116" s="21" t="s">
        <v>236</v>
      </c>
      <c r="AV116" s="21" t="s">
        <v>236</v>
      </c>
      <c r="AW116" s="4" t="str">
        <f t="shared" si="12"/>
        <v>B</v>
      </c>
      <c r="AX116" s="45" t="str">
        <f t="shared" si="9"/>
        <v/>
      </c>
    </row>
    <row r="117" spans="1:50" ht="15" customHeight="1" x14ac:dyDescent="0.25">
      <c r="A117" s="46">
        <v>45867</v>
      </c>
      <c r="B117" s="46" t="s">
        <v>416</v>
      </c>
      <c r="C117" s="46" t="s">
        <v>26</v>
      </c>
      <c r="D117" s="21" t="s">
        <v>26</v>
      </c>
      <c r="E117" s="47">
        <v>865</v>
      </c>
      <c r="F117" s="21" t="s">
        <v>327</v>
      </c>
      <c r="G117" s="4" t="s">
        <v>1192</v>
      </c>
      <c r="H117" s="4" t="s">
        <v>1200</v>
      </c>
      <c r="I117" s="4" t="s">
        <v>1201</v>
      </c>
      <c r="J117" s="4" t="s">
        <v>556</v>
      </c>
      <c r="K117" s="4"/>
      <c r="L117" s="4"/>
      <c r="M117" s="4" t="s">
        <v>1191</v>
      </c>
      <c r="N117" s="4" t="s">
        <v>1202</v>
      </c>
      <c r="O117" s="4" t="s">
        <v>1203</v>
      </c>
      <c r="P117" s="91"/>
      <c r="Q117" s="91"/>
      <c r="R117" s="91">
        <f t="shared" ref="R117:R119" si="16">SUM(S117:AJ117)</f>
        <v>0.1</v>
      </c>
      <c r="S117" s="35"/>
      <c r="T117" s="5">
        <v>0.1</v>
      </c>
      <c r="U117" s="6"/>
      <c r="V117" s="4"/>
      <c r="W117" s="20"/>
      <c r="X117" s="4"/>
      <c r="Y117" s="20"/>
      <c r="Z117" s="4"/>
      <c r="AA117" s="20"/>
      <c r="AB117" s="4"/>
      <c r="AC117" s="20"/>
      <c r="AD117" s="4"/>
      <c r="AE117" s="20"/>
      <c r="AF117" s="19"/>
      <c r="AG117" s="8"/>
      <c r="AH117" s="17"/>
      <c r="AI117" s="37"/>
      <c r="AJ117" s="18"/>
      <c r="AK117" s="21"/>
      <c r="AL117" s="21"/>
      <c r="AM117" s="36"/>
      <c r="AN117" s="21" t="s">
        <v>516</v>
      </c>
      <c r="AO117" s="21" t="s">
        <v>231</v>
      </c>
      <c r="AP117" s="21" t="s">
        <v>231</v>
      </c>
      <c r="AQ117" s="21" t="s">
        <v>231</v>
      </c>
      <c r="AR117" s="21" t="s">
        <v>231</v>
      </c>
      <c r="AS117" s="21" t="s">
        <v>231</v>
      </c>
      <c r="AT117" s="21" t="s">
        <v>231</v>
      </c>
      <c r="AU117" s="21" t="s">
        <v>236</v>
      </c>
      <c r="AV117" s="21" t="s">
        <v>236</v>
      </c>
      <c r="AW117" s="4" t="str">
        <f t="shared" si="12"/>
        <v>A</v>
      </c>
      <c r="AX117" s="45" t="str">
        <f t="shared" ref="AX117:AX121" si="17">IF(AND(AV117="Y",AND(T117&gt;0, T117&lt;300)),"Y","")</f>
        <v/>
      </c>
    </row>
    <row r="118" spans="1:50" ht="15" customHeight="1" x14ac:dyDescent="0.25">
      <c r="A118" s="46">
        <v>45867</v>
      </c>
      <c r="B118" s="46" t="s">
        <v>1210</v>
      </c>
      <c r="C118" s="46" t="s">
        <v>25</v>
      </c>
      <c r="D118" s="21" t="s">
        <v>25</v>
      </c>
      <c r="E118" s="47">
        <v>868</v>
      </c>
      <c r="F118" s="21" t="s">
        <v>269</v>
      </c>
      <c r="G118" s="4" t="s">
        <v>1204</v>
      </c>
      <c r="H118" s="4" t="s">
        <v>1211</v>
      </c>
      <c r="I118" s="4" t="s">
        <v>543</v>
      </c>
      <c r="J118" s="4" t="s">
        <v>229</v>
      </c>
      <c r="K118" s="4" t="s">
        <v>258</v>
      </c>
      <c r="L118" s="4" t="s">
        <v>590</v>
      </c>
      <c r="M118" s="4" t="s">
        <v>1207</v>
      </c>
      <c r="N118" s="4" t="s">
        <v>1208</v>
      </c>
      <c r="O118" s="4" t="s">
        <v>1209</v>
      </c>
      <c r="P118" s="4">
        <v>549170</v>
      </c>
      <c r="Q118" s="4">
        <v>4801969</v>
      </c>
      <c r="R118" s="91">
        <f t="shared" si="16"/>
        <v>0.1</v>
      </c>
      <c r="S118" s="35">
        <v>0.1</v>
      </c>
      <c r="T118" s="5"/>
      <c r="U118" s="6"/>
      <c r="V118" s="4"/>
      <c r="W118" s="20"/>
      <c r="X118" s="4"/>
      <c r="Y118" s="20"/>
      <c r="Z118" s="4"/>
      <c r="AA118" s="20"/>
      <c r="AB118" s="4"/>
      <c r="AC118" s="20"/>
      <c r="AD118" s="4"/>
      <c r="AE118" s="20"/>
      <c r="AF118" s="19"/>
      <c r="AG118" s="8"/>
      <c r="AH118" s="17"/>
      <c r="AI118" s="37"/>
      <c r="AJ118" s="18"/>
      <c r="AK118" s="21"/>
      <c r="AL118" s="21"/>
      <c r="AM118" s="36"/>
      <c r="AN118" s="21" t="s">
        <v>235</v>
      </c>
      <c r="AO118" s="21" t="s">
        <v>231</v>
      </c>
      <c r="AP118" s="21" t="s">
        <v>231</v>
      </c>
      <c r="AQ118" s="21" t="s">
        <v>206</v>
      </c>
      <c r="AR118" s="21" t="s">
        <v>231</v>
      </c>
      <c r="AS118" s="21" t="s">
        <v>231</v>
      </c>
      <c r="AT118" s="21" t="s">
        <v>231</v>
      </c>
      <c r="AU118" s="21" t="s">
        <v>236</v>
      </c>
      <c r="AV118" s="21" t="s">
        <v>236</v>
      </c>
      <c r="AW118" s="4" t="str">
        <f t="shared" si="12"/>
        <v>A</v>
      </c>
      <c r="AX118" s="45" t="str">
        <f t="shared" si="17"/>
        <v/>
      </c>
    </row>
    <row r="119" spans="1:50" ht="15" customHeight="1" x14ac:dyDescent="0.25">
      <c r="A119" s="46">
        <v>45867</v>
      </c>
      <c r="B119" s="46" t="s">
        <v>416</v>
      </c>
      <c r="C119" s="46" t="s">
        <v>26</v>
      </c>
      <c r="D119" s="21" t="s">
        <v>26</v>
      </c>
      <c r="E119" s="47">
        <v>867</v>
      </c>
      <c r="F119" s="21" t="s">
        <v>381</v>
      </c>
      <c r="G119" s="4" t="s">
        <v>1205</v>
      </c>
      <c r="H119" s="4" t="s">
        <v>1240</v>
      </c>
      <c r="I119" s="4" t="s">
        <v>1241</v>
      </c>
      <c r="J119" s="4" t="s">
        <v>556</v>
      </c>
      <c r="K119" s="4"/>
      <c r="L119" s="4"/>
      <c r="M119" s="4" t="s">
        <v>1206</v>
      </c>
      <c r="N119" s="4" t="s">
        <v>1227</v>
      </c>
      <c r="O119" s="4" t="s">
        <v>1228</v>
      </c>
      <c r="P119" s="91"/>
      <c r="Q119" s="91"/>
      <c r="R119" s="91">
        <f t="shared" si="16"/>
        <v>0.5</v>
      </c>
      <c r="S119" s="35"/>
      <c r="T119" s="5">
        <v>0.5</v>
      </c>
      <c r="U119" s="6"/>
      <c r="V119" s="4"/>
      <c r="W119" s="20"/>
      <c r="X119" s="4"/>
      <c r="Y119" s="20"/>
      <c r="Z119" s="4"/>
      <c r="AA119" s="20"/>
      <c r="AB119" s="4"/>
      <c r="AC119" s="20"/>
      <c r="AD119" s="4"/>
      <c r="AE119" s="20"/>
      <c r="AF119" s="19"/>
      <c r="AG119" s="8"/>
      <c r="AH119" s="17"/>
      <c r="AI119" s="37"/>
      <c r="AJ119" s="18"/>
      <c r="AK119" s="21"/>
      <c r="AL119" s="21"/>
      <c r="AM119" s="36"/>
      <c r="AN119" s="21" t="s">
        <v>928</v>
      </c>
      <c r="AO119" s="21" t="s">
        <v>231</v>
      </c>
      <c r="AP119" s="21" t="s">
        <v>231</v>
      </c>
      <c r="AQ119" s="21" t="s">
        <v>231</v>
      </c>
      <c r="AR119" s="21" t="s">
        <v>231</v>
      </c>
      <c r="AS119" s="21" t="s">
        <v>231</v>
      </c>
      <c r="AT119" s="21" t="s">
        <v>231</v>
      </c>
      <c r="AU119" s="21" t="s">
        <v>236</v>
      </c>
      <c r="AV119" s="21" t="s">
        <v>236</v>
      </c>
      <c r="AW119" s="4" t="str">
        <f t="shared" si="12"/>
        <v>B</v>
      </c>
      <c r="AX119" s="45" t="str">
        <f t="shared" si="17"/>
        <v/>
      </c>
    </row>
    <row r="120" spans="1:50" ht="15" customHeight="1" x14ac:dyDescent="0.25">
      <c r="A120" s="46">
        <v>45867</v>
      </c>
      <c r="B120" s="46" t="s">
        <v>1213</v>
      </c>
      <c r="C120" s="46" t="s">
        <v>25</v>
      </c>
      <c r="D120" s="21" t="s">
        <v>25</v>
      </c>
      <c r="E120" s="47">
        <v>869</v>
      </c>
      <c r="F120" s="21" t="s">
        <v>1119</v>
      </c>
      <c r="G120" s="4" t="s">
        <v>1212</v>
      </c>
      <c r="H120" s="4" t="s">
        <v>392</v>
      </c>
      <c r="I120" s="4"/>
      <c r="J120" s="4" t="s">
        <v>556</v>
      </c>
      <c r="K120" s="4"/>
      <c r="L120" s="4"/>
      <c r="M120" s="4" t="s">
        <v>1218</v>
      </c>
      <c r="N120" s="4" t="s">
        <v>1223</v>
      </c>
      <c r="O120" s="4" t="s">
        <v>1224</v>
      </c>
      <c r="P120" s="4">
        <v>605048</v>
      </c>
      <c r="Q120" s="4">
        <v>4707028</v>
      </c>
      <c r="R120" s="91">
        <f t="shared" si="11"/>
        <v>21896.6</v>
      </c>
      <c r="S120" s="35">
        <v>21022.1</v>
      </c>
      <c r="T120" s="5"/>
      <c r="U120" s="6">
        <v>874.5</v>
      </c>
      <c r="V120" s="4"/>
      <c r="W120" s="20"/>
      <c r="X120" s="4"/>
      <c r="Y120" s="20"/>
      <c r="Z120" s="4"/>
      <c r="AA120" s="20"/>
      <c r="AB120" s="4"/>
      <c r="AC120" s="20"/>
      <c r="AD120" s="4"/>
      <c r="AE120" s="20"/>
      <c r="AF120" s="19"/>
      <c r="AG120" s="8"/>
      <c r="AH120" s="17"/>
      <c r="AI120" s="37"/>
      <c r="AJ120" s="18"/>
      <c r="AK120" s="21"/>
      <c r="AL120" s="21"/>
      <c r="AM120" s="36"/>
      <c r="AN120" s="21" t="s">
        <v>27</v>
      </c>
      <c r="AO120" s="21" t="s">
        <v>231</v>
      </c>
      <c r="AP120" s="21" t="s">
        <v>206</v>
      </c>
      <c r="AQ120" s="21" t="s">
        <v>231</v>
      </c>
      <c r="AR120" s="21" t="s">
        <v>206</v>
      </c>
      <c r="AS120" s="21" t="s">
        <v>231</v>
      </c>
      <c r="AT120" s="21" t="s">
        <v>231</v>
      </c>
      <c r="AU120" s="21" t="s">
        <v>206</v>
      </c>
      <c r="AV120" s="21" t="s">
        <v>206</v>
      </c>
      <c r="AW120" s="4" t="str">
        <f t="shared" si="12"/>
        <v>G</v>
      </c>
      <c r="AX120" s="45" t="str">
        <f t="shared" si="17"/>
        <v/>
      </c>
    </row>
    <row r="121" spans="1:50" ht="15" customHeight="1" x14ac:dyDescent="0.25">
      <c r="A121" s="46">
        <v>45867</v>
      </c>
      <c r="B121" s="46" t="s">
        <v>1214</v>
      </c>
      <c r="C121" s="46" t="s">
        <v>28</v>
      </c>
      <c r="D121" s="21" t="s">
        <v>28</v>
      </c>
      <c r="E121" s="47">
        <v>870</v>
      </c>
      <c r="F121" s="21" t="s">
        <v>28</v>
      </c>
      <c r="G121" s="4" t="s">
        <v>1215</v>
      </c>
      <c r="H121" s="4" t="s">
        <v>542</v>
      </c>
      <c r="I121" s="4" t="s">
        <v>1216</v>
      </c>
      <c r="J121" s="4" t="s">
        <v>556</v>
      </c>
      <c r="K121" s="4"/>
      <c r="L121" s="4"/>
      <c r="M121" s="4" t="s">
        <v>1219</v>
      </c>
      <c r="N121" s="4" t="s">
        <v>1225</v>
      </c>
      <c r="O121" s="4" t="s">
        <v>1226</v>
      </c>
      <c r="P121" s="4">
        <v>603485</v>
      </c>
      <c r="Q121" s="4">
        <v>4768395</v>
      </c>
      <c r="R121" s="91">
        <f t="shared" si="11"/>
        <v>0.1</v>
      </c>
      <c r="S121" s="35"/>
      <c r="T121" s="5"/>
      <c r="U121" s="6">
        <v>0.1</v>
      </c>
      <c r="V121" s="4"/>
      <c r="W121" s="20"/>
      <c r="X121" s="4"/>
      <c r="Y121" s="20"/>
      <c r="Z121" s="4"/>
      <c r="AA121" s="20"/>
      <c r="AB121" s="4"/>
      <c r="AC121" s="20"/>
      <c r="AD121" s="4"/>
      <c r="AE121" s="20"/>
      <c r="AF121" s="19"/>
      <c r="AG121" s="8"/>
      <c r="AH121" s="17"/>
      <c r="AI121" s="37"/>
      <c r="AJ121" s="18"/>
      <c r="AK121" s="21"/>
      <c r="AL121" s="21"/>
      <c r="AM121" s="36"/>
      <c r="AN121" s="21" t="s">
        <v>235</v>
      </c>
      <c r="AO121" s="21" t="s">
        <v>231</v>
      </c>
      <c r="AP121" s="21" t="s">
        <v>231</v>
      </c>
      <c r="AQ121" s="21" t="s">
        <v>231</v>
      </c>
      <c r="AR121" s="21" t="s">
        <v>231</v>
      </c>
      <c r="AS121" s="21" t="s">
        <v>206</v>
      </c>
      <c r="AT121" s="21" t="s">
        <v>231</v>
      </c>
      <c r="AU121" s="21" t="s">
        <v>236</v>
      </c>
      <c r="AV121" s="21" t="s">
        <v>236</v>
      </c>
      <c r="AW121" s="4" t="str">
        <f t="shared" si="12"/>
        <v>A</v>
      </c>
      <c r="AX121" s="45" t="str">
        <f t="shared" si="17"/>
        <v/>
      </c>
    </row>
    <row r="122" spans="1:50" ht="15" customHeight="1" x14ac:dyDescent="0.25">
      <c r="A122" s="46">
        <v>45867</v>
      </c>
      <c r="B122" s="46" t="s">
        <v>416</v>
      </c>
      <c r="C122" s="46" t="s">
        <v>26</v>
      </c>
      <c r="D122" s="21" t="s">
        <v>26</v>
      </c>
      <c r="E122" s="47">
        <v>872</v>
      </c>
      <c r="F122" s="21" t="s">
        <v>225</v>
      </c>
      <c r="G122" s="4" t="s">
        <v>1220</v>
      </c>
      <c r="H122" s="4" t="s">
        <v>1242</v>
      </c>
      <c r="I122" s="4" t="s">
        <v>649</v>
      </c>
      <c r="J122" s="4" t="s">
        <v>556</v>
      </c>
      <c r="K122" s="4"/>
      <c r="L122" s="4"/>
      <c r="M122" s="4" t="s">
        <v>1243</v>
      </c>
      <c r="N122" s="4" t="s">
        <v>1244</v>
      </c>
      <c r="O122" s="4" t="s">
        <v>1245</v>
      </c>
      <c r="P122" s="91"/>
      <c r="Q122" s="91"/>
      <c r="R122" s="91">
        <f t="shared" ref="R122:R125" si="18">SUM(S122:AJ122)</f>
        <v>76.599999999999994</v>
      </c>
      <c r="S122" s="35"/>
      <c r="T122" s="5">
        <v>73.8</v>
      </c>
      <c r="U122" s="6"/>
      <c r="V122" s="4"/>
      <c r="W122" s="20"/>
      <c r="X122" s="4"/>
      <c r="Y122" s="20"/>
      <c r="Z122" s="4"/>
      <c r="AA122" s="20"/>
      <c r="AB122" s="4"/>
      <c r="AC122" s="20"/>
      <c r="AD122" s="4">
        <v>2.8</v>
      </c>
      <c r="AE122" s="20"/>
      <c r="AF122" s="19"/>
      <c r="AG122" s="8"/>
      <c r="AH122" s="17"/>
      <c r="AI122" s="37"/>
      <c r="AJ122" s="18"/>
      <c r="AK122" s="21"/>
      <c r="AL122" s="21"/>
      <c r="AM122" s="36"/>
      <c r="AN122" s="21" t="s">
        <v>928</v>
      </c>
      <c r="AO122" s="21" t="s">
        <v>231</v>
      </c>
      <c r="AP122" s="21" t="s">
        <v>231</v>
      </c>
      <c r="AQ122" s="21" t="s">
        <v>231</v>
      </c>
      <c r="AR122" s="21" t="s">
        <v>231</v>
      </c>
      <c r="AS122" s="21" t="s">
        <v>231</v>
      </c>
      <c r="AT122" s="21" t="s">
        <v>206</v>
      </c>
      <c r="AU122" s="21" t="s">
        <v>206</v>
      </c>
      <c r="AV122" s="21" t="s">
        <v>236</v>
      </c>
      <c r="AW122" s="4" t="str">
        <f t="shared" ref="AW122:AW125" si="19">IF(R122&gt;4999.9,"G",IF(R122&gt;999.9,"F",IF(R122&gt;299.9,"E",IF(R122&gt;99.9,"D",IF(R122&gt;9.9,"C",IF(R122&gt;0.25,"B",IF(R122&gt;0,"A","")))))))</f>
        <v>C</v>
      </c>
      <c r="AX122" s="45" t="str">
        <f t="shared" ref="AX122:AX125" si="20">IF(AND(AV122="Y",AND(T122&gt;0, T122&lt;300)),"Y","")</f>
        <v/>
      </c>
    </row>
    <row r="123" spans="1:50" ht="15" customHeight="1" x14ac:dyDescent="0.25">
      <c r="A123" s="46">
        <v>45867</v>
      </c>
      <c r="B123" s="46" t="s">
        <v>1222</v>
      </c>
      <c r="C123" s="46" t="s">
        <v>25</v>
      </c>
      <c r="D123" s="21" t="s">
        <v>25</v>
      </c>
      <c r="E123" s="47">
        <v>873</v>
      </c>
      <c r="F123" s="21" t="s">
        <v>252</v>
      </c>
      <c r="G123" s="4" t="s">
        <v>1217</v>
      </c>
      <c r="H123" s="4" t="s">
        <v>1255</v>
      </c>
      <c r="I123" s="4" t="s">
        <v>1134</v>
      </c>
      <c r="J123" s="4" t="s">
        <v>556</v>
      </c>
      <c r="K123" s="4"/>
      <c r="L123" s="4"/>
      <c r="M123" s="4" t="s">
        <v>1221</v>
      </c>
      <c r="N123" s="4" t="s">
        <v>1246</v>
      </c>
      <c r="O123" s="4" t="s">
        <v>1247</v>
      </c>
      <c r="P123" s="91"/>
      <c r="Q123" s="91"/>
      <c r="R123" s="91">
        <f t="shared" si="18"/>
        <v>411.09999999999997</v>
      </c>
      <c r="S123" s="35">
        <v>148.19999999999999</v>
      </c>
      <c r="T123" s="5"/>
      <c r="U123" s="6"/>
      <c r="V123" s="4"/>
      <c r="W123" s="20"/>
      <c r="X123" s="4"/>
      <c r="Y123" s="20"/>
      <c r="Z123" s="4"/>
      <c r="AA123" s="20"/>
      <c r="AB123" s="4"/>
      <c r="AC123" s="20"/>
      <c r="AD123" s="4"/>
      <c r="AE123" s="20"/>
      <c r="AF123" s="19"/>
      <c r="AG123" s="8"/>
      <c r="AH123" s="17"/>
      <c r="AI123" s="37"/>
      <c r="AJ123" s="18">
        <v>262.89999999999998</v>
      </c>
      <c r="AK123" s="21"/>
      <c r="AL123" s="21"/>
      <c r="AM123" s="36"/>
      <c r="AN123" s="21" t="s">
        <v>516</v>
      </c>
      <c r="AO123" s="21" t="s">
        <v>231</v>
      </c>
      <c r="AP123" s="21" t="s">
        <v>206</v>
      </c>
      <c r="AQ123" s="21" t="s">
        <v>231</v>
      </c>
      <c r="AR123" s="21" t="s">
        <v>231</v>
      </c>
      <c r="AS123" s="21" t="s">
        <v>231</v>
      </c>
      <c r="AT123" s="21" t="s">
        <v>231</v>
      </c>
      <c r="AU123" s="21" t="s">
        <v>206</v>
      </c>
      <c r="AV123" s="21" t="s">
        <v>236</v>
      </c>
      <c r="AW123" s="4" t="str">
        <f t="shared" si="19"/>
        <v>E</v>
      </c>
      <c r="AX123" s="45" t="str">
        <f t="shared" si="20"/>
        <v/>
      </c>
    </row>
    <row r="124" spans="1:50" ht="15" customHeight="1" x14ac:dyDescent="0.25">
      <c r="A124" s="46">
        <v>45868</v>
      </c>
      <c r="B124" s="46" t="s">
        <v>1229</v>
      </c>
      <c r="C124" s="46" t="s">
        <v>25</v>
      </c>
      <c r="D124" s="21" t="s">
        <v>76</v>
      </c>
      <c r="E124" s="47">
        <v>875</v>
      </c>
      <c r="F124" s="21" t="s">
        <v>226</v>
      </c>
      <c r="G124" s="4" t="s">
        <v>1230</v>
      </c>
      <c r="H124" s="4" t="s">
        <v>811</v>
      </c>
      <c r="I124" s="4" t="s">
        <v>615</v>
      </c>
      <c r="J124" s="4" t="s">
        <v>229</v>
      </c>
      <c r="K124" s="4" t="s">
        <v>279</v>
      </c>
      <c r="L124" s="4" t="s">
        <v>393</v>
      </c>
      <c r="M124" s="4" t="s">
        <v>1231</v>
      </c>
      <c r="N124" s="4" t="s">
        <v>1232</v>
      </c>
      <c r="O124" s="4" t="s">
        <v>1239</v>
      </c>
      <c r="P124" s="4">
        <v>583656</v>
      </c>
      <c r="Q124" s="4">
        <v>4801023</v>
      </c>
      <c r="R124" s="91">
        <f t="shared" si="18"/>
        <v>0.5</v>
      </c>
      <c r="S124" s="35">
        <v>0.5</v>
      </c>
      <c r="T124" s="5"/>
      <c r="U124" s="6"/>
      <c r="V124" s="4"/>
      <c r="W124" s="20"/>
      <c r="X124" s="4"/>
      <c r="Y124" s="20"/>
      <c r="Z124" s="4"/>
      <c r="AA124" s="20"/>
      <c r="AB124" s="4"/>
      <c r="AC124" s="20"/>
      <c r="AD124" s="4"/>
      <c r="AE124" s="20"/>
      <c r="AF124" s="19"/>
      <c r="AG124" s="8"/>
      <c r="AH124" s="17"/>
      <c r="AI124" s="37"/>
      <c r="AJ124" s="18"/>
      <c r="AK124" s="21"/>
      <c r="AL124" s="21"/>
      <c r="AM124" s="36"/>
      <c r="AN124" s="21" t="s">
        <v>235</v>
      </c>
      <c r="AO124" s="21" t="s">
        <v>206</v>
      </c>
      <c r="AP124" s="21" t="s">
        <v>231</v>
      </c>
      <c r="AQ124" s="21" t="s">
        <v>231</v>
      </c>
      <c r="AR124" s="21" t="s">
        <v>231</v>
      </c>
      <c r="AS124" s="21" t="s">
        <v>231</v>
      </c>
      <c r="AT124" s="21" t="s">
        <v>231</v>
      </c>
      <c r="AU124" s="21" t="s">
        <v>236</v>
      </c>
      <c r="AV124" s="21" t="s">
        <v>236</v>
      </c>
      <c r="AW124" s="4" t="str">
        <f t="shared" si="19"/>
        <v>B</v>
      </c>
      <c r="AX124" s="45" t="str">
        <f t="shared" si="20"/>
        <v/>
      </c>
    </row>
    <row r="125" spans="1:50" ht="15.75" customHeight="1" x14ac:dyDescent="0.25">
      <c r="A125" s="46">
        <v>45868</v>
      </c>
      <c r="B125" s="46" t="s">
        <v>1233</v>
      </c>
      <c r="C125" s="46" t="s">
        <v>25</v>
      </c>
      <c r="D125" s="21" t="s">
        <v>25</v>
      </c>
      <c r="E125" s="47">
        <v>879</v>
      </c>
      <c r="F125" s="21" t="s">
        <v>226</v>
      </c>
      <c r="G125" s="4" t="s">
        <v>1234</v>
      </c>
      <c r="H125" s="4" t="s">
        <v>1096</v>
      </c>
      <c r="I125" s="4" t="s">
        <v>1235</v>
      </c>
      <c r="J125" s="4" t="s">
        <v>556</v>
      </c>
      <c r="K125" s="4"/>
      <c r="L125" s="4"/>
      <c r="M125" s="4" t="s">
        <v>1236</v>
      </c>
      <c r="N125" s="4" t="s">
        <v>1237</v>
      </c>
      <c r="O125" s="4" t="s">
        <v>1238</v>
      </c>
      <c r="P125" s="4">
        <v>513103</v>
      </c>
      <c r="Q125" s="4">
        <v>4850102</v>
      </c>
      <c r="R125" s="91">
        <f t="shared" si="18"/>
        <v>1.25</v>
      </c>
      <c r="S125" s="35">
        <v>1.25</v>
      </c>
      <c r="T125" s="5"/>
      <c r="U125" s="6"/>
      <c r="V125" s="4"/>
      <c r="W125" s="20"/>
      <c r="X125" s="4"/>
      <c r="Y125" s="20"/>
      <c r="Z125" s="4"/>
      <c r="AA125" s="20"/>
      <c r="AB125" s="4"/>
      <c r="AC125" s="20"/>
      <c r="AD125" s="4"/>
      <c r="AE125" s="20"/>
      <c r="AF125" s="19"/>
      <c r="AG125" s="8"/>
      <c r="AH125" s="17"/>
      <c r="AI125" s="37"/>
      <c r="AJ125" s="18"/>
      <c r="AK125" s="21"/>
      <c r="AL125" s="21"/>
      <c r="AM125" s="36"/>
      <c r="AN125" s="21" t="s">
        <v>235</v>
      </c>
      <c r="AO125" s="21" t="s">
        <v>231</v>
      </c>
      <c r="AP125" s="21" t="s">
        <v>231</v>
      </c>
      <c r="AQ125" s="21" t="s">
        <v>231</v>
      </c>
      <c r="AR125" s="21" t="s">
        <v>231</v>
      </c>
      <c r="AS125" s="21" t="s">
        <v>206</v>
      </c>
      <c r="AT125" s="21" t="s">
        <v>231</v>
      </c>
      <c r="AU125" s="21" t="s">
        <v>236</v>
      </c>
      <c r="AV125" s="21" t="s">
        <v>236</v>
      </c>
      <c r="AW125" s="4" t="str">
        <f t="shared" si="19"/>
        <v>B</v>
      </c>
      <c r="AX125" s="45" t="str">
        <f t="shared" si="20"/>
        <v/>
      </c>
    </row>
    <row r="126" spans="1:50" ht="15" customHeight="1" x14ac:dyDescent="0.25">
      <c r="A126" s="46">
        <v>45868</v>
      </c>
      <c r="B126" s="46" t="s">
        <v>1250</v>
      </c>
      <c r="C126" s="46" t="s">
        <v>25</v>
      </c>
      <c r="D126" s="21" t="s">
        <v>25</v>
      </c>
      <c r="E126" s="47">
        <v>880</v>
      </c>
      <c r="F126" s="21" t="s">
        <v>252</v>
      </c>
      <c r="G126" s="4" t="s">
        <v>1248</v>
      </c>
      <c r="H126" s="4" t="s">
        <v>1096</v>
      </c>
      <c r="I126" s="4"/>
      <c r="J126" s="4" t="s">
        <v>556</v>
      </c>
      <c r="K126" s="4"/>
      <c r="L126" s="4"/>
      <c r="M126" s="4" t="s">
        <v>1252</v>
      </c>
      <c r="N126" s="4" t="s">
        <v>1253</v>
      </c>
      <c r="O126" s="4" t="s">
        <v>1254</v>
      </c>
      <c r="P126" s="4">
        <v>508018</v>
      </c>
      <c r="Q126" s="4">
        <v>4705379</v>
      </c>
      <c r="R126" s="91">
        <f t="shared" ref="R126:R127" si="21">SUM(S126:AJ126)</f>
        <v>5</v>
      </c>
      <c r="S126" s="35">
        <v>5</v>
      </c>
      <c r="T126" s="5"/>
      <c r="U126" s="6"/>
      <c r="V126" s="4"/>
      <c r="W126" s="20"/>
      <c r="X126" s="4"/>
      <c r="Y126" s="20"/>
      <c r="Z126" s="4"/>
      <c r="AA126" s="20"/>
      <c r="AB126" s="4"/>
      <c r="AC126" s="20"/>
      <c r="AD126" s="4"/>
      <c r="AE126" s="20"/>
      <c r="AF126" s="19"/>
      <c r="AG126" s="8"/>
      <c r="AH126" s="17"/>
      <c r="AI126" s="37"/>
      <c r="AJ126" s="18"/>
      <c r="AK126" s="21"/>
      <c r="AL126" s="21"/>
      <c r="AM126" s="36"/>
      <c r="AN126" s="21" t="s">
        <v>516</v>
      </c>
      <c r="AO126" s="21" t="s">
        <v>231</v>
      </c>
      <c r="AP126" s="21" t="s">
        <v>206</v>
      </c>
      <c r="AQ126" s="21" t="s">
        <v>231</v>
      </c>
      <c r="AR126" s="21" t="s">
        <v>206</v>
      </c>
      <c r="AS126" s="21" t="s">
        <v>231</v>
      </c>
      <c r="AT126" s="21" t="s">
        <v>206</v>
      </c>
      <c r="AU126" s="21" t="s">
        <v>236</v>
      </c>
      <c r="AV126" s="21" t="s">
        <v>236</v>
      </c>
      <c r="AW126" s="4" t="str">
        <f t="shared" ref="AW126:AW189" si="22">IF(R126&gt;4999.9,"G",IF(R126&gt;999.9,"F",IF(R126&gt;299.9,"E",IF(R126&gt;99.9,"D",IF(R126&gt;9.9,"C",IF(R126&gt;0.25,"B",IF(R126&gt;0,"A","")))))))</f>
        <v>B</v>
      </c>
      <c r="AX126" s="45" t="str">
        <f t="shared" ref="AX126:AX189" si="23">IF(AND(AV126="Y",AND(T126&gt;0, T126&lt;300)),"Y","")</f>
        <v/>
      </c>
    </row>
    <row r="127" spans="1:50" ht="15" customHeight="1" x14ac:dyDescent="0.25">
      <c r="A127" s="46">
        <v>45868</v>
      </c>
      <c r="B127" s="46" t="s">
        <v>416</v>
      </c>
      <c r="C127" s="46" t="s">
        <v>26</v>
      </c>
      <c r="D127" s="21" t="s">
        <v>26</v>
      </c>
      <c r="E127" s="47">
        <v>881</v>
      </c>
      <c r="F127" s="21" t="s">
        <v>412</v>
      </c>
      <c r="G127" s="4" t="s">
        <v>1249</v>
      </c>
      <c r="H127" s="4" t="s">
        <v>1251</v>
      </c>
      <c r="I127" s="4" t="s">
        <v>1201</v>
      </c>
      <c r="J127" s="4" t="s">
        <v>556</v>
      </c>
      <c r="K127" s="4"/>
      <c r="L127" s="4"/>
      <c r="M127" s="4" t="s">
        <v>1257</v>
      </c>
      <c r="N127" s="4" t="s">
        <v>1258</v>
      </c>
      <c r="O127" s="4" t="s">
        <v>1259</v>
      </c>
      <c r="P127" s="91"/>
      <c r="Q127" s="91"/>
      <c r="R127" s="91">
        <f t="shared" si="21"/>
        <v>0.1</v>
      </c>
      <c r="S127" s="35"/>
      <c r="T127" s="5">
        <v>0.1</v>
      </c>
      <c r="U127" s="6"/>
      <c r="V127" s="4"/>
      <c r="W127" s="20"/>
      <c r="X127" s="4"/>
      <c r="Y127" s="20"/>
      <c r="Z127" s="4"/>
      <c r="AA127" s="20"/>
      <c r="AB127" s="4"/>
      <c r="AC127" s="20"/>
      <c r="AD127" s="4"/>
      <c r="AE127" s="20"/>
      <c r="AF127" s="19"/>
      <c r="AG127" s="8"/>
      <c r="AH127" s="17"/>
      <c r="AI127" s="37"/>
      <c r="AJ127" s="18"/>
      <c r="AK127" s="21"/>
      <c r="AL127" s="21"/>
      <c r="AM127" s="36"/>
      <c r="AN127" s="21" t="s">
        <v>27</v>
      </c>
      <c r="AO127" s="21" t="s">
        <v>231</v>
      </c>
      <c r="AP127" s="21" t="s">
        <v>231</v>
      </c>
      <c r="AQ127" s="21" t="s">
        <v>231</v>
      </c>
      <c r="AR127" s="21" t="s">
        <v>231</v>
      </c>
      <c r="AS127" s="21" t="s">
        <v>231</v>
      </c>
      <c r="AT127" s="21" t="s">
        <v>231</v>
      </c>
      <c r="AU127" s="21" t="s">
        <v>236</v>
      </c>
      <c r="AV127" s="21" t="s">
        <v>236</v>
      </c>
      <c r="AW127" s="4" t="str">
        <f t="shared" si="22"/>
        <v>A</v>
      </c>
      <c r="AX127" s="45" t="str">
        <f t="shared" si="23"/>
        <v/>
      </c>
    </row>
    <row r="128" spans="1:50" ht="15" customHeight="1" x14ac:dyDescent="0.25">
      <c r="A128" s="46">
        <v>45868</v>
      </c>
      <c r="B128" s="46" t="s">
        <v>416</v>
      </c>
      <c r="C128" s="46" t="s">
        <v>26</v>
      </c>
      <c r="D128" s="21" t="s">
        <v>26</v>
      </c>
      <c r="E128" s="47">
        <v>882</v>
      </c>
      <c r="F128" s="21" t="s">
        <v>327</v>
      </c>
      <c r="G128" s="4" t="s">
        <v>1256</v>
      </c>
      <c r="H128" s="4" t="s">
        <v>1278</v>
      </c>
      <c r="I128" s="4"/>
      <c r="J128" s="4" t="s">
        <v>556</v>
      </c>
      <c r="K128" s="4"/>
      <c r="L128" s="4"/>
      <c r="M128" s="4" t="s">
        <v>1260</v>
      </c>
      <c r="N128" s="4" t="s">
        <v>1261</v>
      </c>
      <c r="O128" s="4" t="s">
        <v>1262</v>
      </c>
      <c r="P128" s="91"/>
      <c r="Q128" s="91"/>
      <c r="R128" s="91">
        <f t="shared" ref="R128:R162" si="24">SUM(S128:AJ128)</f>
        <v>0.1</v>
      </c>
      <c r="S128" s="35"/>
      <c r="T128" s="5">
        <v>0.1</v>
      </c>
      <c r="U128" s="6"/>
      <c r="V128" s="4"/>
      <c r="W128" s="20"/>
      <c r="X128" s="4"/>
      <c r="Y128" s="20"/>
      <c r="Z128" s="4"/>
      <c r="AA128" s="20"/>
      <c r="AB128" s="4"/>
      <c r="AC128" s="20"/>
      <c r="AD128" s="4"/>
      <c r="AE128" s="20"/>
      <c r="AF128" s="19"/>
      <c r="AG128" s="8"/>
      <c r="AH128" s="17"/>
      <c r="AI128" s="37"/>
      <c r="AJ128" s="18"/>
      <c r="AK128" s="21"/>
      <c r="AL128" s="21"/>
      <c r="AM128" s="36"/>
      <c r="AN128" s="21" t="s">
        <v>928</v>
      </c>
      <c r="AO128" s="21" t="s">
        <v>231</v>
      </c>
      <c r="AP128" s="21" t="s">
        <v>231</v>
      </c>
      <c r="AQ128" s="21" t="s">
        <v>231</v>
      </c>
      <c r="AR128" s="21" t="s">
        <v>231</v>
      </c>
      <c r="AS128" s="21" t="s">
        <v>231</v>
      </c>
      <c r="AT128" s="21" t="s">
        <v>231</v>
      </c>
      <c r="AU128" s="21" t="s">
        <v>236</v>
      </c>
      <c r="AV128" s="21" t="s">
        <v>236</v>
      </c>
      <c r="AW128" s="4" t="str">
        <f t="shared" si="22"/>
        <v>A</v>
      </c>
      <c r="AX128" s="45" t="str">
        <f t="shared" si="23"/>
        <v/>
      </c>
    </row>
    <row r="129" spans="1:57" ht="15" customHeight="1" x14ac:dyDescent="0.25">
      <c r="A129" s="46">
        <v>45868</v>
      </c>
      <c r="B129" s="46" t="s">
        <v>416</v>
      </c>
      <c r="C129" s="46" t="s">
        <v>26</v>
      </c>
      <c r="D129" s="21" t="s">
        <v>620</v>
      </c>
      <c r="E129" s="47">
        <v>883</v>
      </c>
      <c r="F129" s="21" t="s">
        <v>381</v>
      </c>
      <c r="G129" s="4" t="s">
        <v>1263</v>
      </c>
      <c r="H129" s="4" t="s">
        <v>1279</v>
      </c>
      <c r="I129" s="4"/>
      <c r="J129" s="4" t="s">
        <v>556</v>
      </c>
      <c r="K129" s="4"/>
      <c r="L129" s="4"/>
      <c r="M129" s="4" t="s">
        <v>1272</v>
      </c>
      <c r="N129" s="4" t="s">
        <v>1289</v>
      </c>
      <c r="O129" s="4" t="s">
        <v>1290</v>
      </c>
      <c r="P129" s="91"/>
      <c r="Q129" s="91"/>
      <c r="R129" s="91">
        <f t="shared" si="24"/>
        <v>0.1</v>
      </c>
      <c r="S129" s="35"/>
      <c r="T129" s="5"/>
      <c r="U129" s="6"/>
      <c r="V129" s="4"/>
      <c r="W129" s="20"/>
      <c r="X129" s="4"/>
      <c r="Y129" s="20"/>
      <c r="Z129" s="4"/>
      <c r="AA129" s="20"/>
      <c r="AB129" s="4"/>
      <c r="AC129" s="20"/>
      <c r="AD129" s="4"/>
      <c r="AE129" s="20"/>
      <c r="AF129" s="19"/>
      <c r="AG129" s="8"/>
      <c r="AH129" s="17"/>
      <c r="AI129" s="37">
        <v>0.1</v>
      </c>
      <c r="AJ129" s="18"/>
      <c r="AK129" s="21"/>
      <c r="AL129" s="21"/>
      <c r="AM129" s="36"/>
      <c r="AN129" s="21" t="s">
        <v>27</v>
      </c>
      <c r="AO129" s="21" t="s">
        <v>206</v>
      </c>
      <c r="AP129" s="21" t="s">
        <v>231</v>
      </c>
      <c r="AQ129" s="21" t="s">
        <v>231</v>
      </c>
      <c r="AR129" s="21" t="s">
        <v>231</v>
      </c>
      <c r="AS129" s="21" t="s">
        <v>231</v>
      </c>
      <c r="AT129" s="21" t="s">
        <v>231</v>
      </c>
      <c r="AU129" s="21" t="s">
        <v>236</v>
      </c>
      <c r="AV129" s="21" t="s">
        <v>236</v>
      </c>
      <c r="AW129" s="4" t="str">
        <f t="shared" si="22"/>
        <v>A</v>
      </c>
      <c r="AX129" s="45" t="str">
        <f t="shared" si="23"/>
        <v/>
      </c>
    </row>
    <row r="130" spans="1:57" ht="15" customHeight="1" x14ac:dyDescent="0.25">
      <c r="A130" s="46">
        <v>45868</v>
      </c>
      <c r="B130" s="46" t="s">
        <v>416</v>
      </c>
      <c r="C130" s="46" t="s">
        <v>26</v>
      </c>
      <c r="D130" s="21" t="s">
        <v>26</v>
      </c>
      <c r="E130" s="47">
        <v>884</v>
      </c>
      <c r="F130" s="21" t="s">
        <v>381</v>
      </c>
      <c r="G130" s="4" t="s">
        <v>1264</v>
      </c>
      <c r="H130" s="4" t="s">
        <v>1280</v>
      </c>
      <c r="I130" s="4" t="s">
        <v>580</v>
      </c>
      <c r="J130" s="4" t="s">
        <v>556</v>
      </c>
      <c r="K130" s="4"/>
      <c r="L130" s="4"/>
      <c r="M130" s="4" t="s">
        <v>1291</v>
      </c>
      <c r="N130" s="4" t="s">
        <v>1292</v>
      </c>
      <c r="O130" s="4" t="s">
        <v>1293</v>
      </c>
      <c r="P130" s="91"/>
      <c r="Q130" s="91"/>
      <c r="R130" s="91">
        <f t="shared" si="24"/>
        <v>16</v>
      </c>
      <c r="S130" s="35"/>
      <c r="T130" s="5">
        <v>16</v>
      </c>
      <c r="U130" s="6"/>
      <c r="V130" s="4"/>
      <c r="W130" s="20"/>
      <c r="X130" s="4"/>
      <c r="Y130" s="20"/>
      <c r="Z130" s="4"/>
      <c r="AA130" s="20"/>
      <c r="AB130" s="4"/>
      <c r="AC130" s="20"/>
      <c r="AD130" s="4"/>
      <c r="AE130" s="20"/>
      <c r="AF130" s="19"/>
      <c r="AG130" s="8"/>
      <c r="AH130" s="17"/>
      <c r="AI130" s="37"/>
      <c r="AJ130" s="18"/>
      <c r="AK130" s="21"/>
      <c r="AL130" s="21"/>
      <c r="AM130" s="36"/>
      <c r="AN130" s="21" t="s">
        <v>27</v>
      </c>
      <c r="AO130" s="21" t="s">
        <v>231</v>
      </c>
      <c r="AP130" s="21" t="s">
        <v>231</v>
      </c>
      <c r="AQ130" s="21" t="s">
        <v>231</v>
      </c>
      <c r="AR130" s="21" t="s">
        <v>231</v>
      </c>
      <c r="AS130" s="21" t="s">
        <v>206</v>
      </c>
      <c r="AT130" s="21" t="s">
        <v>231</v>
      </c>
      <c r="AU130" s="21" t="s">
        <v>236</v>
      </c>
      <c r="AV130" s="21" t="s">
        <v>206</v>
      </c>
      <c r="AW130" s="4" t="str">
        <f t="shared" si="22"/>
        <v>C</v>
      </c>
      <c r="AX130" s="45" t="str">
        <f t="shared" si="23"/>
        <v>Y</v>
      </c>
    </row>
    <row r="131" spans="1:57" ht="15" customHeight="1" x14ac:dyDescent="0.25">
      <c r="A131" s="46">
        <v>45869</v>
      </c>
      <c r="B131" s="46" t="s">
        <v>1266</v>
      </c>
      <c r="C131" s="46" t="s">
        <v>25</v>
      </c>
      <c r="D131" s="21" t="s">
        <v>25</v>
      </c>
      <c r="E131" s="47">
        <v>885</v>
      </c>
      <c r="F131" s="21" t="s">
        <v>269</v>
      </c>
      <c r="G131" s="4" t="s">
        <v>1265</v>
      </c>
      <c r="H131" s="4" t="s">
        <v>811</v>
      </c>
      <c r="I131" s="4"/>
      <c r="J131" s="4" t="s">
        <v>556</v>
      </c>
      <c r="K131" s="4"/>
      <c r="L131" s="4"/>
      <c r="M131" s="4" t="s">
        <v>1294</v>
      </c>
      <c r="N131" s="4" t="s">
        <v>1295</v>
      </c>
      <c r="O131" s="4" t="s">
        <v>1296</v>
      </c>
      <c r="P131" s="4">
        <v>541943</v>
      </c>
      <c r="Q131" s="4">
        <v>4787046</v>
      </c>
      <c r="R131" s="91">
        <f t="shared" si="24"/>
        <v>5791.7</v>
      </c>
      <c r="S131" s="35">
        <v>5598.7</v>
      </c>
      <c r="T131" s="5"/>
      <c r="U131" s="6"/>
      <c r="V131" s="4"/>
      <c r="W131" s="20"/>
      <c r="X131" s="4"/>
      <c r="Y131" s="20"/>
      <c r="Z131" s="4"/>
      <c r="AA131" s="20"/>
      <c r="AB131" s="4"/>
      <c r="AC131" s="20"/>
      <c r="AD131" s="4"/>
      <c r="AE131" s="20">
        <v>193</v>
      </c>
      <c r="AF131" s="19"/>
      <c r="AG131" s="8"/>
      <c r="AH131" s="17"/>
      <c r="AI131" s="37"/>
      <c r="AJ131" s="18"/>
      <c r="AK131" s="21"/>
      <c r="AL131" s="21"/>
      <c r="AM131" s="36"/>
      <c r="AN131" s="21" t="s">
        <v>235</v>
      </c>
      <c r="AO131" s="21" t="s">
        <v>231</v>
      </c>
      <c r="AP131" s="21" t="s">
        <v>231</v>
      </c>
      <c r="AQ131" s="21" t="s">
        <v>231</v>
      </c>
      <c r="AR131" s="21" t="s">
        <v>231</v>
      </c>
      <c r="AS131" s="21" t="s">
        <v>206</v>
      </c>
      <c r="AT131" s="21" t="s">
        <v>206</v>
      </c>
      <c r="AU131" s="21" t="s">
        <v>206</v>
      </c>
      <c r="AV131" s="21" t="s">
        <v>236</v>
      </c>
      <c r="AW131" s="4" t="str">
        <f t="shared" si="22"/>
        <v>G</v>
      </c>
      <c r="AX131" s="45" t="str">
        <f t="shared" si="23"/>
        <v/>
      </c>
    </row>
    <row r="132" spans="1:57" ht="15" customHeight="1" x14ac:dyDescent="0.25">
      <c r="A132" s="46">
        <v>45869</v>
      </c>
      <c r="B132" s="46" t="s">
        <v>416</v>
      </c>
      <c r="C132" s="46" t="s">
        <v>26</v>
      </c>
      <c r="D132" s="21" t="s">
        <v>26</v>
      </c>
      <c r="E132" s="47">
        <v>888</v>
      </c>
      <c r="F132" s="21" t="s">
        <v>412</v>
      </c>
      <c r="G132" s="4" t="s">
        <v>1273</v>
      </c>
      <c r="H132" s="4" t="s">
        <v>1281</v>
      </c>
      <c r="I132" s="4" t="s">
        <v>1282</v>
      </c>
      <c r="J132" s="4" t="s">
        <v>556</v>
      </c>
      <c r="K132" s="4"/>
      <c r="L132" s="4"/>
      <c r="M132" s="4" t="s">
        <v>1297</v>
      </c>
      <c r="N132" s="4" t="s">
        <v>1298</v>
      </c>
      <c r="O132" s="4" t="s">
        <v>1299</v>
      </c>
      <c r="P132" s="91"/>
      <c r="Q132" s="91"/>
      <c r="R132" s="91">
        <f t="shared" si="24"/>
        <v>0.5</v>
      </c>
      <c r="S132" s="35"/>
      <c r="T132" s="5">
        <v>0.5</v>
      </c>
      <c r="U132" s="6"/>
      <c r="V132" s="4"/>
      <c r="W132" s="20"/>
      <c r="X132" s="4"/>
      <c r="Y132" s="20"/>
      <c r="Z132" s="4"/>
      <c r="AA132" s="20"/>
      <c r="AB132" s="4"/>
      <c r="AC132" s="20"/>
      <c r="AD132" s="4"/>
      <c r="AE132" s="20"/>
      <c r="AF132" s="19"/>
      <c r="AG132" s="8"/>
      <c r="AH132" s="17"/>
      <c r="AI132" s="37"/>
      <c r="AJ132" s="18"/>
      <c r="AK132" s="21"/>
      <c r="AL132" s="21"/>
      <c r="AM132" s="36"/>
      <c r="AN132" s="21" t="s">
        <v>928</v>
      </c>
      <c r="AO132" s="21" t="s">
        <v>231</v>
      </c>
      <c r="AP132" s="21" t="s">
        <v>231</v>
      </c>
      <c r="AQ132" s="21" t="s">
        <v>231</v>
      </c>
      <c r="AR132" s="21" t="s">
        <v>231</v>
      </c>
      <c r="AS132" s="21" t="s">
        <v>231</v>
      </c>
      <c r="AT132" s="21" t="s">
        <v>231</v>
      </c>
      <c r="AU132" s="21" t="s">
        <v>236</v>
      </c>
      <c r="AV132" s="21" t="s">
        <v>236</v>
      </c>
      <c r="AW132" s="4" t="str">
        <f t="shared" si="22"/>
        <v>B</v>
      </c>
      <c r="AX132" s="45" t="str">
        <f t="shared" si="23"/>
        <v/>
      </c>
    </row>
    <row r="133" spans="1:57" ht="15" customHeight="1" x14ac:dyDescent="0.25">
      <c r="A133" s="46">
        <v>45869</v>
      </c>
      <c r="B133" s="46" t="s">
        <v>1288</v>
      </c>
      <c r="C133" s="46" t="s">
        <v>28</v>
      </c>
      <c r="D133" s="21" t="s">
        <v>26</v>
      </c>
      <c r="E133" s="47">
        <v>892</v>
      </c>
      <c r="F133" s="21" t="s">
        <v>412</v>
      </c>
      <c r="G133" s="4" t="s">
        <v>1274</v>
      </c>
      <c r="H133" s="4" t="s">
        <v>1133</v>
      </c>
      <c r="I133" s="4" t="s">
        <v>1134</v>
      </c>
      <c r="J133" s="4" t="s">
        <v>556</v>
      </c>
      <c r="K133" s="4"/>
      <c r="L133" s="4"/>
      <c r="M133" s="4" t="s">
        <v>1301</v>
      </c>
      <c r="N133" s="4" t="s">
        <v>1302</v>
      </c>
      <c r="O133" s="4" t="s">
        <v>1303</v>
      </c>
      <c r="P133" s="91"/>
      <c r="Q133" s="91"/>
      <c r="R133" s="91">
        <f t="shared" si="24"/>
        <v>0.1</v>
      </c>
      <c r="S133" s="35"/>
      <c r="T133" s="5">
        <v>0.1</v>
      </c>
      <c r="U133" s="6"/>
      <c r="V133" s="4"/>
      <c r="W133" s="20"/>
      <c r="X133" s="4"/>
      <c r="Y133" s="20"/>
      <c r="Z133" s="4"/>
      <c r="AA133" s="20"/>
      <c r="AB133" s="4"/>
      <c r="AC133" s="20"/>
      <c r="AD133" s="4"/>
      <c r="AE133" s="20"/>
      <c r="AF133" s="19"/>
      <c r="AG133" s="8"/>
      <c r="AH133" s="17"/>
      <c r="AI133" s="37"/>
      <c r="AJ133" s="18"/>
      <c r="AK133" s="21"/>
      <c r="AL133" s="21"/>
      <c r="AM133" s="36"/>
      <c r="AN133" s="21" t="s">
        <v>516</v>
      </c>
      <c r="AO133" s="21" t="s">
        <v>206</v>
      </c>
      <c r="AP133" s="21" t="s">
        <v>231</v>
      </c>
      <c r="AQ133" s="21" t="s">
        <v>231</v>
      </c>
      <c r="AR133" s="21" t="s">
        <v>231</v>
      </c>
      <c r="AS133" s="21" t="s">
        <v>231</v>
      </c>
      <c r="AT133" s="21" t="s">
        <v>231</v>
      </c>
      <c r="AU133" s="21" t="s">
        <v>236</v>
      </c>
      <c r="AV133" s="21" t="s">
        <v>236</v>
      </c>
      <c r="AW133" s="4" t="str">
        <f t="shared" si="22"/>
        <v>A</v>
      </c>
      <c r="AX133" s="45" t="str">
        <f t="shared" si="23"/>
        <v/>
      </c>
    </row>
    <row r="134" spans="1:57" ht="15" customHeight="1" x14ac:dyDescent="0.25">
      <c r="A134" s="46">
        <v>45869</v>
      </c>
      <c r="B134" s="46" t="s">
        <v>1277</v>
      </c>
      <c r="C134" s="46" t="s">
        <v>25</v>
      </c>
      <c r="D134" s="21" t="s">
        <v>25</v>
      </c>
      <c r="E134" s="47">
        <v>894</v>
      </c>
      <c r="F134" s="21" t="s">
        <v>1119</v>
      </c>
      <c r="G134" s="4" t="s">
        <v>1275</v>
      </c>
      <c r="H134" s="4" t="s">
        <v>1490</v>
      </c>
      <c r="I134" s="4"/>
      <c r="J134" s="4" t="s">
        <v>556</v>
      </c>
      <c r="K134" s="4"/>
      <c r="L134" s="4"/>
      <c r="M134" s="4" t="s">
        <v>1304</v>
      </c>
      <c r="N134" s="4" t="s">
        <v>1305</v>
      </c>
      <c r="O134" s="4" t="s">
        <v>1306</v>
      </c>
      <c r="P134" s="91"/>
      <c r="Q134" s="91"/>
      <c r="R134" s="91">
        <f t="shared" si="24"/>
        <v>0.1</v>
      </c>
      <c r="S134" s="35">
        <v>0.1</v>
      </c>
      <c r="T134" s="5"/>
      <c r="U134" s="6"/>
      <c r="V134" s="4"/>
      <c r="W134" s="20"/>
      <c r="X134" s="4"/>
      <c r="Y134" s="20"/>
      <c r="Z134" s="4"/>
      <c r="AA134" s="20"/>
      <c r="AB134" s="4"/>
      <c r="AC134" s="20"/>
      <c r="AD134" s="4"/>
      <c r="AE134" s="20"/>
      <c r="AF134" s="19"/>
      <c r="AG134" s="8"/>
      <c r="AH134" s="17"/>
      <c r="AI134" s="37"/>
      <c r="AJ134" s="18"/>
      <c r="AK134" s="21"/>
      <c r="AL134" s="21"/>
      <c r="AM134" s="36"/>
      <c r="AN134" s="21" t="s">
        <v>516</v>
      </c>
      <c r="AO134" s="21" t="s">
        <v>231</v>
      </c>
      <c r="AP134" s="21" t="s">
        <v>206</v>
      </c>
      <c r="AQ134" s="21" t="s">
        <v>231</v>
      </c>
      <c r="AR134" s="21" t="s">
        <v>231</v>
      </c>
      <c r="AS134" s="21" t="s">
        <v>231</v>
      </c>
      <c r="AT134" s="21" t="s">
        <v>231</v>
      </c>
      <c r="AU134" s="21" t="s">
        <v>236</v>
      </c>
      <c r="AV134" s="21" t="s">
        <v>236</v>
      </c>
      <c r="AW134" s="4" t="str">
        <f t="shared" si="22"/>
        <v>A</v>
      </c>
      <c r="AX134" s="45" t="str">
        <f t="shared" si="23"/>
        <v/>
      </c>
    </row>
    <row r="135" spans="1:57" ht="15" customHeight="1" x14ac:dyDescent="0.25">
      <c r="A135" s="46">
        <v>45869</v>
      </c>
      <c r="B135" s="46" t="s">
        <v>416</v>
      </c>
      <c r="C135" s="46" t="s">
        <v>26</v>
      </c>
      <c r="D135" s="21" t="s">
        <v>26</v>
      </c>
      <c r="E135" s="47">
        <v>895</v>
      </c>
      <c r="F135" s="21" t="s">
        <v>456</v>
      </c>
      <c r="G135" s="4" t="s">
        <v>1276</v>
      </c>
      <c r="H135" s="4" t="s">
        <v>1489</v>
      </c>
      <c r="I135" s="4" t="s">
        <v>1488</v>
      </c>
      <c r="J135" s="4" t="s">
        <v>556</v>
      </c>
      <c r="K135" s="4"/>
      <c r="L135" s="4"/>
      <c r="M135" s="4" t="s">
        <v>1307</v>
      </c>
      <c r="N135" s="4" t="s">
        <v>1486</v>
      </c>
      <c r="O135" s="4" t="s">
        <v>1487</v>
      </c>
      <c r="P135" s="91"/>
      <c r="Q135" s="91"/>
      <c r="R135" s="91">
        <f t="shared" si="24"/>
        <v>0.1</v>
      </c>
      <c r="S135" s="35"/>
      <c r="T135" s="5">
        <v>0.1</v>
      </c>
      <c r="U135" s="6"/>
      <c r="V135" s="4"/>
      <c r="W135" s="20"/>
      <c r="X135" s="4"/>
      <c r="Y135" s="20"/>
      <c r="Z135" s="4"/>
      <c r="AA135" s="20"/>
      <c r="AB135" s="4"/>
      <c r="AC135" s="20"/>
      <c r="AD135" s="4"/>
      <c r="AE135" s="20"/>
      <c r="AF135" s="19"/>
      <c r="AG135" s="8"/>
      <c r="AH135" s="17"/>
      <c r="AI135" s="37"/>
      <c r="AJ135" s="18"/>
      <c r="AK135" s="21"/>
      <c r="AL135" s="21"/>
      <c r="AM135" s="36"/>
      <c r="AN135" s="21" t="s">
        <v>928</v>
      </c>
      <c r="AO135" s="21" t="s">
        <v>231</v>
      </c>
      <c r="AP135" s="21" t="s">
        <v>231</v>
      </c>
      <c r="AQ135" s="21" t="s">
        <v>231</v>
      </c>
      <c r="AR135" s="21" t="s">
        <v>231</v>
      </c>
      <c r="AS135" s="21" t="s">
        <v>231</v>
      </c>
      <c r="AT135" s="21" t="s">
        <v>231</v>
      </c>
      <c r="AU135" s="21" t="s">
        <v>236</v>
      </c>
      <c r="AV135" s="21" t="s">
        <v>236</v>
      </c>
      <c r="AW135" s="4" t="str">
        <f t="shared" si="22"/>
        <v>A</v>
      </c>
      <c r="AX135" s="45" t="str">
        <f t="shared" si="23"/>
        <v/>
      </c>
    </row>
    <row r="136" spans="1:57" ht="15" customHeight="1" x14ac:dyDescent="0.25">
      <c r="A136" s="46">
        <v>45869</v>
      </c>
      <c r="B136" s="21" t="s">
        <v>1283</v>
      </c>
      <c r="C136" s="46" t="s">
        <v>28</v>
      </c>
      <c r="D136" s="21" t="s">
        <v>26</v>
      </c>
      <c r="E136" s="47">
        <v>897</v>
      </c>
      <c r="F136" s="21" t="s">
        <v>412</v>
      </c>
      <c r="G136" s="4" t="s">
        <v>1284</v>
      </c>
      <c r="H136" s="4" t="s">
        <v>248</v>
      </c>
      <c r="I136" s="4"/>
      <c r="J136" s="4" t="s">
        <v>556</v>
      </c>
      <c r="K136" s="4"/>
      <c r="L136" s="4"/>
      <c r="M136" s="4" t="s">
        <v>1285</v>
      </c>
      <c r="N136" s="4" t="s">
        <v>1286</v>
      </c>
      <c r="O136" s="4" t="s">
        <v>1287</v>
      </c>
      <c r="P136" s="91"/>
      <c r="Q136" s="91"/>
      <c r="R136" s="91">
        <f t="shared" si="24"/>
        <v>0.25</v>
      </c>
      <c r="S136" s="35"/>
      <c r="T136" s="5">
        <v>0.25</v>
      </c>
      <c r="U136" s="6"/>
      <c r="V136" s="4"/>
      <c r="W136" s="20"/>
      <c r="X136" s="4"/>
      <c r="Y136" s="20"/>
      <c r="Z136" s="4"/>
      <c r="AA136" s="20"/>
      <c r="AB136" s="4"/>
      <c r="AC136" s="20"/>
      <c r="AD136" s="4"/>
      <c r="AE136" s="20"/>
      <c r="AF136" s="19"/>
      <c r="AG136" s="8"/>
      <c r="AH136" s="17"/>
      <c r="AI136" s="37"/>
      <c r="AJ136" s="18"/>
      <c r="AK136" s="21"/>
      <c r="AL136" s="21"/>
      <c r="AM136" s="36"/>
      <c r="AN136" s="21" t="s">
        <v>235</v>
      </c>
      <c r="AO136" s="21" t="s">
        <v>206</v>
      </c>
      <c r="AP136" s="21" t="s">
        <v>231</v>
      </c>
      <c r="AQ136" s="21" t="s">
        <v>231</v>
      </c>
      <c r="AR136" s="21" t="s">
        <v>231</v>
      </c>
      <c r="AS136" s="21" t="s">
        <v>231</v>
      </c>
      <c r="AT136" s="21" t="s">
        <v>231</v>
      </c>
      <c r="AU136" s="21" t="s">
        <v>236</v>
      </c>
      <c r="AV136" s="21" t="s">
        <v>236</v>
      </c>
      <c r="AW136" s="4" t="str">
        <f t="shared" si="22"/>
        <v>A</v>
      </c>
      <c r="AX136" s="45" t="str">
        <f t="shared" si="23"/>
        <v/>
      </c>
    </row>
    <row r="137" spans="1:57" ht="15" customHeight="1" x14ac:dyDescent="0.25">
      <c r="A137" s="46">
        <v>45870</v>
      </c>
      <c r="B137" s="21" t="s">
        <v>416</v>
      </c>
      <c r="C137" s="46" t="s">
        <v>26</v>
      </c>
      <c r="D137" s="21" t="s">
        <v>620</v>
      </c>
      <c r="E137" s="47">
        <v>898</v>
      </c>
      <c r="F137" s="21" t="s">
        <v>225</v>
      </c>
      <c r="G137" s="4" t="s">
        <v>1308</v>
      </c>
      <c r="H137" s="4" t="s">
        <v>1323</v>
      </c>
      <c r="I137" s="4" t="s">
        <v>1326</v>
      </c>
      <c r="J137" s="4" t="s">
        <v>556</v>
      </c>
      <c r="K137" s="4"/>
      <c r="L137" s="4"/>
      <c r="M137" s="4" t="s">
        <v>1309</v>
      </c>
      <c r="N137" s="4" t="s">
        <v>1324</v>
      </c>
      <c r="O137" s="4" t="s">
        <v>1325</v>
      </c>
      <c r="P137" s="91"/>
      <c r="Q137" s="91"/>
      <c r="R137" s="91">
        <f t="shared" si="24"/>
        <v>9</v>
      </c>
      <c r="S137" s="35"/>
      <c r="T137" s="5">
        <v>9</v>
      </c>
      <c r="U137" s="6"/>
      <c r="V137" s="4"/>
      <c r="W137" s="20"/>
      <c r="X137" s="4"/>
      <c r="Y137" s="20"/>
      <c r="Z137" s="4"/>
      <c r="AA137" s="20"/>
      <c r="AB137" s="4"/>
      <c r="AC137" s="20"/>
      <c r="AD137" s="4"/>
      <c r="AE137" s="20"/>
      <c r="AF137" s="19"/>
      <c r="AG137" s="8"/>
      <c r="AH137" s="17"/>
      <c r="AI137" s="37"/>
      <c r="AJ137" s="18"/>
      <c r="AK137" s="21"/>
      <c r="AL137" s="21"/>
      <c r="AM137" s="36"/>
      <c r="AN137" s="21" t="s">
        <v>27</v>
      </c>
      <c r="AO137" s="21" t="s">
        <v>231</v>
      </c>
      <c r="AP137" s="21" t="s">
        <v>231</v>
      </c>
      <c r="AQ137" s="21" t="s">
        <v>231</v>
      </c>
      <c r="AR137" s="21" t="s">
        <v>231</v>
      </c>
      <c r="AS137" s="21" t="s">
        <v>231</v>
      </c>
      <c r="AT137" s="21" t="s">
        <v>231</v>
      </c>
      <c r="AU137" s="21" t="s">
        <v>236</v>
      </c>
      <c r="AV137" s="21" t="s">
        <v>236</v>
      </c>
      <c r="AW137" s="4" t="str">
        <f t="shared" si="22"/>
        <v>B</v>
      </c>
      <c r="AX137" s="45" t="str">
        <f t="shared" si="23"/>
        <v/>
      </c>
    </row>
    <row r="138" spans="1:57" ht="15" customHeight="1" x14ac:dyDescent="0.25">
      <c r="A138" s="46">
        <v>45870</v>
      </c>
      <c r="B138" s="46" t="s">
        <v>1311</v>
      </c>
      <c r="C138" s="46" t="s">
        <v>28</v>
      </c>
      <c r="D138" s="21" t="s">
        <v>26</v>
      </c>
      <c r="E138" s="47">
        <v>901</v>
      </c>
      <c r="F138" s="21" t="s">
        <v>412</v>
      </c>
      <c r="G138" s="4" t="s">
        <v>1312</v>
      </c>
      <c r="H138" s="4" t="s">
        <v>1319</v>
      </c>
      <c r="I138" s="4"/>
      <c r="J138" s="4" t="s">
        <v>556</v>
      </c>
      <c r="K138" s="4"/>
      <c r="L138" s="4"/>
      <c r="M138" s="4" t="s">
        <v>1320</v>
      </c>
      <c r="N138" s="4" t="s">
        <v>1321</v>
      </c>
      <c r="O138" s="4" t="s">
        <v>1322</v>
      </c>
      <c r="P138" s="91"/>
      <c r="Q138" s="91"/>
      <c r="R138" s="91">
        <f t="shared" si="24"/>
        <v>0.25</v>
      </c>
      <c r="S138" s="35"/>
      <c r="T138" s="5">
        <v>0.25</v>
      </c>
      <c r="U138" s="6"/>
      <c r="V138" s="4"/>
      <c r="W138" s="20"/>
      <c r="X138" s="4"/>
      <c r="Y138" s="20"/>
      <c r="Z138" s="4"/>
      <c r="AA138" s="20"/>
      <c r="AB138" s="4"/>
      <c r="AC138" s="20"/>
      <c r="AD138" s="4"/>
      <c r="AE138" s="20"/>
      <c r="AF138" s="19"/>
      <c r="AG138" s="8"/>
      <c r="AH138" s="17"/>
      <c r="AI138" s="37"/>
      <c r="AJ138" s="18"/>
      <c r="AK138" s="21"/>
      <c r="AL138" s="21"/>
      <c r="AM138" s="36"/>
      <c r="AN138" s="21" t="s">
        <v>516</v>
      </c>
      <c r="AO138" s="21" t="s">
        <v>231</v>
      </c>
      <c r="AP138" s="21" t="s">
        <v>231</v>
      </c>
      <c r="AQ138" s="21" t="s">
        <v>231</v>
      </c>
      <c r="AR138" s="21" t="s">
        <v>231</v>
      </c>
      <c r="AS138" s="21" t="s">
        <v>231</v>
      </c>
      <c r="AT138" s="21" t="s">
        <v>231</v>
      </c>
      <c r="AU138" s="21" t="s">
        <v>236</v>
      </c>
      <c r="AV138" s="21" t="s">
        <v>236</v>
      </c>
      <c r="AW138" s="4" t="str">
        <f t="shared" si="22"/>
        <v>A</v>
      </c>
      <c r="AX138" s="45" t="str">
        <f t="shared" si="23"/>
        <v/>
      </c>
    </row>
    <row r="139" spans="1:57" ht="15" customHeight="1" x14ac:dyDescent="0.25">
      <c r="A139" s="46">
        <v>45870</v>
      </c>
      <c r="B139" s="46" t="s">
        <v>416</v>
      </c>
      <c r="C139" s="46" t="s">
        <v>26</v>
      </c>
      <c r="D139" s="21" t="s">
        <v>26</v>
      </c>
      <c r="E139" s="47">
        <v>902</v>
      </c>
      <c r="F139" s="21" t="s">
        <v>412</v>
      </c>
      <c r="G139" s="4" t="s">
        <v>1313</v>
      </c>
      <c r="H139" s="4" t="s">
        <v>1327</v>
      </c>
      <c r="I139" s="4" t="s">
        <v>1328</v>
      </c>
      <c r="J139" s="4" t="s">
        <v>556</v>
      </c>
      <c r="K139" s="4"/>
      <c r="L139" s="4"/>
      <c r="M139" s="4" t="s">
        <v>1329</v>
      </c>
      <c r="N139" s="4" t="s">
        <v>1330</v>
      </c>
      <c r="O139" s="4" t="s">
        <v>1331</v>
      </c>
      <c r="P139" s="91"/>
      <c r="Q139" s="91"/>
      <c r="R139" s="91">
        <f t="shared" si="24"/>
        <v>0.1</v>
      </c>
      <c r="S139" s="35"/>
      <c r="T139" s="5">
        <v>0.1</v>
      </c>
      <c r="U139" s="6"/>
      <c r="V139" s="4"/>
      <c r="W139" s="20"/>
      <c r="X139" s="4"/>
      <c r="Y139" s="20"/>
      <c r="Z139" s="4"/>
      <c r="AA139" s="20"/>
      <c r="AB139" s="4"/>
      <c r="AC139" s="20"/>
      <c r="AD139" s="4"/>
      <c r="AE139" s="20"/>
      <c r="AF139" s="19"/>
      <c r="AG139" s="8"/>
      <c r="AH139" s="17"/>
      <c r="AI139" s="37"/>
      <c r="AJ139" s="18"/>
      <c r="AK139" s="21"/>
      <c r="AL139" s="21"/>
      <c r="AM139" s="36"/>
      <c r="AN139" s="21" t="s">
        <v>516</v>
      </c>
      <c r="AO139" s="21" t="s">
        <v>206</v>
      </c>
      <c r="AP139" s="21" t="s">
        <v>231</v>
      </c>
      <c r="AQ139" s="21" t="s">
        <v>231</v>
      </c>
      <c r="AR139" s="21" t="s">
        <v>231</v>
      </c>
      <c r="AS139" s="21" t="s">
        <v>231</v>
      </c>
      <c r="AT139" s="21" t="s">
        <v>231</v>
      </c>
      <c r="AU139" s="21" t="s">
        <v>236</v>
      </c>
      <c r="AV139" s="21" t="s">
        <v>236</v>
      </c>
      <c r="AW139" s="4" t="str">
        <f t="shared" si="22"/>
        <v>A</v>
      </c>
      <c r="AX139" s="45" t="str">
        <f t="shared" si="23"/>
        <v/>
      </c>
    </row>
    <row r="140" spans="1:57" ht="15" customHeight="1" x14ac:dyDescent="0.25">
      <c r="A140" s="46">
        <v>45870</v>
      </c>
      <c r="B140" s="21" t="s">
        <v>1332</v>
      </c>
      <c r="C140" s="46" t="s">
        <v>28</v>
      </c>
      <c r="D140" s="21" t="s">
        <v>28</v>
      </c>
      <c r="E140" s="47">
        <v>903</v>
      </c>
      <c r="F140" s="21" t="s">
        <v>28</v>
      </c>
      <c r="G140" s="4" t="s">
        <v>1314</v>
      </c>
      <c r="H140" s="4" t="s">
        <v>1240</v>
      </c>
      <c r="I140" s="4" t="s">
        <v>1333</v>
      </c>
      <c r="J140" s="4" t="s">
        <v>556</v>
      </c>
      <c r="K140" s="4"/>
      <c r="L140" s="4"/>
      <c r="M140" s="4" t="s">
        <v>1334</v>
      </c>
      <c r="N140" s="4" t="s">
        <v>1335</v>
      </c>
      <c r="O140" s="4" t="s">
        <v>1336</v>
      </c>
      <c r="P140" s="91"/>
      <c r="Q140" s="91"/>
      <c r="R140" s="91">
        <f t="shared" si="24"/>
        <v>0.4</v>
      </c>
      <c r="S140" s="35"/>
      <c r="T140" s="5"/>
      <c r="U140" s="6">
        <v>0.4</v>
      </c>
      <c r="V140" s="4"/>
      <c r="W140" s="20"/>
      <c r="X140" s="4"/>
      <c r="Y140" s="20"/>
      <c r="Z140" s="4"/>
      <c r="AA140" s="20"/>
      <c r="AB140" s="4"/>
      <c r="AC140" s="20"/>
      <c r="AD140" s="4"/>
      <c r="AE140" s="20"/>
      <c r="AF140" s="19"/>
      <c r="AG140" s="8"/>
      <c r="AH140" s="17"/>
      <c r="AI140" s="37"/>
      <c r="AJ140" s="18"/>
      <c r="AK140" s="21"/>
      <c r="AL140" s="21" t="s">
        <v>218</v>
      </c>
      <c r="AM140" s="36"/>
      <c r="AN140" s="21" t="s">
        <v>27</v>
      </c>
      <c r="AO140" s="21" t="s">
        <v>231</v>
      </c>
      <c r="AP140" s="21" t="s">
        <v>231</v>
      </c>
      <c r="AQ140" s="21" t="s">
        <v>231</v>
      </c>
      <c r="AR140" s="21" t="s">
        <v>231</v>
      </c>
      <c r="AS140" s="21" t="s">
        <v>231</v>
      </c>
      <c r="AT140" s="21" t="s">
        <v>231</v>
      </c>
      <c r="AU140" s="21" t="s">
        <v>236</v>
      </c>
      <c r="AV140" s="21" t="s">
        <v>236</v>
      </c>
      <c r="AW140" s="4" t="str">
        <f t="shared" si="22"/>
        <v>B</v>
      </c>
      <c r="AX140" s="45" t="str">
        <f t="shared" si="23"/>
        <v/>
      </c>
      <c r="AY140" s="67"/>
      <c r="AZ140" s="43"/>
      <c r="BA140" s="43"/>
      <c r="BB140" s="43"/>
      <c r="BC140" s="43"/>
      <c r="BD140" s="43"/>
      <c r="BE140" s="43"/>
    </row>
    <row r="141" spans="1:57" ht="15" customHeight="1" x14ac:dyDescent="0.25">
      <c r="A141" s="46">
        <v>45870</v>
      </c>
      <c r="B141" s="46" t="s">
        <v>1337</v>
      </c>
      <c r="C141" s="21" t="s">
        <v>28</v>
      </c>
      <c r="D141" s="21" t="s">
        <v>28</v>
      </c>
      <c r="E141" s="21">
        <v>904</v>
      </c>
      <c r="F141" s="21" t="s">
        <v>28</v>
      </c>
      <c r="G141" s="4" t="s">
        <v>1315</v>
      </c>
      <c r="H141" s="4" t="s">
        <v>248</v>
      </c>
      <c r="I141" s="4"/>
      <c r="J141" s="4" t="s">
        <v>556</v>
      </c>
      <c r="K141" s="4"/>
      <c r="L141" s="4"/>
      <c r="M141" s="4" t="s">
        <v>1338</v>
      </c>
      <c r="N141" s="4" t="s">
        <v>1339</v>
      </c>
      <c r="O141" s="4" t="s">
        <v>1053</v>
      </c>
      <c r="P141" s="91"/>
      <c r="Q141" s="91"/>
      <c r="R141" s="91">
        <f t="shared" si="24"/>
        <v>0.25</v>
      </c>
      <c r="S141" s="7"/>
      <c r="T141" s="5"/>
      <c r="U141" s="6">
        <v>0.25</v>
      </c>
      <c r="V141" s="4"/>
      <c r="W141" s="20"/>
      <c r="X141" s="4"/>
      <c r="Y141" s="20"/>
      <c r="Z141" s="4"/>
      <c r="AA141" s="20"/>
      <c r="AB141" s="4"/>
      <c r="AC141" s="20"/>
      <c r="AD141" s="4"/>
      <c r="AE141" s="20"/>
      <c r="AF141" s="19"/>
      <c r="AG141" s="8"/>
      <c r="AH141" s="17"/>
      <c r="AI141" s="37"/>
      <c r="AJ141" s="18"/>
      <c r="AK141" s="21"/>
      <c r="AL141" s="21"/>
      <c r="AM141" s="21"/>
      <c r="AN141" s="46" t="s">
        <v>235</v>
      </c>
      <c r="AO141" s="46" t="s">
        <v>231</v>
      </c>
      <c r="AP141" s="46" t="s">
        <v>231</v>
      </c>
      <c r="AQ141" s="46" t="s">
        <v>231</v>
      </c>
      <c r="AR141" s="46" t="s">
        <v>231</v>
      </c>
      <c r="AS141" s="46" t="s">
        <v>206</v>
      </c>
      <c r="AT141" s="46" t="s">
        <v>231</v>
      </c>
      <c r="AU141" s="46" t="s">
        <v>236</v>
      </c>
      <c r="AV141" s="21" t="s">
        <v>236</v>
      </c>
      <c r="AW141" s="4" t="str">
        <f t="shared" si="22"/>
        <v>A</v>
      </c>
      <c r="AX141" s="45" t="str">
        <f t="shared" si="23"/>
        <v/>
      </c>
      <c r="AY141" s="22" t="s">
        <v>5</v>
      </c>
    </row>
    <row r="142" spans="1:57" ht="15" customHeight="1" x14ac:dyDescent="0.25">
      <c r="A142" s="46">
        <v>45870</v>
      </c>
      <c r="B142" s="46" t="s">
        <v>416</v>
      </c>
      <c r="C142" s="21" t="s">
        <v>26</v>
      </c>
      <c r="D142" s="21" t="s">
        <v>26</v>
      </c>
      <c r="E142" s="21">
        <v>905</v>
      </c>
      <c r="F142" s="21" t="s">
        <v>412</v>
      </c>
      <c r="G142" s="4" t="s">
        <v>1316</v>
      </c>
      <c r="H142" s="4" t="s">
        <v>1464</v>
      </c>
      <c r="I142" s="4" t="s">
        <v>1340</v>
      </c>
      <c r="J142" s="4" t="s">
        <v>556</v>
      </c>
      <c r="K142" s="4"/>
      <c r="L142" s="4"/>
      <c r="M142" s="4" t="s">
        <v>1341</v>
      </c>
      <c r="N142" s="4" t="s">
        <v>1342</v>
      </c>
      <c r="O142" s="4" t="s">
        <v>1343</v>
      </c>
      <c r="P142" s="91"/>
      <c r="Q142" s="91"/>
      <c r="R142" s="91">
        <f t="shared" si="24"/>
        <v>0.1</v>
      </c>
      <c r="S142" s="7"/>
      <c r="T142" s="5">
        <v>0.1</v>
      </c>
      <c r="U142" s="6"/>
      <c r="V142" s="4"/>
      <c r="W142" s="20"/>
      <c r="X142" s="4"/>
      <c r="Y142" s="20"/>
      <c r="Z142" s="4"/>
      <c r="AA142" s="20"/>
      <c r="AB142" s="4"/>
      <c r="AC142" s="20"/>
      <c r="AD142" s="4"/>
      <c r="AE142" s="20"/>
      <c r="AF142" s="19"/>
      <c r="AG142" s="8"/>
      <c r="AH142" s="17"/>
      <c r="AI142" s="37"/>
      <c r="AJ142" s="18"/>
      <c r="AK142" s="21"/>
      <c r="AL142" s="21"/>
      <c r="AM142" s="21"/>
      <c r="AN142" s="46" t="s">
        <v>235</v>
      </c>
      <c r="AO142" s="46" t="s">
        <v>206</v>
      </c>
      <c r="AP142" s="46" t="s">
        <v>231</v>
      </c>
      <c r="AQ142" s="46" t="s">
        <v>231</v>
      </c>
      <c r="AR142" s="46" t="s">
        <v>231</v>
      </c>
      <c r="AS142" s="46" t="s">
        <v>231</v>
      </c>
      <c r="AT142" s="46" t="s">
        <v>231</v>
      </c>
      <c r="AU142" s="46" t="s">
        <v>236</v>
      </c>
      <c r="AV142" s="21" t="s">
        <v>236</v>
      </c>
      <c r="AW142" s="4" t="str">
        <f t="shared" si="22"/>
        <v>A</v>
      </c>
      <c r="AX142" s="45" t="str">
        <f t="shared" si="23"/>
        <v/>
      </c>
    </row>
    <row r="143" spans="1:57" ht="15" customHeight="1" x14ac:dyDescent="0.25">
      <c r="A143" s="46">
        <v>45870</v>
      </c>
      <c r="B143" s="46" t="s">
        <v>1344</v>
      </c>
      <c r="C143" s="21" t="s">
        <v>28</v>
      </c>
      <c r="D143" s="21" t="s">
        <v>28</v>
      </c>
      <c r="E143" s="21">
        <v>906</v>
      </c>
      <c r="F143" s="21" t="s">
        <v>28</v>
      </c>
      <c r="G143" s="4" t="s">
        <v>1317</v>
      </c>
      <c r="H143" s="4" t="s">
        <v>247</v>
      </c>
      <c r="I143" s="4"/>
      <c r="J143" s="4" t="s">
        <v>556</v>
      </c>
      <c r="K143" s="4"/>
      <c r="L143" s="4"/>
      <c r="M143" s="4" t="s">
        <v>1346</v>
      </c>
      <c r="N143" s="4" t="s">
        <v>1347</v>
      </c>
      <c r="O143" s="4" t="s">
        <v>1348</v>
      </c>
      <c r="P143" s="91"/>
      <c r="Q143" s="91"/>
      <c r="R143" s="91">
        <f t="shared" si="24"/>
        <v>0.1</v>
      </c>
      <c r="S143" s="7"/>
      <c r="T143" s="5"/>
      <c r="U143" s="6">
        <v>0.1</v>
      </c>
      <c r="V143" s="4"/>
      <c r="W143" s="20"/>
      <c r="X143" s="4"/>
      <c r="Y143" s="20"/>
      <c r="Z143" s="4"/>
      <c r="AA143" s="20"/>
      <c r="AB143" s="4"/>
      <c r="AC143" s="20"/>
      <c r="AD143" s="4"/>
      <c r="AE143" s="20"/>
      <c r="AF143" s="19"/>
      <c r="AG143" s="8"/>
      <c r="AH143" s="17"/>
      <c r="AI143" s="37"/>
      <c r="AJ143" s="18"/>
      <c r="AK143" s="21"/>
      <c r="AL143" s="21"/>
      <c r="AM143" s="21"/>
      <c r="AN143" s="46" t="s">
        <v>235</v>
      </c>
      <c r="AO143" s="46" t="s">
        <v>231</v>
      </c>
      <c r="AP143" s="46" t="s">
        <v>231</v>
      </c>
      <c r="AQ143" s="46" t="s">
        <v>231</v>
      </c>
      <c r="AR143" s="46" t="s">
        <v>231</v>
      </c>
      <c r="AS143" s="46" t="s">
        <v>206</v>
      </c>
      <c r="AT143" s="46" t="s">
        <v>231</v>
      </c>
      <c r="AU143" s="46" t="s">
        <v>236</v>
      </c>
      <c r="AV143" s="21" t="s">
        <v>236</v>
      </c>
      <c r="AW143" s="4" t="str">
        <f t="shared" si="22"/>
        <v>A</v>
      </c>
      <c r="AX143" s="45" t="str">
        <f t="shared" si="23"/>
        <v/>
      </c>
    </row>
    <row r="144" spans="1:57" ht="15" customHeight="1" x14ac:dyDescent="0.25">
      <c r="A144" s="46">
        <v>45870</v>
      </c>
      <c r="B144" s="46" t="s">
        <v>1349</v>
      </c>
      <c r="C144" s="46" t="s">
        <v>28</v>
      </c>
      <c r="D144" s="21" t="s">
        <v>79</v>
      </c>
      <c r="E144" s="47">
        <v>907</v>
      </c>
      <c r="F144" s="21" t="s">
        <v>28</v>
      </c>
      <c r="G144" s="4" t="s">
        <v>1318</v>
      </c>
      <c r="H144" s="4" t="s">
        <v>1345</v>
      </c>
      <c r="I144" s="4"/>
      <c r="J144" s="4" t="s">
        <v>556</v>
      </c>
      <c r="K144" s="4"/>
      <c r="L144" s="4"/>
      <c r="M144" s="4" t="s">
        <v>1350</v>
      </c>
      <c r="N144" s="4" t="s">
        <v>1351</v>
      </c>
      <c r="O144" s="4" t="s">
        <v>1352</v>
      </c>
      <c r="P144" s="91"/>
      <c r="Q144" s="91"/>
      <c r="R144" s="91">
        <f t="shared" si="24"/>
        <v>0.5</v>
      </c>
      <c r="S144" s="7"/>
      <c r="T144" s="5"/>
      <c r="U144" s="6"/>
      <c r="V144" s="4"/>
      <c r="W144" s="20"/>
      <c r="X144" s="4"/>
      <c r="Y144" s="20"/>
      <c r="Z144" s="4"/>
      <c r="AA144" s="20"/>
      <c r="AB144" s="4">
        <v>0.5</v>
      </c>
      <c r="AC144" s="20"/>
      <c r="AD144" s="4"/>
      <c r="AE144" s="20"/>
      <c r="AF144" s="19"/>
      <c r="AG144" s="8"/>
      <c r="AH144" s="17"/>
      <c r="AI144" s="37"/>
      <c r="AJ144" s="18"/>
      <c r="AK144" s="21"/>
      <c r="AL144" s="21"/>
      <c r="AM144" s="21"/>
      <c r="AN144" s="21" t="s">
        <v>235</v>
      </c>
      <c r="AO144" s="21" t="s">
        <v>231</v>
      </c>
      <c r="AP144" s="21" t="s">
        <v>231</v>
      </c>
      <c r="AQ144" s="21" t="s">
        <v>231</v>
      </c>
      <c r="AR144" s="21" t="s">
        <v>231</v>
      </c>
      <c r="AS144" s="21" t="s">
        <v>206</v>
      </c>
      <c r="AT144" s="21" t="s">
        <v>231</v>
      </c>
      <c r="AU144" s="21" t="s">
        <v>236</v>
      </c>
      <c r="AV144" s="21" t="s">
        <v>236</v>
      </c>
      <c r="AW144" s="4" t="str">
        <f t="shared" si="22"/>
        <v>B</v>
      </c>
      <c r="AX144" s="45" t="str">
        <f t="shared" si="23"/>
        <v/>
      </c>
    </row>
    <row r="145" spans="1:57" ht="15" customHeight="1" x14ac:dyDescent="0.25">
      <c r="A145" s="46">
        <v>45870</v>
      </c>
      <c r="B145" s="46" t="s">
        <v>416</v>
      </c>
      <c r="C145" s="46" t="s">
        <v>26</v>
      </c>
      <c r="D145" s="21" t="s">
        <v>26</v>
      </c>
      <c r="E145" s="47">
        <v>909</v>
      </c>
      <c r="F145" s="21" t="s">
        <v>412</v>
      </c>
      <c r="G145" s="4" t="s">
        <v>1356</v>
      </c>
      <c r="H145" s="4" t="s">
        <v>929</v>
      </c>
      <c r="I145" s="4" t="s">
        <v>930</v>
      </c>
      <c r="J145" s="4" t="s">
        <v>556</v>
      </c>
      <c r="K145" s="4"/>
      <c r="L145" s="4"/>
      <c r="M145" s="4" t="s">
        <v>1357</v>
      </c>
      <c r="N145" s="4" t="s">
        <v>1358</v>
      </c>
      <c r="O145" s="4" t="s">
        <v>1359</v>
      </c>
      <c r="P145" s="91"/>
      <c r="Q145" s="91"/>
      <c r="R145" s="91">
        <f t="shared" si="24"/>
        <v>0.75</v>
      </c>
      <c r="S145" s="7"/>
      <c r="T145" s="5">
        <v>0.75</v>
      </c>
      <c r="U145" s="6"/>
      <c r="V145" s="4"/>
      <c r="W145" s="20"/>
      <c r="X145" s="4"/>
      <c r="Y145" s="20"/>
      <c r="Z145" s="4"/>
      <c r="AA145" s="20"/>
      <c r="AB145" s="4"/>
      <c r="AC145" s="20"/>
      <c r="AD145" s="4"/>
      <c r="AE145" s="20"/>
      <c r="AF145" s="19"/>
      <c r="AG145" s="8"/>
      <c r="AH145" s="17"/>
      <c r="AI145" s="37"/>
      <c r="AJ145" s="18"/>
      <c r="AK145" s="21"/>
      <c r="AL145" s="21"/>
      <c r="AM145" s="21"/>
      <c r="AN145" s="21" t="s">
        <v>235</v>
      </c>
      <c r="AO145" s="21" t="s">
        <v>206</v>
      </c>
      <c r="AP145" s="21" t="s">
        <v>231</v>
      </c>
      <c r="AQ145" s="21" t="s">
        <v>231</v>
      </c>
      <c r="AR145" s="21" t="s">
        <v>231</v>
      </c>
      <c r="AS145" s="21" t="s">
        <v>231</v>
      </c>
      <c r="AT145" s="21" t="s">
        <v>231</v>
      </c>
      <c r="AU145" s="21" t="s">
        <v>236</v>
      </c>
      <c r="AV145" s="21" t="s">
        <v>236</v>
      </c>
      <c r="AW145" s="4" t="str">
        <f t="shared" si="22"/>
        <v>B</v>
      </c>
      <c r="AX145" s="45" t="str">
        <f t="shared" si="23"/>
        <v/>
      </c>
    </row>
    <row r="146" spans="1:57" ht="15" customHeight="1" x14ac:dyDescent="0.25">
      <c r="A146" s="46">
        <v>45870</v>
      </c>
      <c r="B146" s="46" t="s">
        <v>1364</v>
      </c>
      <c r="C146" s="46" t="s">
        <v>28</v>
      </c>
      <c r="D146" s="21" t="s">
        <v>79</v>
      </c>
      <c r="E146" s="47">
        <v>908</v>
      </c>
      <c r="F146" s="21" t="s">
        <v>28</v>
      </c>
      <c r="G146" s="4" t="s">
        <v>1360</v>
      </c>
      <c r="H146" s="4" t="s">
        <v>1327</v>
      </c>
      <c r="I146" s="4"/>
      <c r="J146" s="4" t="s">
        <v>556</v>
      </c>
      <c r="K146" s="4"/>
      <c r="L146" s="4"/>
      <c r="M146" s="4" t="s">
        <v>1361</v>
      </c>
      <c r="N146" s="4" t="s">
        <v>1362</v>
      </c>
      <c r="O146" s="4" t="s">
        <v>1363</v>
      </c>
      <c r="P146" s="91"/>
      <c r="Q146" s="91"/>
      <c r="R146" s="91">
        <f t="shared" si="24"/>
        <v>0.5</v>
      </c>
      <c r="S146" s="7"/>
      <c r="T146" s="5"/>
      <c r="U146" s="6"/>
      <c r="V146" s="4"/>
      <c r="W146" s="20"/>
      <c r="X146" s="4"/>
      <c r="Y146" s="20"/>
      <c r="Z146" s="4"/>
      <c r="AA146" s="20"/>
      <c r="AB146" s="4">
        <v>0.5</v>
      </c>
      <c r="AC146" s="20"/>
      <c r="AD146" s="4"/>
      <c r="AE146" s="20"/>
      <c r="AF146" s="19"/>
      <c r="AG146" s="8"/>
      <c r="AH146" s="17"/>
      <c r="AI146" s="37"/>
      <c r="AJ146" s="18"/>
      <c r="AK146" s="21"/>
      <c r="AL146" s="21" t="s">
        <v>218</v>
      </c>
      <c r="AM146" s="21"/>
      <c r="AN146" s="21" t="s">
        <v>27</v>
      </c>
      <c r="AO146" s="21" t="s">
        <v>206</v>
      </c>
      <c r="AP146" s="21" t="s">
        <v>231</v>
      </c>
      <c r="AQ146" s="21" t="s">
        <v>231</v>
      </c>
      <c r="AR146" s="21" t="s">
        <v>231</v>
      </c>
      <c r="AS146" s="21" t="s">
        <v>231</v>
      </c>
      <c r="AT146" s="21" t="s">
        <v>231</v>
      </c>
      <c r="AU146" s="21" t="s">
        <v>236</v>
      </c>
      <c r="AV146" s="21" t="s">
        <v>236</v>
      </c>
      <c r="AW146" s="4" t="str">
        <f t="shared" si="22"/>
        <v>B</v>
      </c>
      <c r="AX146" s="45" t="str">
        <f t="shared" si="23"/>
        <v/>
      </c>
    </row>
    <row r="147" spans="1:57" ht="15" customHeight="1" x14ac:dyDescent="0.25">
      <c r="A147" s="46">
        <v>45871</v>
      </c>
      <c r="B147" s="46" t="s">
        <v>1370</v>
      </c>
      <c r="C147" s="46" t="s">
        <v>28</v>
      </c>
      <c r="D147" s="21" t="s">
        <v>28</v>
      </c>
      <c r="E147" s="47">
        <v>912</v>
      </c>
      <c r="F147" s="21" t="s">
        <v>28</v>
      </c>
      <c r="G147" s="4" t="s">
        <v>1365</v>
      </c>
      <c r="H147" s="4" t="s">
        <v>1007</v>
      </c>
      <c r="I147" s="4"/>
      <c r="J147" s="4" t="s">
        <v>556</v>
      </c>
      <c r="K147" s="4"/>
      <c r="L147" s="4"/>
      <c r="M147" s="4" t="s">
        <v>1367</v>
      </c>
      <c r="N147" s="4" t="s">
        <v>1371</v>
      </c>
      <c r="O147" s="4" t="s">
        <v>1372</v>
      </c>
      <c r="P147" s="91"/>
      <c r="Q147" s="91"/>
      <c r="R147" s="91">
        <f t="shared" si="24"/>
        <v>1.25</v>
      </c>
      <c r="S147" s="7"/>
      <c r="T147" s="5"/>
      <c r="U147" s="6">
        <v>1.25</v>
      </c>
      <c r="V147" s="4"/>
      <c r="W147" s="20"/>
      <c r="X147" s="4"/>
      <c r="Y147" s="20"/>
      <c r="Z147" s="4"/>
      <c r="AA147" s="20"/>
      <c r="AB147" s="4"/>
      <c r="AC147" s="20"/>
      <c r="AD147" s="4"/>
      <c r="AE147" s="20"/>
      <c r="AF147" s="19"/>
      <c r="AG147" s="8"/>
      <c r="AH147" s="17"/>
      <c r="AI147" s="37"/>
      <c r="AJ147" s="18"/>
      <c r="AK147" s="21"/>
      <c r="AL147" s="21"/>
      <c r="AM147" s="21"/>
      <c r="AN147" s="21" t="s">
        <v>27</v>
      </c>
      <c r="AO147" s="21" t="s">
        <v>206</v>
      </c>
      <c r="AP147" s="21" t="s">
        <v>231</v>
      </c>
      <c r="AQ147" s="21" t="s">
        <v>231</v>
      </c>
      <c r="AR147" s="21" t="s">
        <v>231</v>
      </c>
      <c r="AS147" s="21" t="s">
        <v>231</v>
      </c>
      <c r="AT147" s="21" t="s">
        <v>231</v>
      </c>
      <c r="AU147" s="21" t="s">
        <v>236</v>
      </c>
      <c r="AV147" s="21" t="s">
        <v>236</v>
      </c>
      <c r="AW147" s="4" t="str">
        <f t="shared" si="22"/>
        <v>B</v>
      </c>
      <c r="AX147" s="45" t="str">
        <f t="shared" si="23"/>
        <v/>
      </c>
    </row>
    <row r="148" spans="1:57" ht="15" customHeight="1" x14ac:dyDescent="0.25">
      <c r="A148" s="46">
        <v>45871</v>
      </c>
      <c r="B148" s="46" t="s">
        <v>1368</v>
      </c>
      <c r="C148" s="46" t="s">
        <v>25</v>
      </c>
      <c r="D148" s="21" t="s">
        <v>25</v>
      </c>
      <c r="E148" s="47">
        <v>913</v>
      </c>
      <c r="F148" s="21" t="s">
        <v>269</v>
      </c>
      <c r="G148" s="4" t="s">
        <v>1366</v>
      </c>
      <c r="H148" s="4" t="s">
        <v>811</v>
      </c>
      <c r="I148" s="4"/>
      <c r="J148" s="4" t="s">
        <v>229</v>
      </c>
      <c r="K148" s="4" t="s">
        <v>317</v>
      </c>
      <c r="L148" s="4" t="s">
        <v>87</v>
      </c>
      <c r="M148" s="4" t="s">
        <v>1369</v>
      </c>
      <c r="N148" s="4" t="s">
        <v>1373</v>
      </c>
      <c r="O148" s="4" t="s">
        <v>1374</v>
      </c>
      <c r="P148" s="4">
        <v>548484</v>
      </c>
      <c r="Q148" s="4">
        <v>4799199</v>
      </c>
      <c r="R148" s="91">
        <f t="shared" si="24"/>
        <v>916.8</v>
      </c>
      <c r="S148" s="7">
        <v>916.8</v>
      </c>
      <c r="T148" s="5"/>
      <c r="U148" s="6"/>
      <c r="V148" s="4"/>
      <c r="W148" s="20"/>
      <c r="X148" s="4"/>
      <c r="Y148" s="20"/>
      <c r="Z148" s="4"/>
      <c r="AA148" s="20"/>
      <c r="AB148" s="4"/>
      <c r="AC148" s="20"/>
      <c r="AD148" s="4"/>
      <c r="AE148" s="20"/>
      <c r="AF148" s="19"/>
      <c r="AG148" s="8"/>
      <c r="AH148" s="17"/>
      <c r="AI148" s="37"/>
      <c r="AJ148" s="18"/>
      <c r="AK148" s="21"/>
      <c r="AL148" s="21"/>
      <c r="AM148" s="21"/>
      <c r="AN148" s="21" t="s">
        <v>235</v>
      </c>
      <c r="AO148" s="21" t="s">
        <v>231</v>
      </c>
      <c r="AP148" s="21" t="s">
        <v>231</v>
      </c>
      <c r="AQ148" s="21" t="s">
        <v>206</v>
      </c>
      <c r="AR148" s="21" t="s">
        <v>231</v>
      </c>
      <c r="AS148" s="21" t="s">
        <v>231</v>
      </c>
      <c r="AT148" s="21" t="s">
        <v>231</v>
      </c>
      <c r="AU148" s="21" t="s">
        <v>206</v>
      </c>
      <c r="AV148" s="21" t="s">
        <v>206</v>
      </c>
      <c r="AW148" s="4" t="str">
        <f t="shared" si="22"/>
        <v>E</v>
      </c>
      <c r="AX148" s="45" t="str">
        <f t="shared" si="23"/>
        <v/>
      </c>
    </row>
    <row r="149" spans="1:57" ht="15" customHeight="1" x14ac:dyDescent="0.25">
      <c r="A149" s="46">
        <v>45871</v>
      </c>
      <c r="B149" s="46" t="s">
        <v>416</v>
      </c>
      <c r="C149" s="46" t="s">
        <v>26</v>
      </c>
      <c r="D149" s="21" t="s">
        <v>26</v>
      </c>
      <c r="E149" s="47">
        <v>915</v>
      </c>
      <c r="F149" s="21" t="s">
        <v>456</v>
      </c>
      <c r="G149" s="4" t="s">
        <v>1375</v>
      </c>
      <c r="H149" s="4" t="s">
        <v>1376</v>
      </c>
      <c r="I149" s="4"/>
      <c r="J149" s="4" t="s">
        <v>556</v>
      </c>
      <c r="K149" s="4"/>
      <c r="L149" s="4"/>
      <c r="M149" s="4" t="s">
        <v>1381</v>
      </c>
      <c r="N149" s="4" t="s">
        <v>1377</v>
      </c>
      <c r="O149" s="4" t="s">
        <v>1378</v>
      </c>
      <c r="P149" s="91"/>
      <c r="Q149" s="91"/>
      <c r="R149" s="91">
        <f t="shared" si="24"/>
        <v>1.5</v>
      </c>
      <c r="S149" s="7"/>
      <c r="T149" s="5">
        <v>1.5</v>
      </c>
      <c r="U149" s="6"/>
      <c r="V149" s="4"/>
      <c r="W149" s="20"/>
      <c r="X149" s="4"/>
      <c r="Y149" s="20"/>
      <c r="Z149" s="4"/>
      <c r="AA149" s="20"/>
      <c r="AB149" s="4"/>
      <c r="AC149" s="20"/>
      <c r="AD149" s="4"/>
      <c r="AE149" s="20"/>
      <c r="AF149" s="19"/>
      <c r="AG149" s="8"/>
      <c r="AH149" s="17"/>
      <c r="AI149" s="37"/>
      <c r="AJ149" s="18"/>
      <c r="AK149" s="21"/>
      <c r="AL149" s="21"/>
      <c r="AM149" s="21"/>
      <c r="AN149" s="21" t="s">
        <v>27</v>
      </c>
      <c r="AO149" s="21" t="s">
        <v>231</v>
      </c>
      <c r="AP149" s="21" t="s">
        <v>231</v>
      </c>
      <c r="AQ149" s="21" t="s">
        <v>231</v>
      </c>
      <c r="AR149" s="21" t="s">
        <v>231</v>
      </c>
      <c r="AS149" s="21" t="s">
        <v>231</v>
      </c>
      <c r="AT149" s="21" t="s">
        <v>231</v>
      </c>
      <c r="AU149" s="21" t="s">
        <v>236</v>
      </c>
      <c r="AV149" s="21" t="s">
        <v>236</v>
      </c>
      <c r="AW149" s="4" t="str">
        <f t="shared" si="22"/>
        <v>B</v>
      </c>
      <c r="AX149" s="45" t="str">
        <f t="shared" si="23"/>
        <v/>
      </c>
    </row>
    <row r="150" spans="1:57" ht="15" customHeight="1" x14ac:dyDescent="0.25">
      <c r="A150" s="46">
        <v>45871</v>
      </c>
      <c r="B150" s="46" t="s">
        <v>416</v>
      </c>
      <c r="C150" s="46" t="s">
        <v>26</v>
      </c>
      <c r="D150" s="21" t="s">
        <v>26</v>
      </c>
      <c r="E150" s="47">
        <v>918</v>
      </c>
      <c r="F150" s="21" t="s">
        <v>381</v>
      </c>
      <c r="G150" s="4" t="s">
        <v>1379</v>
      </c>
      <c r="H150" s="4" t="s">
        <v>580</v>
      </c>
      <c r="I150" s="4"/>
      <c r="J150" s="4" t="s">
        <v>556</v>
      </c>
      <c r="K150" s="4"/>
      <c r="L150" s="4"/>
      <c r="M150" s="4" t="s">
        <v>1380</v>
      </c>
      <c r="N150" s="4" t="s">
        <v>1382</v>
      </c>
      <c r="O150" s="4" t="s">
        <v>1383</v>
      </c>
      <c r="P150" s="91"/>
      <c r="Q150" s="91"/>
      <c r="R150" s="91">
        <f t="shared" si="24"/>
        <v>0.4</v>
      </c>
      <c r="S150" s="7"/>
      <c r="T150" s="5">
        <v>0.4</v>
      </c>
      <c r="U150" s="6"/>
      <c r="V150" s="4"/>
      <c r="W150" s="20"/>
      <c r="X150" s="4"/>
      <c r="Y150" s="20"/>
      <c r="Z150" s="4"/>
      <c r="AA150" s="20"/>
      <c r="AB150" s="4"/>
      <c r="AC150" s="20"/>
      <c r="AD150" s="4"/>
      <c r="AE150" s="20"/>
      <c r="AF150" s="19"/>
      <c r="AG150" s="8"/>
      <c r="AH150" s="17"/>
      <c r="AI150" s="37"/>
      <c r="AJ150" s="18"/>
      <c r="AK150" s="21"/>
      <c r="AL150" s="21"/>
      <c r="AM150" s="21"/>
      <c r="AN150" s="21" t="s">
        <v>27</v>
      </c>
      <c r="AO150" s="21" t="s">
        <v>231</v>
      </c>
      <c r="AP150" s="21" t="s">
        <v>231</v>
      </c>
      <c r="AQ150" s="21" t="s">
        <v>231</v>
      </c>
      <c r="AR150" s="21" t="s">
        <v>231</v>
      </c>
      <c r="AS150" s="21" t="s">
        <v>231</v>
      </c>
      <c r="AT150" s="21" t="s">
        <v>231</v>
      </c>
      <c r="AU150" s="21" t="s">
        <v>236</v>
      </c>
      <c r="AV150" s="21" t="s">
        <v>236</v>
      </c>
      <c r="AW150" s="4" t="str">
        <f t="shared" si="22"/>
        <v>B</v>
      </c>
      <c r="AX150" s="45" t="str">
        <f t="shared" si="23"/>
        <v/>
      </c>
    </row>
    <row r="151" spans="1:57" ht="15" customHeight="1" x14ac:dyDescent="0.25">
      <c r="A151" s="46">
        <v>45872</v>
      </c>
      <c r="B151" s="46" t="s">
        <v>416</v>
      </c>
      <c r="C151" s="46" t="s">
        <v>26</v>
      </c>
      <c r="D151" s="21" t="s">
        <v>26</v>
      </c>
      <c r="E151" s="47">
        <v>920</v>
      </c>
      <c r="F151" s="21" t="s">
        <v>225</v>
      </c>
      <c r="G151" s="4" t="s">
        <v>1384</v>
      </c>
      <c r="H151" s="4" t="s">
        <v>1385</v>
      </c>
      <c r="I151" s="4" t="s">
        <v>1386</v>
      </c>
      <c r="J151" s="4" t="s">
        <v>556</v>
      </c>
      <c r="K151" s="4"/>
      <c r="L151" s="4"/>
      <c r="M151" s="4" t="s">
        <v>1387</v>
      </c>
      <c r="N151" s="4" t="s">
        <v>1388</v>
      </c>
      <c r="O151" s="4" t="s">
        <v>1389</v>
      </c>
      <c r="P151" s="91"/>
      <c r="Q151" s="91"/>
      <c r="R151" s="91">
        <f t="shared" si="24"/>
        <v>4.5</v>
      </c>
      <c r="S151" s="7"/>
      <c r="T151" s="5">
        <v>4.5</v>
      </c>
      <c r="U151" s="6"/>
      <c r="V151" s="4"/>
      <c r="W151" s="20"/>
      <c r="X151" s="4"/>
      <c r="Y151" s="20"/>
      <c r="Z151" s="4"/>
      <c r="AA151" s="20"/>
      <c r="AB151" s="4"/>
      <c r="AC151" s="20"/>
      <c r="AD151" s="4"/>
      <c r="AE151" s="20"/>
      <c r="AF151" s="19"/>
      <c r="AG151" s="8"/>
      <c r="AH151" s="17"/>
      <c r="AI151" s="37"/>
      <c r="AJ151" s="18"/>
      <c r="AK151" s="21"/>
      <c r="AL151" s="21"/>
      <c r="AM151" s="21"/>
      <c r="AN151" s="21" t="s">
        <v>27</v>
      </c>
      <c r="AO151" s="21" t="s">
        <v>231</v>
      </c>
      <c r="AP151" s="21" t="s">
        <v>231</v>
      </c>
      <c r="AQ151" s="21" t="s">
        <v>231</v>
      </c>
      <c r="AR151" s="21" t="s">
        <v>231</v>
      </c>
      <c r="AS151" s="21" t="s">
        <v>231</v>
      </c>
      <c r="AT151" s="21" t="s">
        <v>231</v>
      </c>
      <c r="AU151" s="21" t="s">
        <v>236</v>
      </c>
      <c r="AV151" s="21" t="s">
        <v>206</v>
      </c>
      <c r="AW151" s="4" t="str">
        <f t="shared" si="22"/>
        <v>B</v>
      </c>
      <c r="AX151" s="45" t="str">
        <f t="shared" si="23"/>
        <v>Y</v>
      </c>
    </row>
    <row r="152" spans="1:57" ht="15" customHeight="1" x14ac:dyDescent="0.25">
      <c r="A152" s="46">
        <v>45872</v>
      </c>
      <c r="B152" s="46" t="s">
        <v>1396</v>
      </c>
      <c r="C152" s="46" t="s">
        <v>28</v>
      </c>
      <c r="D152" s="21" t="s">
        <v>79</v>
      </c>
      <c r="E152" s="47">
        <v>925</v>
      </c>
      <c r="F152" s="21" t="s">
        <v>28</v>
      </c>
      <c r="G152" s="4" t="s">
        <v>1393</v>
      </c>
      <c r="H152" s="4" t="s">
        <v>1397</v>
      </c>
      <c r="I152" s="4"/>
      <c r="J152" s="4" t="s">
        <v>556</v>
      </c>
      <c r="K152" s="4"/>
      <c r="L152" s="4"/>
      <c r="M152" s="4" t="s">
        <v>1398</v>
      </c>
      <c r="N152" s="4" t="s">
        <v>1399</v>
      </c>
      <c r="O152" s="4" t="s">
        <v>1400</v>
      </c>
      <c r="P152" s="91"/>
      <c r="Q152" s="91"/>
      <c r="R152" s="91">
        <f t="shared" si="24"/>
        <v>0.5</v>
      </c>
      <c r="S152" s="7"/>
      <c r="T152" s="5"/>
      <c r="U152" s="6"/>
      <c r="V152" s="4"/>
      <c r="W152" s="20"/>
      <c r="X152" s="4"/>
      <c r="Y152" s="20"/>
      <c r="Z152" s="4"/>
      <c r="AA152" s="20"/>
      <c r="AB152" s="4">
        <v>0.5</v>
      </c>
      <c r="AC152" s="20"/>
      <c r="AD152" s="4"/>
      <c r="AE152" s="20"/>
      <c r="AF152" s="19"/>
      <c r="AG152" s="8"/>
      <c r="AH152" s="17"/>
      <c r="AI152" s="37"/>
      <c r="AJ152" s="18"/>
      <c r="AK152" s="21"/>
      <c r="AL152" s="21"/>
      <c r="AM152" s="21"/>
      <c r="AN152" s="21" t="s">
        <v>27</v>
      </c>
      <c r="AO152" s="21" t="s">
        <v>231</v>
      </c>
      <c r="AP152" s="21" t="s">
        <v>231</v>
      </c>
      <c r="AQ152" s="21" t="s">
        <v>231</v>
      </c>
      <c r="AR152" s="21" t="s">
        <v>231</v>
      </c>
      <c r="AS152" s="21" t="s">
        <v>231</v>
      </c>
      <c r="AT152" s="21" t="s">
        <v>231</v>
      </c>
      <c r="AU152" s="21" t="s">
        <v>236</v>
      </c>
      <c r="AV152" s="21" t="s">
        <v>236</v>
      </c>
      <c r="AW152" s="4" t="str">
        <f t="shared" si="22"/>
        <v>B</v>
      </c>
      <c r="AX152" s="45" t="str">
        <f t="shared" si="23"/>
        <v/>
      </c>
    </row>
    <row r="153" spans="1:57" ht="15" customHeight="1" x14ac:dyDescent="0.25">
      <c r="A153" s="46">
        <v>45872</v>
      </c>
      <c r="B153" s="46" t="s">
        <v>1401</v>
      </c>
      <c r="C153" s="46" t="s">
        <v>25</v>
      </c>
      <c r="D153" s="21" t="s">
        <v>25</v>
      </c>
      <c r="E153" s="47">
        <v>927</v>
      </c>
      <c r="F153" s="21" t="s">
        <v>226</v>
      </c>
      <c r="G153" s="4" t="s">
        <v>1394</v>
      </c>
      <c r="H153" s="4" t="s">
        <v>1402</v>
      </c>
      <c r="I153" s="4"/>
      <c r="J153" s="4" t="s">
        <v>556</v>
      </c>
      <c r="K153" s="4"/>
      <c r="L153" s="4"/>
      <c r="M153" s="4" t="s">
        <v>478</v>
      </c>
      <c r="N153" s="4" t="s">
        <v>1403</v>
      </c>
      <c r="O153" s="4" t="s">
        <v>1404</v>
      </c>
      <c r="P153" s="91"/>
      <c r="Q153" s="91"/>
      <c r="R153" s="91">
        <f t="shared" si="24"/>
        <v>1</v>
      </c>
      <c r="S153" s="7">
        <v>1</v>
      </c>
      <c r="T153" s="5"/>
      <c r="U153" s="6"/>
      <c r="V153" s="4"/>
      <c r="W153" s="20"/>
      <c r="X153" s="4"/>
      <c r="Y153" s="20"/>
      <c r="Z153" s="4"/>
      <c r="AA153" s="20"/>
      <c r="AB153" s="4"/>
      <c r="AC153" s="20"/>
      <c r="AD153" s="4"/>
      <c r="AE153" s="20"/>
      <c r="AF153" s="19"/>
      <c r="AG153" s="8"/>
      <c r="AH153" s="17"/>
      <c r="AI153" s="37"/>
      <c r="AJ153" s="18"/>
      <c r="AK153" s="21"/>
      <c r="AL153" s="21"/>
      <c r="AM153" s="21"/>
      <c r="AN153" s="21" t="s">
        <v>235</v>
      </c>
      <c r="AO153" s="21" t="s">
        <v>231</v>
      </c>
      <c r="AP153" s="21" t="s">
        <v>231</v>
      </c>
      <c r="AQ153" s="21" t="s">
        <v>231</v>
      </c>
      <c r="AR153" s="21" t="s">
        <v>231</v>
      </c>
      <c r="AS153" s="21" t="s">
        <v>206</v>
      </c>
      <c r="AT153" s="21" t="s">
        <v>231</v>
      </c>
      <c r="AU153" s="21" t="s">
        <v>236</v>
      </c>
      <c r="AV153" s="21" t="s">
        <v>236</v>
      </c>
      <c r="AW153" s="4" t="str">
        <f t="shared" si="22"/>
        <v>B</v>
      </c>
      <c r="AX153" s="45" t="str">
        <f t="shared" si="23"/>
        <v/>
      </c>
    </row>
    <row r="154" spans="1:57" ht="15" customHeight="1" x14ac:dyDescent="0.25">
      <c r="A154" s="46">
        <v>45873</v>
      </c>
      <c r="B154" s="58" t="s">
        <v>1405</v>
      </c>
      <c r="C154" s="46" t="s">
        <v>28</v>
      </c>
      <c r="D154" s="21" t="s">
        <v>26</v>
      </c>
      <c r="E154" s="47">
        <v>928</v>
      </c>
      <c r="F154" s="21" t="s">
        <v>381</v>
      </c>
      <c r="G154" s="4" t="s">
        <v>1395</v>
      </c>
      <c r="H154" s="4" t="s">
        <v>1319</v>
      </c>
      <c r="I154" s="4"/>
      <c r="J154" s="4" t="s">
        <v>556</v>
      </c>
      <c r="K154" s="4"/>
      <c r="L154" s="4"/>
      <c r="M154" s="4" t="s">
        <v>1418</v>
      </c>
      <c r="N154" s="4" t="s">
        <v>1419</v>
      </c>
      <c r="O154" s="4" t="s">
        <v>1420</v>
      </c>
      <c r="P154" s="91"/>
      <c r="Q154" s="91"/>
      <c r="R154" s="91">
        <f t="shared" si="24"/>
        <v>0.25</v>
      </c>
      <c r="S154" s="7"/>
      <c r="T154" s="5">
        <v>0.25</v>
      </c>
      <c r="U154" s="6"/>
      <c r="V154" s="4"/>
      <c r="W154" s="20"/>
      <c r="X154" s="4"/>
      <c r="Y154" s="20"/>
      <c r="Z154" s="4"/>
      <c r="AA154" s="20"/>
      <c r="AB154" s="4"/>
      <c r="AC154" s="20"/>
      <c r="AD154" s="4"/>
      <c r="AE154" s="20"/>
      <c r="AF154" s="19"/>
      <c r="AG154" s="8"/>
      <c r="AH154" s="17"/>
      <c r="AI154" s="37"/>
      <c r="AJ154" s="18"/>
      <c r="AK154" s="21"/>
      <c r="AL154" s="21"/>
      <c r="AM154" s="21"/>
      <c r="AN154" s="21" t="s">
        <v>235</v>
      </c>
      <c r="AO154" s="21" t="s">
        <v>206</v>
      </c>
      <c r="AP154" s="21" t="s">
        <v>231</v>
      </c>
      <c r="AQ154" s="21" t="s">
        <v>231</v>
      </c>
      <c r="AR154" s="21" t="s">
        <v>231</v>
      </c>
      <c r="AS154" s="21" t="s">
        <v>206</v>
      </c>
      <c r="AT154" s="21" t="s">
        <v>231</v>
      </c>
      <c r="AU154" s="21" t="s">
        <v>236</v>
      </c>
      <c r="AV154" s="21" t="s">
        <v>236</v>
      </c>
      <c r="AW154" s="4" t="str">
        <f t="shared" si="22"/>
        <v>A</v>
      </c>
      <c r="AX154" s="45" t="str">
        <f t="shared" si="23"/>
        <v/>
      </c>
    </row>
    <row r="155" spans="1:57" ht="15" customHeight="1" x14ac:dyDescent="0.25">
      <c r="A155" s="58">
        <v>45873</v>
      </c>
      <c r="B155" s="46" t="s">
        <v>416</v>
      </c>
      <c r="C155" s="58" t="s">
        <v>26</v>
      </c>
      <c r="D155" s="51" t="s">
        <v>26</v>
      </c>
      <c r="E155" s="59">
        <v>931</v>
      </c>
      <c r="F155" s="21" t="s">
        <v>381</v>
      </c>
      <c r="G155" s="4" t="s">
        <v>1415</v>
      </c>
      <c r="H155" s="62" t="s">
        <v>1417</v>
      </c>
      <c r="I155" s="62"/>
      <c r="J155" s="4" t="s">
        <v>556</v>
      </c>
      <c r="K155" s="4"/>
      <c r="L155" s="4"/>
      <c r="M155" s="62" t="s">
        <v>1421</v>
      </c>
      <c r="N155" s="62" t="s">
        <v>1422</v>
      </c>
      <c r="O155" s="62" t="s">
        <v>1423</v>
      </c>
      <c r="P155" s="91"/>
      <c r="Q155" s="91"/>
      <c r="R155" s="91">
        <f t="shared" si="24"/>
        <v>0.1</v>
      </c>
      <c r="S155" s="63"/>
      <c r="T155" s="60">
        <v>0.1</v>
      </c>
      <c r="U155" s="61"/>
      <c r="V155" s="62"/>
      <c r="W155" s="86"/>
      <c r="X155" s="62"/>
      <c r="Y155" s="86"/>
      <c r="Z155" s="62"/>
      <c r="AA155" s="86"/>
      <c r="AB155" s="62"/>
      <c r="AC155" s="86"/>
      <c r="AD155" s="62"/>
      <c r="AE155" s="86"/>
      <c r="AF155" s="89"/>
      <c r="AG155" s="64"/>
      <c r="AH155" s="65"/>
      <c r="AI155" s="66"/>
      <c r="AJ155" s="88"/>
      <c r="AK155" s="51"/>
      <c r="AL155" s="51"/>
      <c r="AM155" s="51"/>
      <c r="AN155" s="51" t="s">
        <v>27</v>
      </c>
      <c r="AO155" s="51" t="s">
        <v>231</v>
      </c>
      <c r="AP155" s="51" t="s">
        <v>231</v>
      </c>
      <c r="AQ155" s="51" t="s">
        <v>231</v>
      </c>
      <c r="AR155" s="51" t="s">
        <v>231</v>
      </c>
      <c r="AS155" s="51" t="s">
        <v>231</v>
      </c>
      <c r="AT155" s="51" t="s">
        <v>231</v>
      </c>
      <c r="AU155" s="51" t="s">
        <v>236</v>
      </c>
      <c r="AV155" s="21" t="s">
        <v>236</v>
      </c>
      <c r="AW155" s="4" t="str">
        <f t="shared" si="22"/>
        <v>A</v>
      </c>
      <c r="AX155" s="45" t="str">
        <f t="shared" si="23"/>
        <v/>
      </c>
    </row>
    <row r="156" spans="1:57" ht="15" customHeight="1" x14ac:dyDescent="0.25">
      <c r="A156" s="46">
        <v>45873</v>
      </c>
      <c r="B156" s="46" t="s">
        <v>416</v>
      </c>
      <c r="C156" s="46" t="s">
        <v>26</v>
      </c>
      <c r="D156" s="21" t="s">
        <v>26</v>
      </c>
      <c r="E156" s="47">
        <v>932</v>
      </c>
      <c r="F156" s="21" t="s">
        <v>456</v>
      </c>
      <c r="G156" s="4" t="s">
        <v>1416</v>
      </c>
      <c r="H156" s="4" t="s">
        <v>1319</v>
      </c>
      <c r="I156" s="4" t="s">
        <v>581</v>
      </c>
      <c r="J156" s="4" t="s">
        <v>556</v>
      </c>
      <c r="K156" s="4"/>
      <c r="L156" s="4"/>
      <c r="M156" s="4" t="s">
        <v>1424</v>
      </c>
      <c r="N156" s="4" t="s">
        <v>1425</v>
      </c>
      <c r="O156" s="4" t="s">
        <v>1426</v>
      </c>
      <c r="P156" s="91"/>
      <c r="Q156" s="91"/>
      <c r="R156" s="91">
        <f t="shared" si="24"/>
        <v>0.1</v>
      </c>
      <c r="S156" s="7"/>
      <c r="T156" s="5">
        <v>0.1</v>
      </c>
      <c r="U156" s="6"/>
      <c r="V156" s="4"/>
      <c r="W156" s="20"/>
      <c r="X156" s="4"/>
      <c r="Y156" s="20"/>
      <c r="Z156" s="4"/>
      <c r="AA156" s="20"/>
      <c r="AB156" s="4"/>
      <c r="AC156" s="20"/>
      <c r="AD156" s="4"/>
      <c r="AE156" s="20"/>
      <c r="AF156" s="19"/>
      <c r="AG156" s="8"/>
      <c r="AH156" s="17"/>
      <c r="AI156" s="37"/>
      <c r="AJ156" s="18"/>
      <c r="AK156" s="21"/>
      <c r="AL156" s="21"/>
      <c r="AM156" s="21"/>
      <c r="AN156" s="21" t="s">
        <v>27</v>
      </c>
      <c r="AO156" s="21" t="s">
        <v>231</v>
      </c>
      <c r="AP156" s="21" t="s">
        <v>231</v>
      </c>
      <c r="AQ156" s="21" t="s">
        <v>231</v>
      </c>
      <c r="AR156" s="21" t="s">
        <v>231</v>
      </c>
      <c r="AS156" s="21" t="s">
        <v>231</v>
      </c>
      <c r="AT156" s="21" t="s">
        <v>231</v>
      </c>
      <c r="AU156" s="21" t="s">
        <v>236</v>
      </c>
      <c r="AV156" s="21" t="s">
        <v>236</v>
      </c>
      <c r="AW156" s="4" t="str">
        <f t="shared" si="22"/>
        <v>A</v>
      </c>
      <c r="AX156" s="45" t="str">
        <f t="shared" si="23"/>
        <v/>
      </c>
    </row>
    <row r="157" spans="1:57" ht="15" customHeight="1" x14ac:dyDescent="0.25">
      <c r="A157" s="46">
        <v>45873</v>
      </c>
      <c r="B157" s="46" t="s">
        <v>1427</v>
      </c>
      <c r="C157" s="46" t="s">
        <v>28</v>
      </c>
      <c r="D157" s="21" t="s">
        <v>77</v>
      </c>
      <c r="E157" s="47">
        <v>935</v>
      </c>
      <c r="F157" s="21" t="s">
        <v>28</v>
      </c>
      <c r="G157" s="4" t="s">
        <v>1428</v>
      </c>
      <c r="H157" s="4" t="s">
        <v>1431</v>
      </c>
      <c r="I157" s="4" t="s">
        <v>1432</v>
      </c>
      <c r="J157" s="4" t="s">
        <v>556</v>
      </c>
      <c r="K157" s="4"/>
      <c r="L157" s="4"/>
      <c r="M157" s="4" t="s">
        <v>1437</v>
      </c>
      <c r="N157" s="4" t="s">
        <v>1438</v>
      </c>
      <c r="O157" s="4" t="s">
        <v>1439</v>
      </c>
      <c r="P157" s="91"/>
      <c r="Q157" s="91"/>
      <c r="R157" s="91">
        <f t="shared" si="24"/>
        <v>0.1</v>
      </c>
      <c r="S157" s="7"/>
      <c r="T157" s="5"/>
      <c r="U157" s="6"/>
      <c r="V157" s="4"/>
      <c r="W157" s="20"/>
      <c r="X157" s="4"/>
      <c r="Y157" s="20">
        <v>0.1</v>
      </c>
      <c r="Z157" s="4"/>
      <c r="AA157" s="20"/>
      <c r="AB157" s="4"/>
      <c r="AC157" s="20"/>
      <c r="AD157" s="4"/>
      <c r="AE157" s="20"/>
      <c r="AF157" s="19"/>
      <c r="AG157" s="8"/>
      <c r="AH157" s="17"/>
      <c r="AI157" s="37"/>
      <c r="AJ157" s="18"/>
      <c r="AK157" s="21"/>
      <c r="AL157" s="21"/>
      <c r="AM157" s="21"/>
      <c r="AN157" s="21" t="s">
        <v>235</v>
      </c>
      <c r="AO157" s="21" t="s">
        <v>206</v>
      </c>
      <c r="AP157" s="21" t="s">
        <v>231</v>
      </c>
      <c r="AQ157" s="21" t="s">
        <v>231</v>
      </c>
      <c r="AR157" s="21" t="s">
        <v>231</v>
      </c>
      <c r="AS157" s="21" t="s">
        <v>231</v>
      </c>
      <c r="AT157" s="21" t="s">
        <v>231</v>
      </c>
      <c r="AU157" s="21" t="s">
        <v>236</v>
      </c>
      <c r="AV157" s="21" t="s">
        <v>236</v>
      </c>
      <c r="AW157" s="4" t="str">
        <f t="shared" si="22"/>
        <v>A</v>
      </c>
      <c r="AX157" s="45" t="str">
        <f t="shared" si="23"/>
        <v/>
      </c>
    </row>
    <row r="158" spans="1:57" ht="15" customHeight="1" x14ac:dyDescent="0.25">
      <c r="A158" s="46">
        <v>45873</v>
      </c>
      <c r="B158" s="46" t="s">
        <v>1429</v>
      </c>
      <c r="C158" s="46" t="s">
        <v>28</v>
      </c>
      <c r="D158" s="21" t="s">
        <v>26</v>
      </c>
      <c r="E158" s="47">
        <v>937</v>
      </c>
      <c r="F158" s="21" t="s">
        <v>381</v>
      </c>
      <c r="G158" s="4" t="s">
        <v>1430</v>
      </c>
      <c r="H158" s="4" t="s">
        <v>1433</v>
      </c>
      <c r="I158" s="4"/>
      <c r="J158" s="4" t="s">
        <v>556</v>
      </c>
      <c r="K158" s="4"/>
      <c r="L158" s="4"/>
      <c r="M158" s="4" t="s">
        <v>1434</v>
      </c>
      <c r="N158" s="4" t="s">
        <v>1435</v>
      </c>
      <c r="O158" s="4" t="s">
        <v>1436</v>
      </c>
      <c r="P158" s="91"/>
      <c r="Q158" s="91"/>
      <c r="R158" s="91">
        <f t="shared" si="24"/>
        <v>0.1</v>
      </c>
      <c r="S158" s="7"/>
      <c r="T158" s="5">
        <v>0.1</v>
      </c>
      <c r="U158" s="6"/>
      <c r="V158" s="4"/>
      <c r="W158" s="20"/>
      <c r="X158" s="4"/>
      <c r="Y158" s="20"/>
      <c r="Z158" s="4"/>
      <c r="AA158" s="20"/>
      <c r="AB158" s="4"/>
      <c r="AC158" s="20"/>
      <c r="AD158" s="4"/>
      <c r="AE158" s="20"/>
      <c r="AF158" s="19"/>
      <c r="AG158" s="8"/>
      <c r="AH158" s="17"/>
      <c r="AI158" s="37"/>
      <c r="AJ158" s="18"/>
      <c r="AK158" s="21"/>
      <c r="AL158" s="21"/>
      <c r="AM158" s="21"/>
      <c r="AN158" s="21" t="s">
        <v>235</v>
      </c>
      <c r="AO158" s="21" t="s">
        <v>206</v>
      </c>
      <c r="AP158" s="21" t="s">
        <v>231</v>
      </c>
      <c r="AQ158" s="21" t="s">
        <v>231</v>
      </c>
      <c r="AR158" s="21" t="s">
        <v>231</v>
      </c>
      <c r="AS158" s="21" t="s">
        <v>231</v>
      </c>
      <c r="AT158" s="21" t="s">
        <v>231</v>
      </c>
      <c r="AU158" s="21" t="s">
        <v>236</v>
      </c>
      <c r="AV158" s="21" t="s">
        <v>236</v>
      </c>
      <c r="AW158" s="4" t="str">
        <f t="shared" si="22"/>
        <v>A</v>
      </c>
      <c r="AX158" s="45" t="str">
        <f t="shared" si="23"/>
        <v/>
      </c>
    </row>
    <row r="159" spans="1:57" s="43" customFormat="1" ht="15" customHeight="1" x14ac:dyDescent="0.25">
      <c r="A159" s="46">
        <v>45874</v>
      </c>
      <c r="B159" s="46" t="s">
        <v>1444</v>
      </c>
      <c r="C159" s="46" t="s">
        <v>25</v>
      </c>
      <c r="D159" s="21" t="s">
        <v>25</v>
      </c>
      <c r="E159" s="47">
        <v>941</v>
      </c>
      <c r="F159" s="21" t="s">
        <v>226</v>
      </c>
      <c r="G159" s="4" t="s">
        <v>1445</v>
      </c>
      <c r="H159" s="4" t="s">
        <v>331</v>
      </c>
      <c r="I159" s="4" t="s">
        <v>1446</v>
      </c>
      <c r="J159" s="4" t="s">
        <v>556</v>
      </c>
      <c r="K159" s="4"/>
      <c r="L159" s="4"/>
      <c r="M159" s="4" t="s">
        <v>1447</v>
      </c>
      <c r="N159" s="4" t="s">
        <v>1448</v>
      </c>
      <c r="O159" s="4" t="s">
        <v>1449</v>
      </c>
      <c r="P159" s="4">
        <v>531828</v>
      </c>
      <c r="Q159" s="4">
        <v>4880917</v>
      </c>
      <c r="R159" s="91">
        <f t="shared" si="24"/>
        <v>214.5</v>
      </c>
      <c r="S159" s="7">
        <v>187.2</v>
      </c>
      <c r="T159" s="5"/>
      <c r="U159" s="6"/>
      <c r="V159" s="4"/>
      <c r="W159" s="20"/>
      <c r="X159" s="4">
        <v>27.3</v>
      </c>
      <c r="Y159" s="20"/>
      <c r="Z159" s="4"/>
      <c r="AA159" s="20"/>
      <c r="AB159" s="4"/>
      <c r="AC159" s="20"/>
      <c r="AD159" s="4"/>
      <c r="AE159" s="20"/>
      <c r="AF159" s="19"/>
      <c r="AG159" s="8"/>
      <c r="AH159" s="17"/>
      <c r="AI159" s="37"/>
      <c r="AJ159" s="18"/>
      <c r="AK159" s="21"/>
      <c r="AL159" s="21"/>
      <c r="AM159" s="21"/>
      <c r="AN159" s="21" t="s">
        <v>235</v>
      </c>
      <c r="AO159" s="21" t="s">
        <v>231</v>
      </c>
      <c r="AP159" s="21" t="s">
        <v>231</v>
      </c>
      <c r="AQ159" s="21" t="s">
        <v>231</v>
      </c>
      <c r="AR159" s="21" t="s">
        <v>231</v>
      </c>
      <c r="AS159" s="21" t="s">
        <v>206</v>
      </c>
      <c r="AT159" s="21" t="s">
        <v>231</v>
      </c>
      <c r="AU159" s="21" t="s">
        <v>206</v>
      </c>
      <c r="AV159" s="21" t="s">
        <v>206</v>
      </c>
      <c r="AW159" s="4" t="str">
        <f t="shared" si="22"/>
        <v>D</v>
      </c>
      <c r="AX159" s="45" t="str">
        <f t="shared" si="23"/>
        <v/>
      </c>
      <c r="AY159" s="22"/>
      <c r="AZ159" s="2"/>
      <c r="BA159" s="2"/>
      <c r="BB159" s="2"/>
      <c r="BC159" s="2"/>
      <c r="BD159" s="2"/>
      <c r="BE159" s="2"/>
    </row>
    <row r="160" spans="1:57" ht="15" customHeight="1" x14ac:dyDescent="0.25">
      <c r="A160" s="46">
        <v>45874</v>
      </c>
      <c r="B160" s="46" t="s">
        <v>1450</v>
      </c>
      <c r="C160" s="46" t="s">
        <v>25</v>
      </c>
      <c r="D160" s="21" t="s">
        <v>25</v>
      </c>
      <c r="E160" s="47">
        <v>943</v>
      </c>
      <c r="F160" s="21" t="s">
        <v>226</v>
      </c>
      <c r="G160" s="4" t="s">
        <v>1451</v>
      </c>
      <c r="H160" s="4" t="s">
        <v>392</v>
      </c>
      <c r="I160" s="4"/>
      <c r="J160" s="4" t="s">
        <v>229</v>
      </c>
      <c r="K160" s="4" t="s">
        <v>317</v>
      </c>
      <c r="L160" s="4" t="s">
        <v>87</v>
      </c>
      <c r="M160" s="4" t="s">
        <v>449</v>
      </c>
      <c r="N160" s="4" t="s">
        <v>1452</v>
      </c>
      <c r="O160" s="4" t="s">
        <v>1453</v>
      </c>
      <c r="P160" s="4">
        <v>531057</v>
      </c>
      <c r="Q160" s="4">
        <v>4854156</v>
      </c>
      <c r="R160" s="91">
        <f t="shared" si="24"/>
        <v>128.6</v>
      </c>
      <c r="S160" s="7">
        <v>128.6</v>
      </c>
      <c r="T160" s="5"/>
      <c r="U160" s="6"/>
      <c r="V160" s="4"/>
      <c r="W160" s="20"/>
      <c r="X160" s="4"/>
      <c r="Y160" s="20"/>
      <c r="Z160" s="4"/>
      <c r="AA160" s="20"/>
      <c r="AB160" s="4"/>
      <c r="AC160" s="20"/>
      <c r="AD160" s="4"/>
      <c r="AE160" s="20"/>
      <c r="AF160" s="19"/>
      <c r="AG160" s="8"/>
      <c r="AH160" s="17"/>
      <c r="AI160" s="37"/>
      <c r="AJ160" s="18"/>
      <c r="AK160" s="21"/>
      <c r="AL160" s="21" t="s">
        <v>218</v>
      </c>
      <c r="AM160" s="21" t="s">
        <v>218</v>
      </c>
      <c r="AN160" s="21" t="s">
        <v>235</v>
      </c>
      <c r="AO160" s="21" t="s">
        <v>206</v>
      </c>
      <c r="AP160" s="21" t="s">
        <v>231</v>
      </c>
      <c r="AQ160" s="21" t="s">
        <v>206</v>
      </c>
      <c r="AR160" s="21" t="s">
        <v>231</v>
      </c>
      <c r="AS160" s="21" t="s">
        <v>206</v>
      </c>
      <c r="AT160" s="21" t="s">
        <v>231</v>
      </c>
      <c r="AU160" s="21" t="s">
        <v>206</v>
      </c>
      <c r="AV160" s="21" t="s">
        <v>206</v>
      </c>
      <c r="AW160" s="4" t="str">
        <f t="shared" si="22"/>
        <v>D</v>
      </c>
      <c r="AX160" s="45" t="str">
        <f t="shared" si="23"/>
        <v/>
      </c>
    </row>
    <row r="161" spans="1:50" ht="15" customHeight="1" x14ac:dyDescent="0.25">
      <c r="A161" s="46">
        <v>45874</v>
      </c>
      <c r="B161" s="46" t="s">
        <v>416</v>
      </c>
      <c r="C161" s="46" t="s">
        <v>26</v>
      </c>
      <c r="D161" s="21" t="s">
        <v>26</v>
      </c>
      <c r="E161" s="47">
        <v>944</v>
      </c>
      <c r="F161" s="21" t="s">
        <v>327</v>
      </c>
      <c r="G161" s="4" t="s">
        <v>1454</v>
      </c>
      <c r="H161" s="4" t="s">
        <v>929</v>
      </c>
      <c r="I161" s="4"/>
      <c r="J161" s="4" t="s">
        <v>556</v>
      </c>
      <c r="K161" s="4"/>
      <c r="L161" s="4"/>
      <c r="M161" s="4" t="s">
        <v>1459</v>
      </c>
      <c r="N161" s="4" t="s">
        <v>1460</v>
      </c>
      <c r="O161" s="4" t="s">
        <v>1461</v>
      </c>
      <c r="P161" s="91"/>
      <c r="Q161" s="91"/>
      <c r="R161" s="91">
        <f t="shared" si="24"/>
        <v>0.1</v>
      </c>
      <c r="S161" s="7"/>
      <c r="T161" s="5">
        <v>0.1</v>
      </c>
      <c r="U161" s="6"/>
      <c r="V161" s="4"/>
      <c r="W161" s="20"/>
      <c r="X161" s="4"/>
      <c r="Y161" s="20"/>
      <c r="Z161" s="4"/>
      <c r="AA161" s="20"/>
      <c r="AB161" s="4"/>
      <c r="AC161" s="20"/>
      <c r="AD161" s="4"/>
      <c r="AE161" s="20"/>
      <c r="AF161" s="19"/>
      <c r="AG161" s="8"/>
      <c r="AH161" s="17"/>
      <c r="AI161" s="37"/>
      <c r="AJ161" s="18"/>
      <c r="AK161" s="21"/>
      <c r="AL161" s="21"/>
      <c r="AM161" s="21"/>
      <c r="AN161" s="21" t="s">
        <v>27</v>
      </c>
      <c r="AO161" s="21" t="s">
        <v>231</v>
      </c>
      <c r="AP161" s="21" t="s">
        <v>231</v>
      </c>
      <c r="AQ161" s="21" t="s">
        <v>231</v>
      </c>
      <c r="AR161" s="21" t="s">
        <v>231</v>
      </c>
      <c r="AS161" s="21" t="s">
        <v>231</v>
      </c>
      <c r="AT161" s="21" t="s">
        <v>231</v>
      </c>
      <c r="AU161" s="21" t="s">
        <v>236</v>
      </c>
      <c r="AV161" s="21" t="s">
        <v>236</v>
      </c>
      <c r="AW161" s="4" t="str">
        <f t="shared" si="22"/>
        <v>A</v>
      </c>
      <c r="AX161" s="45" t="str">
        <f t="shared" si="23"/>
        <v/>
      </c>
    </row>
    <row r="162" spans="1:50" ht="15" customHeight="1" x14ac:dyDescent="0.25">
      <c r="A162" s="46">
        <v>45874</v>
      </c>
      <c r="B162" s="46" t="s">
        <v>1462</v>
      </c>
      <c r="C162" s="46" t="s">
        <v>28</v>
      </c>
      <c r="D162" s="21" t="s">
        <v>28</v>
      </c>
      <c r="E162" s="47">
        <v>945</v>
      </c>
      <c r="F162" s="21" t="s">
        <v>28</v>
      </c>
      <c r="G162" s="21" t="s">
        <v>1455</v>
      </c>
      <c r="H162" s="21" t="s">
        <v>1433</v>
      </c>
      <c r="I162" s="21"/>
      <c r="J162" s="4" t="s">
        <v>229</v>
      </c>
      <c r="K162" s="4" t="s">
        <v>279</v>
      </c>
      <c r="L162" s="4" t="s">
        <v>87</v>
      </c>
      <c r="M162" s="4" t="s">
        <v>1463</v>
      </c>
      <c r="N162" s="4" t="s">
        <v>1473</v>
      </c>
      <c r="O162" s="4" t="s">
        <v>1474</v>
      </c>
      <c r="P162" s="91"/>
      <c r="Q162" s="91"/>
      <c r="R162" s="91">
        <f t="shared" si="24"/>
        <v>0.25</v>
      </c>
      <c r="S162" s="7"/>
      <c r="T162" s="5"/>
      <c r="U162" s="6">
        <v>0.25</v>
      </c>
      <c r="V162" s="4"/>
      <c r="W162" s="20"/>
      <c r="X162" s="4"/>
      <c r="Y162" s="20"/>
      <c r="Z162" s="4"/>
      <c r="AA162" s="20"/>
      <c r="AB162" s="4"/>
      <c r="AC162" s="20"/>
      <c r="AD162" s="4"/>
      <c r="AE162" s="20"/>
      <c r="AF162" s="19"/>
      <c r="AG162" s="8"/>
      <c r="AH162" s="17"/>
      <c r="AI162" s="37"/>
      <c r="AJ162" s="18"/>
      <c r="AK162" s="21"/>
      <c r="AL162" s="21"/>
      <c r="AM162" s="21"/>
      <c r="AN162" s="21" t="s">
        <v>235</v>
      </c>
      <c r="AO162" s="21" t="s">
        <v>206</v>
      </c>
      <c r="AP162" s="21" t="s">
        <v>231</v>
      </c>
      <c r="AQ162" s="21" t="s">
        <v>231</v>
      </c>
      <c r="AR162" s="21" t="s">
        <v>231</v>
      </c>
      <c r="AS162" s="21" t="s">
        <v>206</v>
      </c>
      <c r="AT162" s="21" t="s">
        <v>231</v>
      </c>
      <c r="AU162" s="21"/>
      <c r="AV162" s="21" t="s">
        <v>236</v>
      </c>
      <c r="AW162" s="4" t="str">
        <f t="shared" si="22"/>
        <v>A</v>
      </c>
      <c r="AX162" s="45" t="str">
        <f t="shared" si="23"/>
        <v/>
      </c>
    </row>
    <row r="163" spans="1:50" ht="15" customHeight="1" x14ac:dyDescent="0.25">
      <c r="A163" s="46">
        <v>45874</v>
      </c>
      <c r="B163" s="46" t="s">
        <v>416</v>
      </c>
      <c r="C163" s="46" t="s">
        <v>26</v>
      </c>
      <c r="D163" s="21" t="s">
        <v>26</v>
      </c>
      <c r="E163" s="47">
        <v>947</v>
      </c>
      <c r="F163" s="21" t="s">
        <v>327</v>
      </c>
      <c r="G163" s="21" t="s">
        <v>1456</v>
      </c>
      <c r="H163" s="21" t="s">
        <v>1340</v>
      </c>
      <c r="I163" s="36" t="s">
        <v>1464</v>
      </c>
      <c r="J163" s="4" t="s">
        <v>556</v>
      </c>
      <c r="K163" s="4"/>
      <c r="L163" s="4"/>
      <c r="M163" s="4" t="s">
        <v>1459</v>
      </c>
      <c r="N163" s="4" t="s">
        <v>1475</v>
      </c>
      <c r="O163" s="4" t="s">
        <v>1476</v>
      </c>
      <c r="P163" s="91"/>
      <c r="Q163" s="91"/>
      <c r="R163" s="91">
        <f>SUM(S163:AJ163)</f>
        <v>0.1</v>
      </c>
      <c r="S163" s="7"/>
      <c r="T163" s="5">
        <v>0.1</v>
      </c>
      <c r="U163" s="6"/>
      <c r="V163" s="4"/>
      <c r="W163" s="20"/>
      <c r="X163" s="4"/>
      <c r="Y163" s="20"/>
      <c r="Z163" s="4"/>
      <c r="AA163" s="20"/>
      <c r="AB163" s="4"/>
      <c r="AC163" s="20"/>
      <c r="AD163" s="4"/>
      <c r="AE163" s="20"/>
      <c r="AF163" s="19"/>
      <c r="AG163" s="8"/>
      <c r="AH163" s="17"/>
      <c r="AI163" s="37"/>
      <c r="AJ163" s="18"/>
      <c r="AK163" s="21"/>
      <c r="AL163" s="21"/>
      <c r="AM163" s="21"/>
      <c r="AN163" s="21" t="s">
        <v>27</v>
      </c>
      <c r="AO163" s="21" t="s">
        <v>206</v>
      </c>
      <c r="AP163" s="21" t="s">
        <v>231</v>
      </c>
      <c r="AQ163" s="21" t="s">
        <v>231</v>
      </c>
      <c r="AR163" s="21" t="s">
        <v>231</v>
      </c>
      <c r="AS163" s="21" t="s">
        <v>231</v>
      </c>
      <c r="AT163" s="21" t="s">
        <v>231</v>
      </c>
      <c r="AU163" s="21" t="s">
        <v>236</v>
      </c>
      <c r="AV163" s="21" t="s">
        <v>236</v>
      </c>
      <c r="AW163" s="4" t="str">
        <f t="shared" si="22"/>
        <v>A</v>
      </c>
      <c r="AX163" s="45" t="str">
        <f t="shared" si="23"/>
        <v/>
      </c>
    </row>
    <row r="164" spans="1:50" ht="15" customHeight="1" x14ac:dyDescent="0.25">
      <c r="A164" s="46">
        <v>45874</v>
      </c>
      <c r="B164" s="46" t="s">
        <v>1466</v>
      </c>
      <c r="C164" s="46" t="s">
        <v>25</v>
      </c>
      <c r="D164" s="21" t="s">
        <v>25</v>
      </c>
      <c r="E164" s="47">
        <v>948</v>
      </c>
      <c r="F164" s="21" t="s">
        <v>1119</v>
      </c>
      <c r="G164" s="21" t="s">
        <v>1465</v>
      </c>
      <c r="H164" s="21" t="s">
        <v>895</v>
      </c>
      <c r="I164" s="55"/>
      <c r="J164" s="4" t="s">
        <v>556</v>
      </c>
      <c r="K164" s="4"/>
      <c r="L164" s="4"/>
      <c r="M164" s="4" t="s">
        <v>1470</v>
      </c>
      <c r="N164" s="4" t="s">
        <v>1471</v>
      </c>
      <c r="O164" s="4" t="s">
        <v>1472</v>
      </c>
      <c r="P164" s="4">
        <v>580901</v>
      </c>
      <c r="Q164" s="4">
        <v>4753998</v>
      </c>
      <c r="R164" s="91">
        <f t="shared" ref="R164" si="25">SUM(S164:AJ164)</f>
        <v>2</v>
      </c>
      <c r="S164" s="7">
        <v>2</v>
      </c>
      <c r="T164" s="5"/>
      <c r="U164" s="6"/>
      <c r="V164" s="4"/>
      <c r="W164" s="20"/>
      <c r="X164" s="4"/>
      <c r="Y164" s="20"/>
      <c r="Z164" s="4"/>
      <c r="AA164" s="20"/>
      <c r="AB164" s="4"/>
      <c r="AC164" s="20"/>
      <c r="AD164" s="4"/>
      <c r="AE164" s="20"/>
      <c r="AF164" s="19"/>
      <c r="AG164" s="8"/>
      <c r="AH164" s="17"/>
      <c r="AI164" s="37"/>
      <c r="AJ164" s="18"/>
      <c r="AK164" s="21"/>
      <c r="AL164" s="21"/>
      <c r="AM164" s="21"/>
      <c r="AN164" s="21" t="s">
        <v>235</v>
      </c>
      <c r="AO164" s="21" t="s">
        <v>206</v>
      </c>
      <c r="AP164" s="21" t="s">
        <v>231</v>
      </c>
      <c r="AQ164" s="21" t="s">
        <v>231</v>
      </c>
      <c r="AR164" s="21" t="s">
        <v>231</v>
      </c>
      <c r="AS164" s="21" t="s">
        <v>206</v>
      </c>
      <c r="AT164" s="21" t="s">
        <v>231</v>
      </c>
      <c r="AU164" s="21" t="s">
        <v>236</v>
      </c>
      <c r="AV164" s="21" t="s">
        <v>236</v>
      </c>
      <c r="AW164" s="4" t="str">
        <f t="shared" si="22"/>
        <v>B</v>
      </c>
      <c r="AX164" s="45" t="str">
        <f t="shared" si="23"/>
        <v/>
      </c>
    </row>
    <row r="165" spans="1:50" ht="15" customHeight="1" x14ac:dyDescent="0.25">
      <c r="A165" s="46">
        <v>45875</v>
      </c>
      <c r="B165" s="46" t="s">
        <v>416</v>
      </c>
      <c r="C165" s="46" t="s">
        <v>26</v>
      </c>
      <c r="D165" s="21" t="s">
        <v>26</v>
      </c>
      <c r="E165" s="47">
        <v>957</v>
      </c>
      <c r="F165" s="21" t="s">
        <v>456</v>
      </c>
      <c r="G165" s="21" t="s">
        <v>1477</v>
      </c>
      <c r="H165" s="21" t="s">
        <v>1485</v>
      </c>
      <c r="I165" s="55"/>
      <c r="J165" s="4" t="s">
        <v>556</v>
      </c>
      <c r="K165" s="4"/>
      <c r="L165" s="4"/>
      <c r="M165" s="4" t="s">
        <v>1479</v>
      </c>
      <c r="N165" s="4" t="s">
        <v>1480</v>
      </c>
      <c r="O165" s="4" t="s">
        <v>1481</v>
      </c>
      <c r="P165" s="91"/>
      <c r="Q165" s="91"/>
      <c r="R165" s="91">
        <f t="shared" ref="R165:R167" si="26">SUM(S165:AJ165)</f>
        <v>0.1</v>
      </c>
      <c r="S165" s="7"/>
      <c r="T165" s="5">
        <v>0.1</v>
      </c>
      <c r="U165" s="6"/>
      <c r="V165" s="4"/>
      <c r="W165" s="20"/>
      <c r="X165" s="4"/>
      <c r="Y165" s="20"/>
      <c r="Z165" s="4"/>
      <c r="AA165" s="20"/>
      <c r="AB165" s="4"/>
      <c r="AC165" s="20"/>
      <c r="AD165" s="4"/>
      <c r="AE165" s="20"/>
      <c r="AF165" s="19"/>
      <c r="AG165" s="8"/>
      <c r="AH165" s="17"/>
      <c r="AI165" s="37"/>
      <c r="AJ165" s="18"/>
      <c r="AK165" s="21"/>
      <c r="AL165" s="21"/>
      <c r="AM165" s="21"/>
      <c r="AN165" s="21" t="s">
        <v>27</v>
      </c>
      <c r="AO165" s="21" t="s">
        <v>231</v>
      </c>
      <c r="AP165" s="21" t="s">
        <v>231</v>
      </c>
      <c r="AQ165" s="21" t="s">
        <v>231</v>
      </c>
      <c r="AR165" s="21" t="s">
        <v>231</v>
      </c>
      <c r="AS165" s="21" t="s">
        <v>231</v>
      </c>
      <c r="AT165" s="21" t="s">
        <v>231</v>
      </c>
      <c r="AU165" s="21" t="s">
        <v>236</v>
      </c>
      <c r="AV165" s="21" t="s">
        <v>236</v>
      </c>
      <c r="AW165" s="4" t="str">
        <f t="shared" si="22"/>
        <v>A</v>
      </c>
      <c r="AX165" s="45" t="str">
        <f t="shared" si="23"/>
        <v/>
      </c>
    </row>
    <row r="166" spans="1:50" ht="15" customHeight="1" x14ac:dyDescent="0.25">
      <c r="A166" s="46">
        <v>45875</v>
      </c>
      <c r="B166" s="46" t="s">
        <v>416</v>
      </c>
      <c r="C166" s="46" t="s">
        <v>26</v>
      </c>
      <c r="D166" s="21" t="s">
        <v>26</v>
      </c>
      <c r="E166" s="47">
        <v>964</v>
      </c>
      <c r="F166" s="21" t="s">
        <v>456</v>
      </c>
      <c r="G166" s="21" t="s">
        <v>1478</v>
      </c>
      <c r="H166" s="21" t="s">
        <v>609</v>
      </c>
      <c r="I166" s="21"/>
      <c r="J166" s="4" t="s">
        <v>556</v>
      </c>
      <c r="K166" s="4"/>
      <c r="L166" s="4"/>
      <c r="M166" s="4" t="s">
        <v>1482</v>
      </c>
      <c r="N166" s="4" t="s">
        <v>1483</v>
      </c>
      <c r="O166" s="4" t="s">
        <v>1484</v>
      </c>
      <c r="P166" s="91"/>
      <c r="Q166" s="91"/>
      <c r="R166" s="91">
        <f t="shared" si="26"/>
        <v>0.1</v>
      </c>
      <c r="S166" s="7"/>
      <c r="T166" s="5">
        <v>0.1</v>
      </c>
      <c r="U166" s="6"/>
      <c r="V166" s="4"/>
      <c r="W166" s="20"/>
      <c r="X166" s="4"/>
      <c r="Y166" s="20"/>
      <c r="Z166" s="4"/>
      <c r="AA166" s="20"/>
      <c r="AB166" s="4"/>
      <c r="AC166" s="20"/>
      <c r="AD166" s="4"/>
      <c r="AE166" s="20"/>
      <c r="AF166" s="19"/>
      <c r="AG166" s="8"/>
      <c r="AH166" s="17"/>
      <c r="AI166" s="37"/>
      <c r="AJ166" s="18"/>
      <c r="AK166" s="21"/>
      <c r="AL166" s="21"/>
      <c r="AM166" s="21"/>
      <c r="AN166" s="21" t="s">
        <v>27</v>
      </c>
      <c r="AO166" s="21" t="s">
        <v>231</v>
      </c>
      <c r="AP166" s="21" t="s">
        <v>231</v>
      </c>
      <c r="AQ166" s="21" t="s">
        <v>231</v>
      </c>
      <c r="AR166" s="21" t="s">
        <v>231</v>
      </c>
      <c r="AS166" s="21" t="s">
        <v>231</v>
      </c>
      <c r="AT166" s="21" t="s">
        <v>231</v>
      </c>
      <c r="AU166" s="21" t="s">
        <v>236</v>
      </c>
      <c r="AV166" s="21" t="s">
        <v>236</v>
      </c>
      <c r="AW166" s="4" t="str">
        <f t="shared" si="22"/>
        <v>A</v>
      </c>
      <c r="AX166" s="45" t="str">
        <f t="shared" si="23"/>
        <v/>
      </c>
    </row>
    <row r="167" spans="1:50" ht="15" customHeight="1" x14ac:dyDescent="0.25">
      <c r="A167" s="46">
        <v>45877</v>
      </c>
      <c r="B167" s="46" t="s">
        <v>416</v>
      </c>
      <c r="C167" s="46" t="s">
        <v>26</v>
      </c>
      <c r="D167" s="21" t="s">
        <v>26</v>
      </c>
      <c r="E167" s="47">
        <v>970</v>
      </c>
      <c r="F167" s="21" t="s">
        <v>456</v>
      </c>
      <c r="G167" s="21" t="s">
        <v>1066</v>
      </c>
      <c r="H167" s="21" t="s">
        <v>1491</v>
      </c>
      <c r="I167" s="21"/>
      <c r="J167" s="4" t="s">
        <v>556</v>
      </c>
      <c r="K167" s="4"/>
      <c r="L167" s="4"/>
      <c r="M167" s="4" t="s">
        <v>1492</v>
      </c>
      <c r="N167" s="4" t="s">
        <v>1493</v>
      </c>
      <c r="O167" s="4" t="s">
        <v>1494</v>
      </c>
      <c r="P167" s="91"/>
      <c r="Q167" s="91"/>
      <c r="R167" s="91">
        <f t="shared" si="26"/>
        <v>0.1</v>
      </c>
      <c r="S167" s="7"/>
      <c r="T167" s="5">
        <v>0.1</v>
      </c>
      <c r="U167" s="6"/>
      <c r="V167" s="4"/>
      <c r="W167" s="20"/>
      <c r="X167" s="4"/>
      <c r="Y167" s="20"/>
      <c r="Z167" s="4"/>
      <c r="AA167" s="20"/>
      <c r="AB167" s="4"/>
      <c r="AC167" s="20"/>
      <c r="AD167" s="4"/>
      <c r="AE167" s="20"/>
      <c r="AF167" s="19"/>
      <c r="AG167" s="8"/>
      <c r="AH167" s="17"/>
      <c r="AI167" s="37"/>
      <c r="AJ167" s="18"/>
      <c r="AK167" s="21"/>
      <c r="AL167" s="21"/>
      <c r="AM167" s="21"/>
      <c r="AN167" s="21" t="s">
        <v>27</v>
      </c>
      <c r="AO167" s="21" t="s">
        <v>231</v>
      </c>
      <c r="AP167" s="21" t="s">
        <v>231</v>
      </c>
      <c r="AQ167" s="21" t="s">
        <v>231</v>
      </c>
      <c r="AR167" s="21" t="s">
        <v>231</v>
      </c>
      <c r="AS167" s="21" t="s">
        <v>231</v>
      </c>
      <c r="AT167" s="21" t="s">
        <v>231</v>
      </c>
      <c r="AU167" s="21" t="s">
        <v>236</v>
      </c>
      <c r="AV167" s="21" t="s">
        <v>236</v>
      </c>
      <c r="AW167" s="4" t="str">
        <f t="shared" si="22"/>
        <v>A</v>
      </c>
      <c r="AX167" s="45" t="str">
        <f t="shared" si="23"/>
        <v/>
      </c>
    </row>
    <row r="168" spans="1:50" ht="15" customHeight="1" x14ac:dyDescent="0.25">
      <c r="A168" s="46">
        <v>45877</v>
      </c>
      <c r="B168" s="46" t="s">
        <v>1498</v>
      </c>
      <c r="C168" s="46" t="s">
        <v>25</v>
      </c>
      <c r="D168" s="21" t="s">
        <v>76</v>
      </c>
      <c r="E168" s="47">
        <v>973</v>
      </c>
      <c r="F168" s="21" t="s">
        <v>226</v>
      </c>
      <c r="G168" s="21" t="s">
        <v>1499</v>
      </c>
      <c r="H168" s="21" t="s">
        <v>1011</v>
      </c>
      <c r="I168" s="21" t="s">
        <v>472</v>
      </c>
      <c r="J168" s="4" t="s">
        <v>229</v>
      </c>
      <c r="K168" s="4" t="s">
        <v>242</v>
      </c>
      <c r="L168" s="4" t="s">
        <v>87</v>
      </c>
      <c r="M168" s="4" t="s">
        <v>1500</v>
      </c>
      <c r="N168" s="4" t="s">
        <v>1501</v>
      </c>
      <c r="O168" s="4" t="s">
        <v>1383</v>
      </c>
      <c r="P168" s="4">
        <v>590504</v>
      </c>
      <c r="Q168" s="4">
        <v>4792528</v>
      </c>
      <c r="R168" s="91">
        <f t="shared" ref="R168:R214" si="27">SUM(S168:AJ168)</f>
        <v>0.1</v>
      </c>
      <c r="S168" s="7"/>
      <c r="T168" s="5"/>
      <c r="U168" s="6"/>
      <c r="V168" s="4"/>
      <c r="W168" s="20"/>
      <c r="X168" s="4"/>
      <c r="Y168" s="20"/>
      <c r="Z168" s="4"/>
      <c r="AA168" s="20"/>
      <c r="AB168" s="4"/>
      <c r="AC168" s="20"/>
      <c r="AD168" s="4">
        <v>0.1</v>
      </c>
      <c r="AE168" s="20"/>
      <c r="AF168" s="19"/>
      <c r="AG168" s="8"/>
      <c r="AH168" s="17"/>
      <c r="AI168" s="37"/>
      <c r="AJ168" s="18"/>
      <c r="AK168" s="21"/>
      <c r="AL168" s="21"/>
      <c r="AM168" s="21"/>
      <c r="AN168" s="21" t="s">
        <v>235</v>
      </c>
      <c r="AO168" s="21" t="s">
        <v>206</v>
      </c>
      <c r="AP168" s="21" t="s">
        <v>231</v>
      </c>
      <c r="AQ168" s="21" t="s">
        <v>206</v>
      </c>
      <c r="AR168" s="21" t="s">
        <v>231</v>
      </c>
      <c r="AS168" s="21" t="s">
        <v>206</v>
      </c>
      <c r="AT168" s="21" t="s">
        <v>231</v>
      </c>
      <c r="AU168" s="21" t="s">
        <v>236</v>
      </c>
      <c r="AV168" s="21" t="s">
        <v>236</v>
      </c>
      <c r="AW168" s="4" t="str">
        <f t="shared" si="22"/>
        <v>A</v>
      </c>
      <c r="AX168" s="45" t="str">
        <f t="shared" si="23"/>
        <v/>
      </c>
    </row>
    <row r="169" spans="1:50" ht="15" customHeight="1" x14ac:dyDescent="0.25">
      <c r="A169" s="46">
        <v>45878</v>
      </c>
      <c r="B169" s="46" t="s">
        <v>1504</v>
      </c>
      <c r="C169" s="46" t="s">
        <v>26</v>
      </c>
      <c r="D169" s="21" t="s">
        <v>620</v>
      </c>
      <c r="E169" s="47">
        <v>976</v>
      </c>
      <c r="F169" s="21" t="s">
        <v>225</v>
      </c>
      <c r="G169" s="21" t="s">
        <v>1503</v>
      </c>
      <c r="H169" s="21" t="s">
        <v>1242</v>
      </c>
      <c r="I169" s="21" t="s">
        <v>650</v>
      </c>
      <c r="J169" s="4" t="s">
        <v>229</v>
      </c>
      <c r="K169" s="4" t="s">
        <v>487</v>
      </c>
      <c r="L169" s="4" t="s">
        <v>87</v>
      </c>
      <c r="M169" s="4" t="s">
        <v>1505</v>
      </c>
      <c r="N169" s="4" t="s">
        <v>1506</v>
      </c>
      <c r="O169" s="4" t="s">
        <v>1507</v>
      </c>
      <c r="P169" s="91"/>
      <c r="Q169" s="91"/>
      <c r="R169" s="91">
        <f t="shared" si="27"/>
        <v>0.1</v>
      </c>
      <c r="S169" s="7"/>
      <c r="T169" s="5"/>
      <c r="U169" s="6"/>
      <c r="V169" s="4"/>
      <c r="W169" s="20"/>
      <c r="X169" s="4"/>
      <c r="Y169" s="20"/>
      <c r="Z169" s="4"/>
      <c r="AA169" s="20"/>
      <c r="AB169" s="4"/>
      <c r="AC169" s="20"/>
      <c r="AD169" s="4"/>
      <c r="AE169" s="20"/>
      <c r="AF169" s="19"/>
      <c r="AG169" s="8"/>
      <c r="AH169" s="17"/>
      <c r="AI169" s="37">
        <v>0.1</v>
      </c>
      <c r="AJ169" s="18"/>
      <c r="AK169" s="21"/>
      <c r="AL169" s="21"/>
      <c r="AM169" s="21"/>
      <c r="AN169" s="21" t="s">
        <v>235</v>
      </c>
      <c r="AO169" s="21" t="s">
        <v>231</v>
      </c>
      <c r="AP169" s="21" t="s">
        <v>231</v>
      </c>
      <c r="AQ169" s="21" t="s">
        <v>231</v>
      </c>
      <c r="AR169" s="21" t="s">
        <v>231</v>
      </c>
      <c r="AS169" s="21" t="s">
        <v>231</v>
      </c>
      <c r="AT169" s="21" t="s">
        <v>231</v>
      </c>
      <c r="AU169" s="21" t="s">
        <v>236</v>
      </c>
      <c r="AV169" s="21" t="s">
        <v>236</v>
      </c>
      <c r="AW169" s="4" t="str">
        <f t="shared" si="22"/>
        <v>A</v>
      </c>
      <c r="AX169" s="45" t="str">
        <f t="shared" si="23"/>
        <v/>
      </c>
    </row>
    <row r="170" spans="1:50" ht="15" customHeight="1" x14ac:dyDescent="0.25">
      <c r="A170" s="46">
        <v>45880</v>
      </c>
      <c r="B170" s="46" t="s">
        <v>1508</v>
      </c>
      <c r="C170" s="46" t="s">
        <v>25</v>
      </c>
      <c r="D170" s="21" t="s">
        <v>25</v>
      </c>
      <c r="E170" s="47">
        <v>981</v>
      </c>
      <c r="F170" s="21" t="s">
        <v>226</v>
      </c>
      <c r="G170" s="21" t="s">
        <v>1509</v>
      </c>
      <c r="H170" s="21" t="s">
        <v>494</v>
      </c>
      <c r="I170" s="21" t="s">
        <v>480</v>
      </c>
      <c r="J170" s="4" t="s">
        <v>229</v>
      </c>
      <c r="K170" s="4" t="s">
        <v>242</v>
      </c>
      <c r="L170" s="4" t="s">
        <v>87</v>
      </c>
      <c r="M170" s="4" t="s">
        <v>230</v>
      </c>
      <c r="N170" s="4" t="s">
        <v>232</v>
      </c>
      <c r="O170" s="4" t="s">
        <v>1510</v>
      </c>
      <c r="P170" s="4">
        <v>568108</v>
      </c>
      <c r="Q170" s="4">
        <v>4811610</v>
      </c>
      <c r="R170" s="91">
        <f t="shared" si="27"/>
        <v>14.6</v>
      </c>
      <c r="S170" s="7">
        <v>14.6</v>
      </c>
      <c r="T170" s="5"/>
      <c r="U170" s="6"/>
      <c r="V170" s="4"/>
      <c r="W170" s="20"/>
      <c r="X170" s="4"/>
      <c r="Y170" s="20"/>
      <c r="Z170" s="4"/>
      <c r="AA170" s="20"/>
      <c r="AB170" s="4"/>
      <c r="AC170" s="20"/>
      <c r="AD170" s="4"/>
      <c r="AE170" s="20"/>
      <c r="AF170" s="19"/>
      <c r="AG170" s="8"/>
      <c r="AH170" s="17"/>
      <c r="AI170" s="37"/>
      <c r="AJ170" s="18"/>
      <c r="AK170" s="21"/>
      <c r="AL170" s="21"/>
      <c r="AM170" s="21"/>
      <c r="AN170" s="21" t="s">
        <v>235</v>
      </c>
      <c r="AO170" s="21" t="s">
        <v>206</v>
      </c>
      <c r="AP170" s="21" t="s">
        <v>231</v>
      </c>
      <c r="AQ170" s="21" t="s">
        <v>231</v>
      </c>
      <c r="AR170" s="21" t="s">
        <v>231</v>
      </c>
      <c r="AS170" s="21" t="s">
        <v>206</v>
      </c>
      <c r="AT170" s="21" t="s">
        <v>231</v>
      </c>
      <c r="AU170" s="21" t="s">
        <v>206</v>
      </c>
      <c r="AV170" s="21" t="s">
        <v>236</v>
      </c>
      <c r="AW170" s="4" t="str">
        <f t="shared" si="22"/>
        <v>C</v>
      </c>
      <c r="AX170" s="45" t="str">
        <f t="shared" si="23"/>
        <v/>
      </c>
    </row>
    <row r="171" spans="1:50" ht="15" customHeight="1" x14ac:dyDescent="0.25">
      <c r="A171" s="46">
        <v>45881</v>
      </c>
      <c r="B171" s="46" t="s">
        <v>1514</v>
      </c>
      <c r="C171" s="46" t="s">
        <v>28</v>
      </c>
      <c r="D171" s="21" t="s">
        <v>28</v>
      </c>
      <c r="E171" s="47">
        <v>986</v>
      </c>
      <c r="F171" s="21" t="s">
        <v>28</v>
      </c>
      <c r="G171" s="21" t="s">
        <v>1511</v>
      </c>
      <c r="H171" s="21" t="s">
        <v>533</v>
      </c>
      <c r="I171" s="21" t="s">
        <v>1512</v>
      </c>
      <c r="J171" s="4" t="s">
        <v>229</v>
      </c>
      <c r="K171" s="4" t="s">
        <v>279</v>
      </c>
      <c r="L171" s="4" t="s">
        <v>87</v>
      </c>
      <c r="M171" s="4" t="s">
        <v>1513</v>
      </c>
      <c r="N171" s="4" t="s">
        <v>1515</v>
      </c>
      <c r="O171" s="4" t="s">
        <v>1516</v>
      </c>
      <c r="P171" s="91"/>
      <c r="Q171" s="91"/>
      <c r="R171" s="91">
        <f t="shared" si="27"/>
        <v>6.5</v>
      </c>
      <c r="S171" s="7"/>
      <c r="T171" s="5"/>
      <c r="U171" s="6">
        <v>6.5</v>
      </c>
      <c r="V171" s="4"/>
      <c r="W171" s="20"/>
      <c r="X171" s="4"/>
      <c r="Y171" s="20"/>
      <c r="Z171" s="4"/>
      <c r="AA171" s="20"/>
      <c r="AB171" s="4"/>
      <c r="AC171" s="20"/>
      <c r="AD171" s="4"/>
      <c r="AE171" s="20"/>
      <c r="AF171" s="19"/>
      <c r="AG171" s="8"/>
      <c r="AH171" s="17"/>
      <c r="AI171" s="37"/>
      <c r="AJ171" s="18"/>
      <c r="AK171" s="21" t="s">
        <v>218</v>
      </c>
      <c r="AL171" s="21" t="s">
        <v>218</v>
      </c>
      <c r="AM171" s="21"/>
      <c r="AN171" s="21" t="s">
        <v>516</v>
      </c>
      <c r="AO171" s="21" t="s">
        <v>206</v>
      </c>
      <c r="AP171" s="21" t="s">
        <v>231</v>
      </c>
      <c r="AQ171" s="21" t="s">
        <v>231</v>
      </c>
      <c r="AR171" s="21" t="s">
        <v>231</v>
      </c>
      <c r="AS171" s="21" t="s">
        <v>206</v>
      </c>
      <c r="AT171" s="21" t="s">
        <v>231</v>
      </c>
      <c r="AU171" s="21" t="s">
        <v>236</v>
      </c>
      <c r="AV171" s="21" t="s">
        <v>236</v>
      </c>
      <c r="AW171" s="4" t="str">
        <f t="shared" si="22"/>
        <v>B</v>
      </c>
      <c r="AX171" s="45" t="str">
        <f t="shared" si="23"/>
        <v/>
      </c>
    </row>
    <row r="172" spans="1:50" ht="15" customHeight="1" x14ac:dyDescent="0.25">
      <c r="A172" s="46">
        <v>45881</v>
      </c>
      <c r="B172" s="46" t="s">
        <v>1517</v>
      </c>
      <c r="C172" s="46" t="s">
        <v>28</v>
      </c>
      <c r="D172" s="21" t="s">
        <v>79</v>
      </c>
      <c r="E172" s="47">
        <v>989</v>
      </c>
      <c r="F172" s="21" t="s">
        <v>28</v>
      </c>
      <c r="G172" s="21" t="s">
        <v>1518</v>
      </c>
      <c r="H172" s="21" t="s">
        <v>1519</v>
      </c>
      <c r="I172" s="21" t="s">
        <v>1520</v>
      </c>
      <c r="J172" s="4" t="s">
        <v>229</v>
      </c>
      <c r="K172" s="4" t="s">
        <v>242</v>
      </c>
      <c r="L172" s="4" t="s">
        <v>243</v>
      </c>
      <c r="M172" s="4" t="s">
        <v>1521</v>
      </c>
      <c r="N172" s="4" t="s">
        <v>1522</v>
      </c>
      <c r="O172" s="4" t="s">
        <v>1523</v>
      </c>
      <c r="P172" s="91"/>
      <c r="Q172" s="91"/>
      <c r="R172" s="91">
        <f t="shared" si="27"/>
        <v>57.9</v>
      </c>
      <c r="S172" s="7"/>
      <c r="T172" s="5"/>
      <c r="U172" s="6"/>
      <c r="V172" s="4"/>
      <c r="W172" s="20"/>
      <c r="X172" s="4"/>
      <c r="Y172" s="20"/>
      <c r="Z172" s="4"/>
      <c r="AA172" s="20"/>
      <c r="AB172" s="4">
        <v>57.9</v>
      </c>
      <c r="AC172" s="20"/>
      <c r="AD172" s="4"/>
      <c r="AE172" s="20"/>
      <c r="AF172" s="19"/>
      <c r="AG172" s="8"/>
      <c r="AH172" s="17"/>
      <c r="AI172" s="37"/>
      <c r="AJ172" s="18"/>
      <c r="AK172" s="21" t="s">
        <v>218</v>
      </c>
      <c r="AL172" s="21" t="s">
        <v>218</v>
      </c>
      <c r="AM172" s="21"/>
      <c r="AN172" s="21" t="s">
        <v>235</v>
      </c>
      <c r="AO172" s="21" t="s">
        <v>206</v>
      </c>
      <c r="AP172" s="21" t="s">
        <v>231</v>
      </c>
      <c r="AQ172" s="21" t="s">
        <v>231</v>
      </c>
      <c r="AR172" s="21" t="s">
        <v>231</v>
      </c>
      <c r="AS172" s="21" t="s">
        <v>206</v>
      </c>
      <c r="AT172" s="21" t="s">
        <v>231</v>
      </c>
      <c r="AU172" s="21" t="s">
        <v>206</v>
      </c>
      <c r="AV172" s="21" t="s">
        <v>206</v>
      </c>
      <c r="AW172" s="4" t="str">
        <f t="shared" si="22"/>
        <v>C</v>
      </c>
      <c r="AX172" s="45" t="str">
        <f t="shared" si="23"/>
        <v/>
      </c>
    </row>
    <row r="173" spans="1:50" ht="15" customHeight="1" x14ac:dyDescent="0.25">
      <c r="A173" s="46">
        <v>45882</v>
      </c>
      <c r="B173" s="46" t="s">
        <v>2134</v>
      </c>
      <c r="C173" s="46" t="s">
        <v>26</v>
      </c>
      <c r="D173" s="21" t="s">
        <v>26</v>
      </c>
      <c r="E173" s="47">
        <v>991</v>
      </c>
      <c r="F173" s="21" t="s">
        <v>456</v>
      </c>
      <c r="G173" s="21" t="s">
        <v>1524</v>
      </c>
      <c r="H173" s="21" t="s">
        <v>589</v>
      </c>
      <c r="I173" s="21" t="s">
        <v>1525</v>
      </c>
      <c r="J173" s="4" t="s">
        <v>556</v>
      </c>
      <c r="K173" s="4"/>
      <c r="L173" s="4"/>
      <c r="M173" s="4" t="s">
        <v>1526</v>
      </c>
      <c r="N173" s="4" t="s">
        <v>1532</v>
      </c>
      <c r="O173" s="4" t="s">
        <v>1533</v>
      </c>
      <c r="P173" s="91"/>
      <c r="Q173" s="91"/>
      <c r="R173" s="91">
        <f t="shared" si="27"/>
        <v>2796</v>
      </c>
      <c r="S173" s="7"/>
      <c r="T173" s="5">
        <v>1789</v>
      </c>
      <c r="U173" s="6"/>
      <c r="V173" s="4"/>
      <c r="W173" s="20"/>
      <c r="X173" s="4"/>
      <c r="Y173" s="20"/>
      <c r="Z173" s="4"/>
      <c r="AA173" s="20"/>
      <c r="AB173" s="4"/>
      <c r="AC173" s="20"/>
      <c r="AD173" s="4"/>
      <c r="AE173" s="20"/>
      <c r="AF173" s="19"/>
      <c r="AG173" s="8"/>
      <c r="AH173" s="17"/>
      <c r="AI173" s="37"/>
      <c r="AJ173" s="18">
        <v>1007</v>
      </c>
      <c r="AK173" s="21"/>
      <c r="AL173" s="21"/>
      <c r="AM173" s="21"/>
      <c r="AN173" s="21" t="s">
        <v>516</v>
      </c>
      <c r="AO173" s="21" t="s">
        <v>206</v>
      </c>
      <c r="AP173" s="21" t="s">
        <v>231</v>
      </c>
      <c r="AQ173" s="21" t="s">
        <v>231</v>
      </c>
      <c r="AR173" s="21" t="s">
        <v>231</v>
      </c>
      <c r="AS173" s="21" t="s">
        <v>206</v>
      </c>
      <c r="AT173" s="21" t="s">
        <v>231</v>
      </c>
      <c r="AU173" s="21" t="s">
        <v>206</v>
      </c>
      <c r="AV173" s="21" t="s">
        <v>206</v>
      </c>
      <c r="AW173" s="4" t="str">
        <f t="shared" si="22"/>
        <v>F</v>
      </c>
      <c r="AX173" s="45" t="str">
        <f t="shared" si="23"/>
        <v/>
      </c>
    </row>
    <row r="174" spans="1:50" ht="15" customHeight="1" x14ac:dyDescent="0.25">
      <c r="A174" s="46">
        <v>45882</v>
      </c>
      <c r="B174" s="46" t="s">
        <v>1535</v>
      </c>
      <c r="C174" s="46" t="s">
        <v>25</v>
      </c>
      <c r="D174" s="21" t="s">
        <v>25</v>
      </c>
      <c r="E174" s="47">
        <v>992</v>
      </c>
      <c r="F174" s="21" t="s">
        <v>252</v>
      </c>
      <c r="G174" s="21" t="s">
        <v>1527</v>
      </c>
      <c r="H174" s="21" t="s">
        <v>1534</v>
      </c>
      <c r="I174" s="21"/>
      <c r="J174" s="4" t="s">
        <v>556</v>
      </c>
      <c r="K174" s="4"/>
      <c r="L174" s="4"/>
      <c r="M174" s="4" t="s">
        <v>1536</v>
      </c>
      <c r="N174" s="4" t="s">
        <v>1537</v>
      </c>
      <c r="O174" s="4" t="s">
        <v>1538</v>
      </c>
      <c r="P174" s="91"/>
      <c r="Q174" s="91"/>
      <c r="R174" s="91">
        <f t="shared" si="27"/>
        <v>0.3</v>
      </c>
      <c r="S174" s="7">
        <v>0.3</v>
      </c>
      <c r="T174" s="5"/>
      <c r="U174" s="6"/>
      <c r="V174" s="4"/>
      <c r="W174" s="20"/>
      <c r="X174" s="4"/>
      <c r="Y174" s="20"/>
      <c r="Z174" s="4"/>
      <c r="AA174" s="20"/>
      <c r="AB174" s="4"/>
      <c r="AC174" s="20"/>
      <c r="AD174" s="4"/>
      <c r="AE174" s="20"/>
      <c r="AF174" s="19"/>
      <c r="AG174" s="8"/>
      <c r="AH174" s="17"/>
      <c r="AI174" s="37"/>
      <c r="AJ174" s="18"/>
      <c r="AK174" s="21"/>
      <c r="AL174" s="21"/>
      <c r="AM174" s="21"/>
      <c r="AN174" s="21" t="s">
        <v>27</v>
      </c>
      <c r="AO174" s="21" t="s">
        <v>231</v>
      </c>
      <c r="AP174" s="21" t="s">
        <v>231</v>
      </c>
      <c r="AQ174" s="21" t="s">
        <v>231</v>
      </c>
      <c r="AR174" s="21" t="s">
        <v>231</v>
      </c>
      <c r="AS174" s="21" t="s">
        <v>231</v>
      </c>
      <c r="AT174" s="21" t="s">
        <v>231</v>
      </c>
      <c r="AU174" s="21" t="s">
        <v>236</v>
      </c>
      <c r="AV174" s="21" t="s">
        <v>236</v>
      </c>
      <c r="AW174" s="4" t="str">
        <f t="shared" si="22"/>
        <v>B</v>
      </c>
      <c r="AX174" s="45" t="str">
        <f t="shared" si="23"/>
        <v/>
      </c>
    </row>
    <row r="175" spans="1:50" ht="15" customHeight="1" x14ac:dyDescent="0.25">
      <c r="A175" s="46">
        <v>45882</v>
      </c>
      <c r="B175" s="46" t="s">
        <v>416</v>
      </c>
      <c r="C175" s="46" t="s">
        <v>26</v>
      </c>
      <c r="D175" s="21" t="s">
        <v>26</v>
      </c>
      <c r="E175" s="47">
        <v>993</v>
      </c>
      <c r="F175" s="21" t="s">
        <v>456</v>
      </c>
      <c r="G175" s="21" t="s">
        <v>1528</v>
      </c>
      <c r="H175" s="21" t="s">
        <v>1550</v>
      </c>
      <c r="I175" s="21"/>
      <c r="J175" s="4" t="s">
        <v>556</v>
      </c>
      <c r="K175" s="4"/>
      <c r="L175" s="4"/>
      <c r="M175" s="4" t="s">
        <v>1539</v>
      </c>
      <c r="N175" s="4" t="s">
        <v>1540</v>
      </c>
      <c r="O175" s="4" t="s">
        <v>1541</v>
      </c>
      <c r="P175" s="91"/>
      <c r="Q175" s="91"/>
      <c r="R175" s="91">
        <f t="shared" si="27"/>
        <v>9</v>
      </c>
      <c r="S175" s="7"/>
      <c r="T175" s="5">
        <v>9</v>
      </c>
      <c r="U175" s="6"/>
      <c r="V175" s="4"/>
      <c r="W175" s="20"/>
      <c r="X175" s="4"/>
      <c r="Y175" s="20"/>
      <c r="Z175" s="4"/>
      <c r="AA175" s="20"/>
      <c r="AB175" s="4"/>
      <c r="AC175" s="20"/>
      <c r="AD175" s="4"/>
      <c r="AE175" s="20"/>
      <c r="AF175" s="19"/>
      <c r="AG175" s="8"/>
      <c r="AH175" s="17"/>
      <c r="AI175" s="37"/>
      <c r="AJ175" s="18"/>
      <c r="AK175" s="21"/>
      <c r="AL175" s="21"/>
      <c r="AM175" s="21"/>
      <c r="AN175" s="21" t="s">
        <v>516</v>
      </c>
      <c r="AO175" s="21" t="s">
        <v>231</v>
      </c>
      <c r="AP175" s="21" t="s">
        <v>231</v>
      </c>
      <c r="AQ175" s="21" t="s">
        <v>231</v>
      </c>
      <c r="AR175" s="21" t="s">
        <v>231</v>
      </c>
      <c r="AS175" s="21" t="s">
        <v>231</v>
      </c>
      <c r="AT175" s="21" t="s">
        <v>231</v>
      </c>
      <c r="AU175" s="21" t="s">
        <v>236</v>
      </c>
      <c r="AV175" s="21" t="s">
        <v>236</v>
      </c>
      <c r="AW175" s="4" t="str">
        <f t="shared" si="22"/>
        <v>B</v>
      </c>
      <c r="AX175" s="45" t="str">
        <f t="shared" si="23"/>
        <v/>
      </c>
    </row>
    <row r="176" spans="1:50" ht="15" customHeight="1" x14ac:dyDescent="0.25">
      <c r="A176" s="46">
        <v>45882</v>
      </c>
      <c r="B176" s="46" t="s">
        <v>1544</v>
      </c>
      <c r="C176" s="46" t="s">
        <v>25</v>
      </c>
      <c r="D176" s="21" t="s">
        <v>25</v>
      </c>
      <c r="E176" s="47">
        <v>995</v>
      </c>
      <c r="F176" s="21" t="s">
        <v>252</v>
      </c>
      <c r="G176" s="21" t="s">
        <v>1529</v>
      </c>
      <c r="H176" s="21" t="s">
        <v>1011</v>
      </c>
      <c r="I176" s="21"/>
      <c r="J176" s="4" t="s">
        <v>556</v>
      </c>
      <c r="K176" s="4"/>
      <c r="L176" s="4"/>
      <c r="M176" s="4" t="s">
        <v>1252</v>
      </c>
      <c r="N176" s="4" t="s">
        <v>1601</v>
      </c>
      <c r="O176" s="4" t="s">
        <v>1602</v>
      </c>
      <c r="P176" s="4">
        <v>508919</v>
      </c>
      <c r="Q176" s="4">
        <v>4705142</v>
      </c>
      <c r="R176" s="91">
        <f t="shared" si="27"/>
        <v>0.25</v>
      </c>
      <c r="S176" s="7">
        <v>0.25</v>
      </c>
      <c r="T176" s="5"/>
      <c r="U176" s="6"/>
      <c r="V176" s="4"/>
      <c r="W176" s="20"/>
      <c r="X176" s="4"/>
      <c r="Y176" s="20"/>
      <c r="Z176" s="4"/>
      <c r="AA176" s="20"/>
      <c r="AB176" s="4"/>
      <c r="AC176" s="20"/>
      <c r="AD176" s="4"/>
      <c r="AE176" s="20"/>
      <c r="AF176" s="19"/>
      <c r="AG176" s="8"/>
      <c r="AH176" s="17"/>
      <c r="AI176" s="37"/>
      <c r="AJ176" s="18"/>
      <c r="AK176" s="21"/>
      <c r="AL176" s="21"/>
      <c r="AM176" s="21"/>
      <c r="AN176" s="21" t="s">
        <v>27</v>
      </c>
      <c r="AO176" s="21" t="s">
        <v>231</v>
      </c>
      <c r="AP176" s="21" t="s">
        <v>206</v>
      </c>
      <c r="AQ176" s="21" t="s">
        <v>231</v>
      </c>
      <c r="AR176" s="21" t="s">
        <v>206</v>
      </c>
      <c r="AS176" s="21" t="s">
        <v>231</v>
      </c>
      <c r="AT176" s="21" t="s">
        <v>231</v>
      </c>
      <c r="AU176" s="21" t="s">
        <v>236</v>
      </c>
      <c r="AV176" s="21" t="s">
        <v>236</v>
      </c>
      <c r="AW176" s="4" t="str">
        <f t="shared" si="22"/>
        <v>A</v>
      </c>
      <c r="AX176" s="45" t="str">
        <f t="shared" si="23"/>
        <v/>
      </c>
    </row>
    <row r="177" spans="1:50" ht="15" customHeight="1" x14ac:dyDescent="0.25">
      <c r="A177" s="46">
        <v>45882</v>
      </c>
      <c r="B177" s="46" t="s">
        <v>1545</v>
      </c>
      <c r="C177" s="46" t="s">
        <v>25</v>
      </c>
      <c r="D177" s="21" t="s">
        <v>25</v>
      </c>
      <c r="E177" s="47">
        <v>996</v>
      </c>
      <c r="F177" s="21" t="s">
        <v>252</v>
      </c>
      <c r="G177" s="21" t="s">
        <v>1530</v>
      </c>
      <c r="H177" s="21" t="s">
        <v>1549</v>
      </c>
      <c r="J177" s="4" t="s">
        <v>556</v>
      </c>
      <c r="K177" s="4"/>
      <c r="L177" s="4"/>
      <c r="M177" s="4" t="s">
        <v>1542</v>
      </c>
      <c r="N177" s="4" t="s">
        <v>1556</v>
      </c>
      <c r="O177" s="4" t="s">
        <v>1557</v>
      </c>
      <c r="P177" s="91"/>
      <c r="Q177" s="91"/>
      <c r="R177" s="91">
        <f t="shared" si="27"/>
        <v>0.2</v>
      </c>
      <c r="S177" s="7">
        <v>0.2</v>
      </c>
      <c r="T177" s="5"/>
      <c r="U177" s="6"/>
      <c r="V177" s="4"/>
      <c r="W177" s="20"/>
      <c r="X177" s="4"/>
      <c r="Y177" s="20"/>
      <c r="Z177" s="4"/>
      <c r="AA177" s="20"/>
      <c r="AB177" s="4"/>
      <c r="AC177" s="20"/>
      <c r="AD177" s="4"/>
      <c r="AE177" s="20"/>
      <c r="AF177" s="19"/>
      <c r="AG177" s="8"/>
      <c r="AH177" s="17"/>
      <c r="AI177" s="37"/>
      <c r="AJ177" s="18"/>
      <c r="AK177" s="21"/>
      <c r="AL177" s="21"/>
      <c r="AM177" s="21"/>
      <c r="AN177" s="21" t="s">
        <v>27</v>
      </c>
      <c r="AO177" s="21" t="s">
        <v>231</v>
      </c>
      <c r="AP177" s="21" t="s">
        <v>206</v>
      </c>
      <c r="AQ177" s="21" t="s">
        <v>231</v>
      </c>
      <c r="AR177" s="21" t="s">
        <v>231</v>
      </c>
      <c r="AS177" s="21" t="s">
        <v>231</v>
      </c>
      <c r="AT177" s="21" t="s">
        <v>231</v>
      </c>
      <c r="AU177" s="21" t="s">
        <v>236</v>
      </c>
      <c r="AV177" s="21" t="s">
        <v>236</v>
      </c>
      <c r="AW177" s="4" t="str">
        <f t="shared" si="22"/>
        <v>A</v>
      </c>
      <c r="AX177" s="45" t="str">
        <f t="shared" si="23"/>
        <v/>
      </c>
    </row>
    <row r="178" spans="1:50" ht="15" customHeight="1" x14ac:dyDescent="0.25">
      <c r="A178" s="46">
        <v>45882</v>
      </c>
      <c r="B178" s="46" t="s">
        <v>1546</v>
      </c>
      <c r="C178" s="46" t="s">
        <v>25</v>
      </c>
      <c r="D178" s="21" t="s">
        <v>25</v>
      </c>
      <c r="E178" s="47">
        <v>997</v>
      </c>
      <c r="F178" s="21" t="s">
        <v>252</v>
      </c>
      <c r="G178" s="21" t="s">
        <v>1531</v>
      </c>
      <c r="H178" s="21" t="s">
        <v>392</v>
      </c>
      <c r="I178" s="21"/>
      <c r="J178" s="4" t="s">
        <v>556</v>
      </c>
      <c r="K178" s="4"/>
      <c r="L178" s="4"/>
      <c r="M178" s="4" t="s">
        <v>1543</v>
      </c>
      <c r="N178" s="4" t="s">
        <v>1554</v>
      </c>
      <c r="O178" s="4" t="s">
        <v>1555</v>
      </c>
      <c r="P178" s="91"/>
      <c r="Q178" s="91"/>
      <c r="R178" s="91">
        <f t="shared" si="27"/>
        <v>4316.2</v>
      </c>
      <c r="S178" s="7">
        <v>4153.5</v>
      </c>
      <c r="T178" s="5"/>
      <c r="U178" s="6"/>
      <c r="V178" s="4"/>
      <c r="W178" s="20"/>
      <c r="X178" s="4"/>
      <c r="Y178" s="20"/>
      <c r="Z178" s="4"/>
      <c r="AA178" s="20"/>
      <c r="AB178" s="4"/>
      <c r="AC178" s="20"/>
      <c r="AD178" s="4"/>
      <c r="AE178" s="20">
        <v>162.69999999999999</v>
      </c>
      <c r="AF178" s="19"/>
      <c r="AG178" s="8"/>
      <c r="AH178" s="17"/>
      <c r="AI178" s="37"/>
      <c r="AJ178" s="18"/>
      <c r="AK178" s="21"/>
      <c r="AL178" s="21" t="s">
        <v>218</v>
      </c>
      <c r="AM178" s="21"/>
      <c r="AN178" s="21" t="s">
        <v>27</v>
      </c>
      <c r="AO178" s="21" t="s">
        <v>231</v>
      </c>
      <c r="AP178" s="21" t="s">
        <v>231</v>
      </c>
      <c r="AQ178" s="21" t="s">
        <v>231</v>
      </c>
      <c r="AR178" s="21" t="s">
        <v>206</v>
      </c>
      <c r="AS178" s="21" t="s">
        <v>231</v>
      </c>
      <c r="AT178" s="21" t="s">
        <v>231</v>
      </c>
      <c r="AU178" s="21" t="s">
        <v>206</v>
      </c>
      <c r="AV178" s="21" t="s">
        <v>206</v>
      </c>
      <c r="AW178" s="4" t="str">
        <f t="shared" si="22"/>
        <v>F</v>
      </c>
      <c r="AX178" s="45" t="str">
        <f t="shared" si="23"/>
        <v/>
      </c>
    </row>
    <row r="179" spans="1:50" ht="15" customHeight="1" x14ac:dyDescent="0.25">
      <c r="A179" s="46">
        <v>45882</v>
      </c>
      <c r="B179" s="46" t="s">
        <v>1548</v>
      </c>
      <c r="C179" s="46" t="s">
        <v>25</v>
      </c>
      <c r="D179" s="21" t="s">
        <v>25</v>
      </c>
      <c r="E179" s="47">
        <v>999</v>
      </c>
      <c r="F179" s="21" t="s">
        <v>226</v>
      </c>
      <c r="G179" s="21" t="s">
        <v>1547</v>
      </c>
      <c r="H179" s="21" t="s">
        <v>276</v>
      </c>
      <c r="I179" s="21"/>
      <c r="J179" s="4" t="s">
        <v>229</v>
      </c>
      <c r="K179" s="4" t="s">
        <v>279</v>
      </c>
      <c r="L179" s="4" t="s">
        <v>87</v>
      </c>
      <c r="M179" s="4" t="s">
        <v>1551</v>
      </c>
      <c r="N179" s="4" t="s">
        <v>1552</v>
      </c>
      <c r="O179" s="4" t="s">
        <v>1553</v>
      </c>
      <c r="P179" s="4">
        <v>512917</v>
      </c>
      <c r="Q179" s="4">
        <v>4852776</v>
      </c>
      <c r="R179" s="91">
        <f t="shared" si="27"/>
        <v>92.1</v>
      </c>
      <c r="S179" s="7">
        <v>92.1</v>
      </c>
      <c r="T179" s="5"/>
      <c r="U179" s="6"/>
      <c r="V179" s="4"/>
      <c r="W179" s="20"/>
      <c r="X179" s="4"/>
      <c r="Y179" s="20"/>
      <c r="Z179" s="4"/>
      <c r="AA179" s="20"/>
      <c r="AB179" s="4"/>
      <c r="AC179" s="20"/>
      <c r="AD179" s="4"/>
      <c r="AE179" s="20"/>
      <c r="AF179" s="19"/>
      <c r="AG179" s="8"/>
      <c r="AH179" s="17"/>
      <c r="AI179" s="37"/>
      <c r="AJ179" s="18"/>
      <c r="AK179" s="21"/>
      <c r="AL179" s="21"/>
      <c r="AM179" s="21"/>
      <c r="AN179" s="21" t="s">
        <v>27</v>
      </c>
      <c r="AO179" s="21" t="s">
        <v>231</v>
      </c>
      <c r="AP179" s="21" t="s">
        <v>231</v>
      </c>
      <c r="AQ179" s="21" t="s">
        <v>231</v>
      </c>
      <c r="AR179" s="21" t="s">
        <v>231</v>
      </c>
      <c r="AS179" s="21" t="s">
        <v>206</v>
      </c>
      <c r="AT179" s="21" t="s">
        <v>231</v>
      </c>
      <c r="AU179" s="21" t="s">
        <v>206</v>
      </c>
      <c r="AV179" s="21" t="s">
        <v>236</v>
      </c>
      <c r="AW179" s="4" t="str">
        <f t="shared" si="22"/>
        <v>C</v>
      </c>
      <c r="AX179" s="45" t="str">
        <f t="shared" si="23"/>
        <v/>
      </c>
    </row>
    <row r="180" spans="1:50" ht="15" customHeight="1" x14ac:dyDescent="0.25">
      <c r="A180" s="46">
        <v>45882</v>
      </c>
      <c r="B180" s="46" t="s">
        <v>1561</v>
      </c>
      <c r="C180" s="46" t="s">
        <v>25</v>
      </c>
      <c r="D180" s="21" t="s">
        <v>25</v>
      </c>
      <c r="E180" s="47">
        <v>1000</v>
      </c>
      <c r="F180" s="21" t="s">
        <v>226</v>
      </c>
      <c r="G180" s="21" t="s">
        <v>1559</v>
      </c>
      <c r="H180" s="21" t="s">
        <v>471</v>
      </c>
      <c r="I180" s="21" t="s">
        <v>1558</v>
      </c>
      <c r="J180" s="4" t="s">
        <v>229</v>
      </c>
      <c r="K180" s="4" t="s">
        <v>279</v>
      </c>
      <c r="L180" s="4" t="s">
        <v>87</v>
      </c>
      <c r="M180" s="4" t="s">
        <v>1565</v>
      </c>
      <c r="N180" s="4" t="s">
        <v>1566</v>
      </c>
      <c r="O180" s="4" t="s">
        <v>1567</v>
      </c>
      <c r="P180" s="4">
        <v>511601</v>
      </c>
      <c r="Q180" s="4">
        <v>4853156</v>
      </c>
      <c r="R180" s="91">
        <f t="shared" si="27"/>
        <v>7.6</v>
      </c>
      <c r="S180" s="7">
        <v>7.6</v>
      </c>
      <c r="T180" s="5"/>
      <c r="U180" s="6"/>
      <c r="V180" s="4"/>
      <c r="W180" s="20"/>
      <c r="X180" s="4"/>
      <c r="Y180" s="20"/>
      <c r="Z180" s="4"/>
      <c r="AA180" s="20"/>
      <c r="AB180" s="4"/>
      <c r="AC180" s="20"/>
      <c r="AD180" s="4"/>
      <c r="AE180" s="20"/>
      <c r="AF180" s="19"/>
      <c r="AG180" s="8"/>
      <c r="AH180" s="17"/>
      <c r="AI180" s="37"/>
      <c r="AJ180" s="18"/>
      <c r="AK180" s="21"/>
      <c r="AL180" s="21"/>
      <c r="AM180" s="21"/>
      <c r="AN180" s="21" t="s">
        <v>235</v>
      </c>
      <c r="AO180" s="21" t="s">
        <v>231</v>
      </c>
      <c r="AP180" s="21" t="s">
        <v>231</v>
      </c>
      <c r="AQ180" s="21" t="s">
        <v>231</v>
      </c>
      <c r="AR180" s="21" t="s">
        <v>231</v>
      </c>
      <c r="AS180" s="21" t="s">
        <v>206</v>
      </c>
      <c r="AT180" s="21" t="s">
        <v>231</v>
      </c>
      <c r="AU180" s="21" t="s">
        <v>236</v>
      </c>
      <c r="AV180" s="21" t="s">
        <v>236</v>
      </c>
      <c r="AW180" s="4" t="str">
        <f t="shared" si="22"/>
        <v>B</v>
      </c>
      <c r="AX180" s="45" t="str">
        <f t="shared" si="23"/>
        <v/>
      </c>
    </row>
    <row r="181" spans="1:50" ht="15" customHeight="1" x14ac:dyDescent="0.25">
      <c r="A181" s="46">
        <v>45882</v>
      </c>
      <c r="B181" s="46" t="s">
        <v>1562</v>
      </c>
      <c r="C181" s="46" t="s">
        <v>25</v>
      </c>
      <c r="D181" s="21" t="s">
        <v>25</v>
      </c>
      <c r="E181" s="47">
        <v>1003</v>
      </c>
      <c r="F181" s="21" t="s">
        <v>226</v>
      </c>
      <c r="G181" s="21" t="s">
        <v>1560</v>
      </c>
      <c r="H181" s="21" t="s">
        <v>495</v>
      </c>
      <c r="I181" s="21" t="s">
        <v>615</v>
      </c>
      <c r="J181" s="4" t="s">
        <v>229</v>
      </c>
      <c r="K181" s="4" t="s">
        <v>279</v>
      </c>
      <c r="L181" s="4" t="s">
        <v>87</v>
      </c>
      <c r="M181" s="4" t="s">
        <v>341</v>
      </c>
      <c r="N181" s="4" t="s">
        <v>1563</v>
      </c>
      <c r="O181" s="4" t="s">
        <v>1564</v>
      </c>
      <c r="P181" s="4">
        <v>516471</v>
      </c>
      <c r="Q181" s="4">
        <v>4852747</v>
      </c>
      <c r="R181" s="91">
        <f t="shared" si="27"/>
        <v>5</v>
      </c>
      <c r="S181" s="7">
        <v>5</v>
      </c>
      <c r="T181" s="5"/>
      <c r="U181" s="6"/>
      <c r="V181" s="4"/>
      <c r="W181" s="20"/>
      <c r="X181" s="4"/>
      <c r="Y181" s="20"/>
      <c r="Z181" s="4"/>
      <c r="AA181" s="20"/>
      <c r="AB181" s="4"/>
      <c r="AC181" s="20"/>
      <c r="AD181" s="4"/>
      <c r="AE181" s="20"/>
      <c r="AF181" s="19"/>
      <c r="AG181" s="8"/>
      <c r="AH181" s="17"/>
      <c r="AI181" s="37"/>
      <c r="AJ181" s="18"/>
      <c r="AK181" s="21"/>
      <c r="AL181" s="21"/>
      <c r="AM181" s="21"/>
      <c r="AN181" s="21" t="s">
        <v>27</v>
      </c>
      <c r="AO181" s="21" t="s">
        <v>231</v>
      </c>
      <c r="AP181" s="21" t="s">
        <v>231</v>
      </c>
      <c r="AQ181" s="21" t="s">
        <v>231</v>
      </c>
      <c r="AR181" s="21" t="s">
        <v>231</v>
      </c>
      <c r="AS181" s="21" t="s">
        <v>206</v>
      </c>
      <c r="AT181" s="21" t="s">
        <v>231</v>
      </c>
      <c r="AU181" s="21" t="s">
        <v>206</v>
      </c>
      <c r="AV181" s="21" t="s">
        <v>236</v>
      </c>
      <c r="AW181" s="4" t="str">
        <f t="shared" si="22"/>
        <v>B</v>
      </c>
      <c r="AX181" s="45" t="str">
        <f t="shared" si="23"/>
        <v/>
      </c>
    </row>
    <row r="182" spans="1:50" ht="15" customHeight="1" x14ac:dyDescent="0.25">
      <c r="A182" s="46">
        <v>45883</v>
      </c>
      <c r="B182" s="46" t="s">
        <v>1572</v>
      </c>
      <c r="C182" s="46" t="s">
        <v>25</v>
      </c>
      <c r="D182" s="21" t="s">
        <v>25</v>
      </c>
      <c r="E182" s="47">
        <v>1008</v>
      </c>
      <c r="F182" s="21" t="s">
        <v>226</v>
      </c>
      <c r="G182" s="21" t="s">
        <v>1568</v>
      </c>
      <c r="H182" s="21" t="s">
        <v>1571</v>
      </c>
      <c r="I182" s="21" t="s">
        <v>1097</v>
      </c>
      <c r="J182" s="4" t="s">
        <v>229</v>
      </c>
      <c r="K182" s="4" t="s">
        <v>279</v>
      </c>
      <c r="L182" s="4" t="s">
        <v>87</v>
      </c>
      <c r="M182" s="4" t="s">
        <v>341</v>
      </c>
      <c r="N182" s="4" t="s">
        <v>1573</v>
      </c>
      <c r="O182" s="4" t="s">
        <v>1574</v>
      </c>
      <c r="P182" s="4">
        <v>516167</v>
      </c>
      <c r="Q182" s="4">
        <v>4852976</v>
      </c>
      <c r="R182" s="91">
        <f t="shared" si="27"/>
        <v>5</v>
      </c>
      <c r="S182" s="7">
        <v>5</v>
      </c>
      <c r="T182" s="5"/>
      <c r="U182" s="6"/>
      <c r="V182" s="4"/>
      <c r="W182" s="20"/>
      <c r="X182" s="4"/>
      <c r="Y182" s="20"/>
      <c r="Z182" s="4"/>
      <c r="AA182" s="20"/>
      <c r="AB182" s="4"/>
      <c r="AC182" s="20"/>
      <c r="AD182" s="4"/>
      <c r="AE182" s="20"/>
      <c r="AF182" s="19"/>
      <c r="AG182" s="8"/>
      <c r="AH182" s="17"/>
      <c r="AI182" s="37"/>
      <c r="AJ182" s="18"/>
      <c r="AK182" s="21"/>
      <c r="AL182" s="21"/>
      <c r="AM182" s="21"/>
      <c r="AN182" s="21" t="s">
        <v>235</v>
      </c>
      <c r="AO182" s="21" t="s">
        <v>231</v>
      </c>
      <c r="AP182" s="21" t="s">
        <v>231</v>
      </c>
      <c r="AQ182" s="21" t="s">
        <v>231</v>
      </c>
      <c r="AR182" s="21" t="s">
        <v>231</v>
      </c>
      <c r="AS182" s="21" t="s">
        <v>206</v>
      </c>
      <c r="AT182" s="21" t="s">
        <v>231</v>
      </c>
      <c r="AU182" s="21" t="s">
        <v>206</v>
      </c>
      <c r="AV182" s="21" t="s">
        <v>236</v>
      </c>
      <c r="AW182" s="4" t="str">
        <f t="shared" si="22"/>
        <v>B</v>
      </c>
      <c r="AX182" s="45" t="str">
        <f t="shared" si="23"/>
        <v/>
      </c>
    </row>
    <row r="183" spans="1:50" ht="15" customHeight="1" x14ac:dyDescent="0.25">
      <c r="A183" s="46">
        <v>45883</v>
      </c>
      <c r="B183" s="46" t="s">
        <v>1570</v>
      </c>
      <c r="C183" s="46" t="s">
        <v>25</v>
      </c>
      <c r="D183" s="21" t="s">
        <v>25</v>
      </c>
      <c r="E183" s="47">
        <v>1010</v>
      </c>
      <c r="F183" s="21" t="s">
        <v>226</v>
      </c>
      <c r="G183" s="21" t="s">
        <v>1569</v>
      </c>
      <c r="H183" s="21" t="s">
        <v>1096</v>
      </c>
      <c r="I183" s="21" t="s">
        <v>436</v>
      </c>
      <c r="J183" s="4" t="s">
        <v>229</v>
      </c>
      <c r="K183" s="4" t="s">
        <v>279</v>
      </c>
      <c r="L183" s="4" t="s">
        <v>87</v>
      </c>
      <c r="M183" s="4" t="s">
        <v>1575</v>
      </c>
      <c r="N183" s="4" t="s">
        <v>1576</v>
      </c>
      <c r="O183" s="4" t="s">
        <v>1577</v>
      </c>
      <c r="P183" s="4">
        <v>514200</v>
      </c>
      <c r="Q183" s="4">
        <v>4853867</v>
      </c>
      <c r="R183" s="91">
        <f t="shared" si="27"/>
        <v>112.2</v>
      </c>
      <c r="S183" s="7">
        <v>110.7</v>
      </c>
      <c r="T183" s="5"/>
      <c r="U183" s="6"/>
      <c r="V183" s="4"/>
      <c r="W183" s="20"/>
      <c r="X183" s="4">
        <v>1.5</v>
      </c>
      <c r="Y183" s="20"/>
      <c r="Z183" s="4"/>
      <c r="AA183" s="20"/>
      <c r="AB183" s="4"/>
      <c r="AC183" s="20"/>
      <c r="AD183" s="4"/>
      <c r="AE183" s="20"/>
      <c r="AF183" s="19"/>
      <c r="AG183" s="8"/>
      <c r="AH183" s="17"/>
      <c r="AI183" s="37"/>
      <c r="AJ183" s="18"/>
      <c r="AK183" s="21"/>
      <c r="AL183" s="21"/>
      <c r="AM183" s="21"/>
      <c r="AN183" s="21" t="s">
        <v>235</v>
      </c>
      <c r="AO183" s="21" t="s">
        <v>231</v>
      </c>
      <c r="AP183" s="21" t="s">
        <v>231</v>
      </c>
      <c r="AQ183" s="21" t="s">
        <v>231</v>
      </c>
      <c r="AR183" s="21" t="s">
        <v>231</v>
      </c>
      <c r="AS183" s="21" t="s">
        <v>206</v>
      </c>
      <c r="AT183" s="21" t="s">
        <v>231</v>
      </c>
      <c r="AU183" s="21" t="s">
        <v>206</v>
      </c>
      <c r="AV183" s="21" t="s">
        <v>236</v>
      </c>
      <c r="AW183" s="4" t="str">
        <f t="shared" si="22"/>
        <v>D</v>
      </c>
      <c r="AX183" s="45" t="str">
        <f t="shared" si="23"/>
        <v/>
      </c>
    </row>
    <row r="184" spans="1:50" ht="15" customHeight="1" x14ac:dyDescent="0.25">
      <c r="A184" s="46">
        <v>45885</v>
      </c>
      <c r="B184" s="46" t="s">
        <v>1595</v>
      </c>
      <c r="C184" s="46" t="s">
        <v>25</v>
      </c>
      <c r="D184" s="21" t="s">
        <v>25</v>
      </c>
      <c r="E184" s="47">
        <v>1023</v>
      </c>
      <c r="F184" s="21" t="s">
        <v>252</v>
      </c>
      <c r="G184" s="21" t="s">
        <v>1591</v>
      </c>
      <c r="H184" s="21" t="s">
        <v>392</v>
      </c>
      <c r="I184" s="21" t="s">
        <v>1167</v>
      </c>
      <c r="J184" s="4" t="s">
        <v>556</v>
      </c>
      <c r="K184" s="4"/>
      <c r="L184" s="4"/>
      <c r="M184" s="4" t="s">
        <v>1593</v>
      </c>
      <c r="N184" s="4" t="s">
        <v>893</v>
      </c>
      <c r="O184" s="4" t="s">
        <v>1594</v>
      </c>
      <c r="P184" s="4">
        <v>549291</v>
      </c>
      <c r="Q184" s="4">
        <v>4771039</v>
      </c>
      <c r="R184" s="91">
        <f t="shared" si="27"/>
        <v>3.5</v>
      </c>
      <c r="S184" s="7">
        <v>3.5</v>
      </c>
      <c r="T184" s="5"/>
      <c r="U184" s="6"/>
      <c r="V184" s="4"/>
      <c r="W184" s="20"/>
      <c r="X184" s="4"/>
      <c r="Y184" s="20"/>
      <c r="Z184" s="4"/>
      <c r="AA184" s="20"/>
      <c r="AB184" s="4"/>
      <c r="AC184" s="20"/>
      <c r="AD184" s="4"/>
      <c r="AE184" s="20"/>
      <c r="AF184" s="19"/>
      <c r="AG184" s="8"/>
      <c r="AH184" s="17"/>
      <c r="AI184" s="37"/>
      <c r="AJ184" s="18"/>
      <c r="AK184" s="21"/>
      <c r="AL184" s="21"/>
      <c r="AM184" s="21"/>
      <c r="AN184" s="21" t="s">
        <v>235</v>
      </c>
      <c r="AO184" s="21" t="s">
        <v>231</v>
      </c>
      <c r="AP184" s="21" t="s">
        <v>231</v>
      </c>
      <c r="AQ184" s="21" t="s">
        <v>231</v>
      </c>
      <c r="AR184" s="21" t="s">
        <v>231</v>
      </c>
      <c r="AS184" s="21" t="s">
        <v>206</v>
      </c>
      <c r="AT184" s="21" t="s">
        <v>231</v>
      </c>
      <c r="AU184" s="21" t="s">
        <v>236</v>
      </c>
      <c r="AV184" s="21" t="s">
        <v>236</v>
      </c>
      <c r="AW184" s="4" t="str">
        <f t="shared" si="22"/>
        <v>B</v>
      </c>
      <c r="AX184" s="45" t="str">
        <f t="shared" si="23"/>
        <v/>
      </c>
    </row>
    <row r="185" spans="1:50" ht="15" customHeight="1" x14ac:dyDescent="0.25">
      <c r="A185" s="46">
        <v>45885</v>
      </c>
      <c r="B185" s="46" t="s">
        <v>1596</v>
      </c>
      <c r="C185" s="46" t="s">
        <v>25</v>
      </c>
      <c r="D185" s="21" t="s">
        <v>25</v>
      </c>
      <c r="E185" s="47">
        <v>1025</v>
      </c>
      <c r="F185" s="21" t="s">
        <v>252</v>
      </c>
      <c r="G185" s="21" t="s">
        <v>1592</v>
      </c>
      <c r="H185" s="21" t="s">
        <v>310</v>
      </c>
      <c r="I185" s="21" t="s">
        <v>1597</v>
      </c>
      <c r="J185" s="4" t="s">
        <v>556</v>
      </c>
      <c r="K185" s="4"/>
      <c r="L185" s="4"/>
      <c r="M185" s="4" t="s">
        <v>1598</v>
      </c>
      <c r="N185" s="4" t="s">
        <v>1599</v>
      </c>
      <c r="O185" s="4" t="s">
        <v>1600</v>
      </c>
      <c r="P185" s="4">
        <v>550268</v>
      </c>
      <c r="Q185" s="4">
        <v>4769121</v>
      </c>
      <c r="R185" s="91">
        <f t="shared" si="27"/>
        <v>0.25</v>
      </c>
      <c r="S185" s="7">
        <v>0.25</v>
      </c>
      <c r="T185" s="5"/>
      <c r="U185" s="6"/>
      <c r="V185" s="4"/>
      <c r="W185" s="20"/>
      <c r="X185" s="4"/>
      <c r="Y185" s="20"/>
      <c r="Z185" s="4"/>
      <c r="AA185" s="20"/>
      <c r="AB185" s="4"/>
      <c r="AC185" s="20"/>
      <c r="AD185" s="4"/>
      <c r="AE185" s="20"/>
      <c r="AF185" s="19"/>
      <c r="AG185" s="8"/>
      <c r="AH185" s="17"/>
      <c r="AI185" s="37"/>
      <c r="AJ185" s="18"/>
      <c r="AK185" s="21"/>
      <c r="AL185" s="21"/>
      <c r="AM185" s="21"/>
      <c r="AN185" s="21" t="s">
        <v>235</v>
      </c>
      <c r="AO185" s="21" t="s">
        <v>231</v>
      </c>
      <c r="AP185" s="21" t="s">
        <v>231</v>
      </c>
      <c r="AQ185" s="21" t="s">
        <v>231</v>
      </c>
      <c r="AR185" s="21" t="s">
        <v>231</v>
      </c>
      <c r="AS185" s="21" t="s">
        <v>206</v>
      </c>
      <c r="AT185" s="21" t="s">
        <v>231</v>
      </c>
      <c r="AU185" s="21" t="s">
        <v>236</v>
      </c>
      <c r="AV185" s="21" t="s">
        <v>236</v>
      </c>
      <c r="AW185" s="4" t="str">
        <f t="shared" si="22"/>
        <v>A</v>
      </c>
      <c r="AX185" s="45" t="str">
        <f t="shared" si="23"/>
        <v/>
      </c>
    </row>
    <row r="186" spans="1:50" ht="15" customHeight="1" x14ac:dyDescent="0.25">
      <c r="A186" s="46">
        <v>45885</v>
      </c>
      <c r="B186" s="46" t="s">
        <v>1612</v>
      </c>
      <c r="C186" s="46" t="s">
        <v>87</v>
      </c>
      <c r="D186" s="21" t="s">
        <v>25</v>
      </c>
      <c r="E186" s="47">
        <v>1020</v>
      </c>
      <c r="F186" s="21" t="s">
        <v>252</v>
      </c>
      <c r="G186" s="21" t="s">
        <v>1611</v>
      </c>
      <c r="H186" s="21" t="s">
        <v>1610</v>
      </c>
      <c r="I186" s="21"/>
      <c r="J186" s="4" t="s">
        <v>229</v>
      </c>
      <c r="K186" s="4"/>
      <c r="L186" s="4"/>
      <c r="M186" s="4" t="s">
        <v>1613</v>
      </c>
      <c r="N186" s="4" t="s">
        <v>1614</v>
      </c>
      <c r="O186" s="4" t="s">
        <v>1615</v>
      </c>
      <c r="P186" s="4">
        <v>497352</v>
      </c>
      <c r="Q186" s="4">
        <v>4767665</v>
      </c>
      <c r="R186" s="91">
        <f t="shared" si="27"/>
        <v>2228.3000000000002</v>
      </c>
      <c r="S186" s="7">
        <v>1202.0999999999999</v>
      </c>
      <c r="T186" s="5"/>
      <c r="U186" s="6">
        <v>584.4</v>
      </c>
      <c r="V186" s="4"/>
      <c r="W186" s="20"/>
      <c r="X186" s="4"/>
      <c r="Y186" s="20"/>
      <c r="Z186" s="4"/>
      <c r="AA186" s="20"/>
      <c r="AB186" s="4"/>
      <c r="AC186" s="20"/>
      <c r="AD186" s="4"/>
      <c r="AE186" s="20">
        <v>441.8</v>
      </c>
      <c r="AF186" s="19"/>
      <c r="AG186" s="8"/>
      <c r="AH186" s="17"/>
      <c r="AI186" s="37"/>
      <c r="AJ186" s="18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4" t="str">
        <f t="shared" si="22"/>
        <v>F</v>
      </c>
      <c r="AX186" s="45" t="str">
        <f t="shared" si="23"/>
        <v/>
      </c>
    </row>
    <row r="187" spans="1:50" ht="15" customHeight="1" x14ac:dyDescent="0.25">
      <c r="A187" s="46">
        <v>45890</v>
      </c>
      <c r="B187" s="46" t="s">
        <v>416</v>
      </c>
      <c r="C187" s="46" t="s">
        <v>26</v>
      </c>
      <c r="D187" s="21" t="s">
        <v>26</v>
      </c>
      <c r="E187" s="47">
        <v>1045</v>
      </c>
      <c r="F187" s="21" t="s">
        <v>456</v>
      </c>
      <c r="G187" s="21" t="s">
        <v>1621</v>
      </c>
      <c r="H187" s="21" t="s">
        <v>1626</v>
      </c>
      <c r="I187" s="21" t="s">
        <v>1622</v>
      </c>
      <c r="J187" s="4" t="s">
        <v>556</v>
      </c>
      <c r="K187" s="4"/>
      <c r="L187" s="4"/>
      <c r="M187" s="21" t="s">
        <v>1623</v>
      </c>
      <c r="N187" s="21" t="s">
        <v>1624</v>
      </c>
      <c r="O187" s="21" t="s">
        <v>1625</v>
      </c>
      <c r="P187" s="91"/>
      <c r="Q187" s="91"/>
      <c r="R187" s="91">
        <f t="shared" si="27"/>
        <v>0.25</v>
      </c>
      <c r="S187" s="7"/>
      <c r="T187" s="5">
        <v>0.25</v>
      </c>
      <c r="U187" s="6"/>
      <c r="V187" s="4"/>
      <c r="W187" s="20"/>
      <c r="X187" s="4"/>
      <c r="Y187" s="20"/>
      <c r="Z187" s="4"/>
      <c r="AA187" s="20"/>
      <c r="AB187" s="4"/>
      <c r="AC187" s="20"/>
      <c r="AD187" s="4"/>
      <c r="AE187" s="20"/>
      <c r="AF187" s="19"/>
      <c r="AG187" s="8"/>
      <c r="AH187" s="17"/>
      <c r="AI187" s="37"/>
      <c r="AJ187" s="18"/>
      <c r="AK187" s="21"/>
      <c r="AL187" s="21"/>
      <c r="AM187" s="21"/>
      <c r="AN187" s="21" t="s">
        <v>928</v>
      </c>
      <c r="AO187" s="21" t="s">
        <v>231</v>
      </c>
      <c r="AP187" s="21" t="s">
        <v>231</v>
      </c>
      <c r="AQ187" s="21" t="s">
        <v>231</v>
      </c>
      <c r="AR187" s="21" t="s">
        <v>231</v>
      </c>
      <c r="AS187" s="21" t="s">
        <v>231</v>
      </c>
      <c r="AT187" s="21" t="s">
        <v>231</v>
      </c>
      <c r="AU187" s="21" t="s">
        <v>236</v>
      </c>
      <c r="AV187" s="21" t="s">
        <v>236</v>
      </c>
      <c r="AW187" s="4" t="str">
        <f t="shared" si="22"/>
        <v>A</v>
      </c>
      <c r="AX187" s="45" t="str">
        <f t="shared" si="23"/>
        <v/>
      </c>
    </row>
    <row r="188" spans="1:50" ht="15" customHeight="1" x14ac:dyDescent="0.25">
      <c r="A188" s="46">
        <v>45893</v>
      </c>
      <c r="B188" s="46" t="s">
        <v>1633</v>
      </c>
      <c r="C188" s="46" t="s">
        <v>25</v>
      </c>
      <c r="D188" s="21" t="s">
        <v>25</v>
      </c>
      <c r="E188" s="47">
        <v>1064</v>
      </c>
      <c r="F188" s="21" t="s">
        <v>226</v>
      </c>
      <c r="G188" s="21" t="s">
        <v>1634</v>
      </c>
      <c r="H188" s="21" t="s">
        <v>767</v>
      </c>
      <c r="I188" s="21" t="s">
        <v>1235</v>
      </c>
      <c r="J188" s="4" t="s">
        <v>229</v>
      </c>
      <c r="K188" s="4" t="s">
        <v>279</v>
      </c>
      <c r="L188" s="4" t="s">
        <v>87</v>
      </c>
      <c r="M188" s="21" t="s">
        <v>341</v>
      </c>
      <c r="N188" s="21" t="s">
        <v>1635</v>
      </c>
      <c r="O188" s="21" t="s">
        <v>1636</v>
      </c>
      <c r="P188" s="4">
        <v>516255</v>
      </c>
      <c r="Q188" s="4">
        <v>4852558</v>
      </c>
      <c r="R188" s="91">
        <f t="shared" si="27"/>
        <v>0.5</v>
      </c>
      <c r="S188" s="7">
        <v>0.5</v>
      </c>
      <c r="T188" s="5"/>
      <c r="U188" s="6"/>
      <c r="V188" s="4"/>
      <c r="W188" s="20"/>
      <c r="X188" s="4"/>
      <c r="Y188" s="20"/>
      <c r="Z188" s="4"/>
      <c r="AA188" s="20"/>
      <c r="AB188" s="4"/>
      <c r="AC188" s="20"/>
      <c r="AD188" s="4"/>
      <c r="AE188" s="20"/>
      <c r="AF188" s="19"/>
      <c r="AG188" s="8"/>
      <c r="AH188" s="17"/>
      <c r="AI188" s="37"/>
      <c r="AJ188" s="18"/>
      <c r="AK188" s="21"/>
      <c r="AL188" s="21"/>
      <c r="AM188" s="21"/>
      <c r="AN188" s="21" t="s">
        <v>235</v>
      </c>
      <c r="AO188" s="21" t="s">
        <v>231</v>
      </c>
      <c r="AP188" s="21" t="s">
        <v>231</v>
      </c>
      <c r="AQ188" s="21" t="s">
        <v>231</v>
      </c>
      <c r="AR188" s="21" t="s">
        <v>231</v>
      </c>
      <c r="AS188" s="21" t="s">
        <v>206</v>
      </c>
      <c r="AT188" s="21" t="s">
        <v>231</v>
      </c>
      <c r="AU188" s="21" t="s">
        <v>236</v>
      </c>
      <c r="AV188" s="21" t="s">
        <v>236</v>
      </c>
      <c r="AW188" s="4" t="str">
        <f t="shared" si="22"/>
        <v>B</v>
      </c>
      <c r="AX188" s="45" t="str">
        <f t="shared" si="23"/>
        <v/>
      </c>
    </row>
    <row r="189" spans="1:50" ht="15" customHeight="1" x14ac:dyDescent="0.25">
      <c r="A189" s="46">
        <v>45893</v>
      </c>
      <c r="B189" s="46" t="s">
        <v>1637</v>
      </c>
      <c r="C189" s="46" t="s">
        <v>28</v>
      </c>
      <c r="D189" s="21" t="s">
        <v>79</v>
      </c>
      <c r="E189" s="47">
        <v>1065</v>
      </c>
      <c r="F189" s="21" t="s">
        <v>28</v>
      </c>
      <c r="G189" s="21" t="s">
        <v>1638</v>
      </c>
      <c r="H189" s="21" t="s">
        <v>1639</v>
      </c>
      <c r="I189" s="21"/>
      <c r="J189" s="4" t="s">
        <v>229</v>
      </c>
      <c r="K189" s="4" t="s">
        <v>279</v>
      </c>
      <c r="L189" s="4" t="s">
        <v>87</v>
      </c>
      <c r="M189" s="21" t="s">
        <v>1463</v>
      </c>
      <c r="N189" s="21" t="s">
        <v>1640</v>
      </c>
      <c r="O189" s="21" t="s">
        <v>1641</v>
      </c>
      <c r="P189" s="91"/>
      <c r="Q189" s="91"/>
      <c r="R189" s="91">
        <f t="shared" si="27"/>
        <v>0.5</v>
      </c>
      <c r="S189" s="7"/>
      <c r="T189" s="5"/>
      <c r="U189" s="6"/>
      <c r="V189" s="4"/>
      <c r="W189" s="20"/>
      <c r="X189" s="4"/>
      <c r="Y189" s="20"/>
      <c r="Z189" s="4"/>
      <c r="AA189" s="20"/>
      <c r="AB189" s="4">
        <v>0.5</v>
      </c>
      <c r="AC189" s="20"/>
      <c r="AD189" s="4"/>
      <c r="AE189" s="20"/>
      <c r="AF189" s="19"/>
      <c r="AG189" s="8"/>
      <c r="AH189" s="17"/>
      <c r="AI189" s="37"/>
      <c r="AJ189" s="18"/>
      <c r="AK189" s="21"/>
      <c r="AL189" s="21"/>
      <c r="AM189" s="21"/>
      <c r="AN189" s="21" t="s">
        <v>235</v>
      </c>
      <c r="AO189" s="21" t="s">
        <v>206</v>
      </c>
      <c r="AP189" s="21" t="s">
        <v>231</v>
      </c>
      <c r="AQ189" s="21" t="s">
        <v>231</v>
      </c>
      <c r="AR189" s="21" t="s">
        <v>231</v>
      </c>
      <c r="AS189" s="21" t="s">
        <v>206</v>
      </c>
      <c r="AT189" s="21" t="s">
        <v>231</v>
      </c>
      <c r="AU189" s="21" t="s">
        <v>236</v>
      </c>
      <c r="AV189" s="21" t="s">
        <v>236</v>
      </c>
      <c r="AW189" s="4" t="str">
        <f t="shared" si="22"/>
        <v>B</v>
      </c>
      <c r="AX189" s="45" t="str">
        <f t="shared" si="23"/>
        <v/>
      </c>
    </row>
    <row r="190" spans="1:50" ht="15" customHeight="1" x14ac:dyDescent="0.25">
      <c r="A190" s="46">
        <v>45894</v>
      </c>
      <c r="B190" s="46" t="s">
        <v>1644</v>
      </c>
      <c r="C190" s="46" t="s">
        <v>26</v>
      </c>
      <c r="D190" s="21" t="s">
        <v>620</v>
      </c>
      <c r="E190" s="47">
        <v>1068</v>
      </c>
      <c r="F190" s="21" t="s">
        <v>381</v>
      </c>
      <c r="G190" s="21" t="s">
        <v>1642</v>
      </c>
      <c r="H190" s="21" t="s">
        <v>575</v>
      </c>
      <c r="I190" s="21" t="s">
        <v>1645</v>
      </c>
      <c r="J190" s="4" t="s">
        <v>229</v>
      </c>
      <c r="K190" s="4" t="s">
        <v>487</v>
      </c>
      <c r="L190" s="4" t="s">
        <v>87</v>
      </c>
      <c r="M190" s="21" t="s">
        <v>1646</v>
      </c>
      <c r="N190" s="21" t="s">
        <v>1647</v>
      </c>
      <c r="O190" s="21" t="s">
        <v>1648</v>
      </c>
      <c r="P190" s="91"/>
      <c r="Q190" s="91"/>
      <c r="R190" s="91">
        <f t="shared" si="27"/>
        <v>0.1</v>
      </c>
      <c r="S190" s="7"/>
      <c r="T190" s="5"/>
      <c r="U190" s="6"/>
      <c r="V190" s="4"/>
      <c r="W190" s="20"/>
      <c r="X190" s="4"/>
      <c r="Y190" s="20"/>
      <c r="Z190" s="4"/>
      <c r="AA190" s="20"/>
      <c r="AB190" s="4"/>
      <c r="AC190" s="20"/>
      <c r="AD190" s="4"/>
      <c r="AE190" s="20"/>
      <c r="AF190" s="19"/>
      <c r="AG190" s="8"/>
      <c r="AH190" s="17"/>
      <c r="AI190" s="37">
        <v>0.1</v>
      </c>
      <c r="AJ190" s="18"/>
      <c r="AK190" s="21"/>
      <c r="AL190" s="21"/>
      <c r="AM190" s="21"/>
      <c r="AN190" s="21" t="s">
        <v>235</v>
      </c>
      <c r="AO190" s="21" t="s">
        <v>231</v>
      </c>
      <c r="AP190" s="21" t="s">
        <v>231</v>
      </c>
      <c r="AQ190" s="21" t="s">
        <v>231</v>
      </c>
      <c r="AR190" s="21" t="s">
        <v>231</v>
      </c>
      <c r="AS190" s="21" t="s">
        <v>206</v>
      </c>
      <c r="AT190" s="21" t="s">
        <v>231</v>
      </c>
      <c r="AU190" s="21" t="s">
        <v>236</v>
      </c>
      <c r="AV190" s="21" t="s">
        <v>236</v>
      </c>
      <c r="AW190" s="4" t="str">
        <f t="shared" ref="AW190:AW214" si="28">IF(R190&gt;4999.9,"G",IF(R190&gt;999.9,"F",IF(R190&gt;299.9,"E",IF(R190&gt;99.9,"D",IF(R190&gt;9.9,"C",IF(R190&gt;0.25,"B",IF(R190&gt;0,"A","")))))))</f>
        <v>A</v>
      </c>
      <c r="AX190" s="45" t="str">
        <f t="shared" ref="AX190:AX214" si="29">IF(AND(AV190="Y",AND(T190&gt;0, T190&lt;300)),"Y","")</f>
        <v/>
      </c>
    </row>
    <row r="191" spans="1:50" ht="15" customHeight="1" x14ac:dyDescent="0.25">
      <c r="A191" s="46">
        <v>45894</v>
      </c>
      <c r="B191" s="46" t="s">
        <v>1649</v>
      </c>
      <c r="C191" s="46" t="s">
        <v>25</v>
      </c>
      <c r="D191" s="21" t="s">
        <v>25</v>
      </c>
      <c r="E191" s="47">
        <v>1069</v>
      </c>
      <c r="F191" s="21" t="s">
        <v>1119</v>
      </c>
      <c r="G191" s="21" t="s">
        <v>1643</v>
      </c>
      <c r="H191" s="21" t="s">
        <v>392</v>
      </c>
      <c r="I191" s="21" t="s">
        <v>1650</v>
      </c>
      <c r="J191" s="4" t="s">
        <v>229</v>
      </c>
      <c r="K191" s="4" t="s">
        <v>621</v>
      </c>
      <c r="L191" s="4" t="s">
        <v>313</v>
      </c>
      <c r="M191" s="21" t="s">
        <v>1651</v>
      </c>
      <c r="N191" s="21" t="s">
        <v>1652</v>
      </c>
      <c r="O191" s="21" t="s">
        <v>1653</v>
      </c>
      <c r="P191" s="4">
        <v>594347</v>
      </c>
      <c r="Q191" s="4">
        <v>4747446</v>
      </c>
      <c r="R191" s="91">
        <f t="shared" si="27"/>
        <v>1</v>
      </c>
      <c r="S191" s="7">
        <v>1</v>
      </c>
      <c r="T191" s="5"/>
      <c r="U191" s="6"/>
      <c r="V191" s="4"/>
      <c r="W191" s="20"/>
      <c r="X191" s="4"/>
      <c r="Y191" s="20"/>
      <c r="Z191" s="4"/>
      <c r="AA191" s="20"/>
      <c r="AB191" s="4"/>
      <c r="AC191" s="20"/>
      <c r="AD191" s="4"/>
      <c r="AE191" s="20"/>
      <c r="AF191" s="19"/>
      <c r="AG191" s="8"/>
      <c r="AH191" s="17"/>
      <c r="AI191" s="37"/>
      <c r="AJ191" s="18"/>
      <c r="AK191" s="21"/>
      <c r="AL191" s="21"/>
      <c r="AM191" s="21"/>
      <c r="AN191" s="21" t="s">
        <v>235</v>
      </c>
      <c r="AO191" s="21" t="s">
        <v>231</v>
      </c>
      <c r="AP191" s="21" t="s">
        <v>231</v>
      </c>
      <c r="AQ191" s="21" t="s">
        <v>231</v>
      </c>
      <c r="AR191" s="21" t="s">
        <v>231</v>
      </c>
      <c r="AS191" s="21" t="s">
        <v>206</v>
      </c>
      <c r="AT191" s="21" t="s">
        <v>231</v>
      </c>
      <c r="AU191" s="21" t="s">
        <v>236</v>
      </c>
      <c r="AV191" s="21" t="s">
        <v>236</v>
      </c>
      <c r="AW191" s="4" t="str">
        <f t="shared" si="28"/>
        <v>B</v>
      </c>
      <c r="AX191" s="45" t="str">
        <f t="shared" si="29"/>
        <v/>
      </c>
    </row>
    <row r="192" spans="1:50" ht="15" customHeight="1" x14ac:dyDescent="0.25">
      <c r="A192" s="46">
        <v>45895</v>
      </c>
      <c r="B192" s="46" t="s">
        <v>416</v>
      </c>
      <c r="C192" s="46" t="s">
        <v>26</v>
      </c>
      <c r="D192" s="21" t="s">
        <v>26</v>
      </c>
      <c r="E192" s="47">
        <v>1072</v>
      </c>
      <c r="F192" s="21" t="s">
        <v>412</v>
      </c>
      <c r="G192" s="21" t="s">
        <v>1654</v>
      </c>
      <c r="H192" s="21" t="s">
        <v>1240</v>
      </c>
      <c r="I192" s="21" t="s">
        <v>1655</v>
      </c>
      <c r="J192" s="4" t="s">
        <v>556</v>
      </c>
      <c r="K192" s="4"/>
      <c r="L192" s="4"/>
      <c r="M192" s="21" t="s">
        <v>1656</v>
      </c>
      <c r="N192" s="21" t="s">
        <v>1657</v>
      </c>
      <c r="O192" s="21" t="s">
        <v>1245</v>
      </c>
      <c r="P192" s="91"/>
      <c r="Q192" s="91"/>
      <c r="R192" s="91">
        <f t="shared" ref="R192:R213" si="30">SUM(S192:AJ192)</f>
        <v>0.1</v>
      </c>
      <c r="S192" s="7"/>
      <c r="T192" s="5">
        <v>0.1</v>
      </c>
      <c r="U192" s="6"/>
      <c r="V192" s="4"/>
      <c r="W192" s="20"/>
      <c r="X192" s="4"/>
      <c r="Y192" s="20"/>
      <c r="Z192" s="4"/>
      <c r="AA192" s="20"/>
      <c r="AB192" s="4"/>
      <c r="AC192" s="20"/>
      <c r="AD192" s="4"/>
      <c r="AE192" s="20"/>
      <c r="AF192" s="19"/>
      <c r="AG192" s="8"/>
      <c r="AH192" s="17"/>
      <c r="AI192" s="37"/>
      <c r="AJ192" s="18"/>
      <c r="AK192" s="21"/>
      <c r="AL192" s="21"/>
      <c r="AM192" s="21"/>
      <c r="AN192" s="21" t="s">
        <v>235</v>
      </c>
      <c r="AO192" s="21" t="s">
        <v>231</v>
      </c>
      <c r="AP192" s="21" t="s">
        <v>231</v>
      </c>
      <c r="AQ192" s="21" t="s">
        <v>231</v>
      </c>
      <c r="AR192" s="21" t="s">
        <v>231</v>
      </c>
      <c r="AS192" s="21" t="s">
        <v>206</v>
      </c>
      <c r="AT192" s="21" t="s">
        <v>231</v>
      </c>
      <c r="AU192" s="21" t="s">
        <v>236</v>
      </c>
      <c r="AV192" s="21" t="s">
        <v>236</v>
      </c>
      <c r="AW192" s="4" t="str">
        <f t="shared" ref="AW192:AW213" si="31">IF(R192&gt;4999.9,"G",IF(R192&gt;999.9,"F",IF(R192&gt;299.9,"E",IF(R192&gt;99.9,"D",IF(R192&gt;9.9,"C",IF(R192&gt;0.25,"B",IF(R192&gt;0,"A","")))))))</f>
        <v>A</v>
      </c>
      <c r="AX192" s="45" t="str">
        <f t="shared" ref="AX192:AX213" si="32">IF(AND(AV192="Y",AND(T192&gt;0, T192&lt;300)),"Y","")</f>
        <v/>
      </c>
    </row>
    <row r="193" spans="1:50" ht="15" customHeight="1" x14ac:dyDescent="0.25">
      <c r="A193" s="46">
        <v>45897</v>
      </c>
      <c r="B193" s="46" t="s">
        <v>1658</v>
      </c>
      <c r="C193" s="46" t="s">
        <v>25</v>
      </c>
      <c r="D193" s="21" t="s">
        <v>25</v>
      </c>
      <c r="E193" s="47">
        <v>1079</v>
      </c>
      <c r="F193" s="21" t="s">
        <v>252</v>
      </c>
      <c r="G193" s="21" t="s">
        <v>1659</v>
      </c>
      <c r="H193" s="21" t="s">
        <v>1660</v>
      </c>
      <c r="I193" s="21" t="s">
        <v>1661</v>
      </c>
      <c r="J193" s="4" t="s">
        <v>556</v>
      </c>
      <c r="K193" s="4"/>
      <c r="L193" s="4"/>
      <c r="M193" s="21" t="s">
        <v>1662</v>
      </c>
      <c r="N193" s="21" t="s">
        <v>1663</v>
      </c>
      <c r="O193" s="21" t="s">
        <v>1664</v>
      </c>
      <c r="P193" s="91"/>
      <c r="Q193" s="91"/>
      <c r="R193" s="91">
        <f t="shared" si="30"/>
        <v>0.1</v>
      </c>
      <c r="S193" s="7">
        <v>0.1</v>
      </c>
      <c r="T193" s="5"/>
      <c r="U193" s="6"/>
      <c r="V193" s="4"/>
      <c r="W193" s="20"/>
      <c r="X193" s="4"/>
      <c r="Y193" s="20"/>
      <c r="Z193" s="4"/>
      <c r="AA193" s="20"/>
      <c r="AB193" s="4"/>
      <c r="AC193" s="20"/>
      <c r="AD193" s="4"/>
      <c r="AE193" s="20"/>
      <c r="AF193" s="19"/>
      <c r="AG193" s="8"/>
      <c r="AH193" s="17"/>
      <c r="AI193" s="37"/>
      <c r="AJ193" s="18"/>
      <c r="AK193" s="21"/>
      <c r="AL193" s="21" t="s">
        <v>218</v>
      </c>
      <c r="AM193" s="21"/>
      <c r="AN193" s="21" t="s">
        <v>27</v>
      </c>
      <c r="AO193" s="21" t="s">
        <v>231</v>
      </c>
      <c r="AP193" s="21" t="s">
        <v>231</v>
      </c>
      <c r="AQ193" s="21" t="s">
        <v>231</v>
      </c>
      <c r="AR193" s="21" t="s">
        <v>206</v>
      </c>
      <c r="AS193" s="21" t="s">
        <v>231</v>
      </c>
      <c r="AT193" s="21" t="s">
        <v>231</v>
      </c>
      <c r="AU193" s="21" t="s">
        <v>236</v>
      </c>
      <c r="AV193" s="21" t="s">
        <v>236</v>
      </c>
      <c r="AW193" s="4" t="str">
        <f t="shared" si="31"/>
        <v>A</v>
      </c>
      <c r="AX193" s="45" t="str">
        <f t="shared" si="32"/>
        <v/>
      </c>
    </row>
    <row r="194" spans="1:50" ht="15" customHeight="1" x14ac:dyDescent="0.25">
      <c r="A194" s="46">
        <v>45900</v>
      </c>
      <c r="B194" s="46" t="s">
        <v>1672</v>
      </c>
      <c r="C194" s="46" t="s">
        <v>25</v>
      </c>
      <c r="D194" s="21" t="s">
        <v>25</v>
      </c>
      <c r="E194" s="47">
        <v>1093</v>
      </c>
      <c r="F194" s="21" t="s">
        <v>252</v>
      </c>
      <c r="G194" s="21" t="s">
        <v>1668</v>
      </c>
      <c r="H194" s="21" t="s">
        <v>811</v>
      </c>
      <c r="I194" s="21"/>
      <c r="J194" s="4" t="s">
        <v>229</v>
      </c>
      <c r="K194" s="4" t="s">
        <v>317</v>
      </c>
      <c r="L194" s="4" t="s">
        <v>87</v>
      </c>
      <c r="M194" s="21" t="s">
        <v>1669</v>
      </c>
      <c r="N194" s="21" t="s">
        <v>1670</v>
      </c>
      <c r="O194" s="21" t="s">
        <v>1671</v>
      </c>
      <c r="P194" s="4">
        <v>503054</v>
      </c>
      <c r="Q194" s="4">
        <v>4818429</v>
      </c>
      <c r="R194" s="91">
        <f t="shared" si="30"/>
        <v>77.599999999999994</v>
      </c>
      <c r="S194" s="7">
        <v>72.099999999999994</v>
      </c>
      <c r="T194" s="5"/>
      <c r="U194" s="6"/>
      <c r="V194" s="4"/>
      <c r="W194" s="20"/>
      <c r="X194" s="4"/>
      <c r="Y194" s="20"/>
      <c r="Z194" s="4"/>
      <c r="AA194" s="20"/>
      <c r="AB194" s="4"/>
      <c r="AC194" s="20"/>
      <c r="AD194" s="4"/>
      <c r="AE194" s="20">
        <v>5.5</v>
      </c>
      <c r="AF194" s="19"/>
      <c r="AG194" s="8"/>
      <c r="AH194" s="17"/>
      <c r="AI194" s="37"/>
      <c r="AJ194" s="18"/>
      <c r="AK194" s="21"/>
      <c r="AL194" s="21"/>
      <c r="AM194" s="21"/>
      <c r="AN194" s="21" t="s">
        <v>235</v>
      </c>
      <c r="AO194" s="21" t="s">
        <v>206</v>
      </c>
      <c r="AP194" s="21" t="s">
        <v>206</v>
      </c>
      <c r="AQ194" s="21" t="s">
        <v>231</v>
      </c>
      <c r="AR194" s="21" t="s">
        <v>231</v>
      </c>
      <c r="AS194" s="21" t="s">
        <v>206</v>
      </c>
      <c r="AT194" s="21" t="s">
        <v>231</v>
      </c>
      <c r="AU194" s="21" t="s">
        <v>206</v>
      </c>
      <c r="AV194" s="21" t="s">
        <v>206</v>
      </c>
      <c r="AW194" s="4" t="str">
        <f t="shared" si="31"/>
        <v>C</v>
      </c>
      <c r="AX194" s="45" t="str">
        <f t="shared" si="32"/>
        <v/>
      </c>
    </row>
    <row r="195" spans="1:50" ht="15" customHeight="1" x14ac:dyDescent="0.25">
      <c r="A195" s="46">
        <v>45901</v>
      </c>
      <c r="B195" s="46" t="s">
        <v>1676</v>
      </c>
      <c r="C195" s="46" t="s">
        <v>25</v>
      </c>
      <c r="D195" s="21" t="s">
        <v>25</v>
      </c>
      <c r="E195" s="47">
        <v>1095</v>
      </c>
      <c r="F195" s="21" t="s">
        <v>269</v>
      </c>
      <c r="G195" s="21" t="s">
        <v>1677</v>
      </c>
      <c r="H195" s="21" t="s">
        <v>811</v>
      </c>
      <c r="I195" s="21"/>
      <c r="J195" s="4" t="s">
        <v>229</v>
      </c>
      <c r="K195" s="4" t="s">
        <v>317</v>
      </c>
      <c r="L195" s="4" t="s">
        <v>87</v>
      </c>
      <c r="M195" s="21" t="s">
        <v>1678</v>
      </c>
      <c r="N195" s="21" t="s">
        <v>1373</v>
      </c>
      <c r="O195" s="21" t="s">
        <v>1679</v>
      </c>
      <c r="P195" s="4">
        <v>560290</v>
      </c>
      <c r="Q195" s="4">
        <v>4799279</v>
      </c>
      <c r="R195" s="91">
        <f t="shared" si="30"/>
        <v>67</v>
      </c>
      <c r="S195" s="7">
        <v>67</v>
      </c>
      <c r="T195" s="5"/>
      <c r="U195" s="6"/>
      <c r="V195" s="4"/>
      <c r="W195" s="20"/>
      <c r="X195" s="4"/>
      <c r="Y195" s="20"/>
      <c r="Z195" s="4"/>
      <c r="AA195" s="20"/>
      <c r="AB195" s="4"/>
      <c r="AC195" s="20"/>
      <c r="AD195" s="4"/>
      <c r="AE195" s="20"/>
      <c r="AF195" s="19"/>
      <c r="AG195" s="8"/>
      <c r="AH195" s="17"/>
      <c r="AI195" s="37"/>
      <c r="AJ195" s="18"/>
      <c r="AK195" s="21"/>
      <c r="AL195" s="21"/>
      <c r="AM195" s="21"/>
      <c r="AN195" s="21" t="s">
        <v>235</v>
      </c>
      <c r="AO195" s="21" t="s">
        <v>231</v>
      </c>
      <c r="AP195" s="21" t="s">
        <v>231</v>
      </c>
      <c r="AQ195" s="21" t="s">
        <v>231</v>
      </c>
      <c r="AR195" s="21" t="s">
        <v>231</v>
      </c>
      <c r="AS195" s="21" t="s">
        <v>231</v>
      </c>
      <c r="AT195" s="21" t="s">
        <v>231</v>
      </c>
      <c r="AU195" s="21" t="s">
        <v>206</v>
      </c>
      <c r="AV195" s="21" t="s">
        <v>236</v>
      </c>
      <c r="AW195" s="4" t="str">
        <f t="shared" si="31"/>
        <v>C</v>
      </c>
      <c r="AX195" s="45" t="str">
        <f t="shared" si="32"/>
        <v/>
      </c>
    </row>
    <row r="196" spans="1:50" ht="15" customHeight="1" x14ac:dyDescent="0.25">
      <c r="A196" s="46">
        <v>45901</v>
      </c>
      <c r="B196" s="46" t="s">
        <v>1681</v>
      </c>
      <c r="C196" s="46" t="s">
        <v>25</v>
      </c>
      <c r="D196" s="21" t="s">
        <v>76</v>
      </c>
      <c r="E196" s="47">
        <v>1100</v>
      </c>
      <c r="F196" s="21" t="s">
        <v>226</v>
      </c>
      <c r="G196" s="21" t="s">
        <v>1680</v>
      </c>
      <c r="H196" s="21" t="s">
        <v>1682</v>
      </c>
      <c r="I196" s="21"/>
      <c r="J196" s="4" t="s">
        <v>229</v>
      </c>
      <c r="K196" s="4" t="s">
        <v>242</v>
      </c>
      <c r="L196" s="4" t="s">
        <v>87</v>
      </c>
      <c r="M196" s="21" t="s">
        <v>1500</v>
      </c>
      <c r="N196" s="21" t="s">
        <v>1683</v>
      </c>
      <c r="O196" s="21" t="s">
        <v>1684</v>
      </c>
      <c r="P196" s="4">
        <v>590206</v>
      </c>
      <c r="Q196" s="4">
        <v>4792934</v>
      </c>
      <c r="R196" s="91">
        <f t="shared" si="30"/>
        <v>29</v>
      </c>
      <c r="S196" s="7">
        <v>13</v>
      </c>
      <c r="T196" s="5"/>
      <c r="U196" s="6"/>
      <c r="V196" s="4"/>
      <c r="W196" s="20"/>
      <c r="X196" s="4"/>
      <c r="Y196" s="20"/>
      <c r="Z196" s="4"/>
      <c r="AA196" s="20"/>
      <c r="AB196" s="4"/>
      <c r="AC196" s="20"/>
      <c r="AD196" s="4">
        <v>16</v>
      </c>
      <c r="AE196" s="20"/>
      <c r="AF196" s="19"/>
      <c r="AG196" s="8"/>
      <c r="AH196" s="17"/>
      <c r="AI196" s="37"/>
      <c r="AJ196" s="18"/>
      <c r="AK196" s="21"/>
      <c r="AL196" s="21" t="s">
        <v>218</v>
      </c>
      <c r="AM196" s="21"/>
      <c r="AN196" s="21" t="s">
        <v>235</v>
      </c>
      <c r="AO196" s="21" t="s">
        <v>231</v>
      </c>
      <c r="AP196" s="21" t="s">
        <v>231</v>
      </c>
      <c r="AQ196" s="21" t="s">
        <v>206</v>
      </c>
      <c r="AR196" s="21" t="s">
        <v>231</v>
      </c>
      <c r="AS196" s="21" t="s">
        <v>231</v>
      </c>
      <c r="AT196" s="21" t="s">
        <v>231</v>
      </c>
      <c r="AU196" s="21" t="s">
        <v>236</v>
      </c>
      <c r="AV196" s="21" t="s">
        <v>236</v>
      </c>
      <c r="AW196" s="4" t="str">
        <f t="shared" si="31"/>
        <v>C</v>
      </c>
      <c r="AX196" s="45" t="str">
        <f t="shared" si="32"/>
        <v/>
      </c>
    </row>
    <row r="197" spans="1:50" ht="15" customHeight="1" x14ac:dyDescent="0.25">
      <c r="A197" s="46">
        <v>45905</v>
      </c>
      <c r="B197" s="46" t="s">
        <v>416</v>
      </c>
      <c r="C197" s="46" t="s">
        <v>26</v>
      </c>
      <c r="D197" s="21" t="s">
        <v>26</v>
      </c>
      <c r="E197" s="47">
        <v>1121</v>
      </c>
      <c r="F197" s="21" t="s">
        <v>412</v>
      </c>
      <c r="G197" s="21" t="s">
        <v>1688</v>
      </c>
      <c r="H197" s="21" t="s">
        <v>1689</v>
      </c>
      <c r="I197" s="21" t="s">
        <v>1066</v>
      </c>
      <c r="J197" s="4" t="s">
        <v>556</v>
      </c>
      <c r="K197" s="4"/>
      <c r="L197" s="4"/>
      <c r="M197" s="21" t="s">
        <v>1690</v>
      </c>
      <c r="N197" s="21" t="s">
        <v>1691</v>
      </c>
      <c r="O197" s="21" t="s">
        <v>1692</v>
      </c>
      <c r="P197" s="91"/>
      <c r="Q197" s="91"/>
      <c r="R197" s="91">
        <f t="shared" si="30"/>
        <v>2</v>
      </c>
      <c r="S197" s="7"/>
      <c r="T197" s="5">
        <v>2</v>
      </c>
      <c r="U197" s="6"/>
      <c r="V197" s="4"/>
      <c r="W197" s="20"/>
      <c r="X197" s="4"/>
      <c r="Y197" s="20"/>
      <c r="Z197" s="4"/>
      <c r="AA197" s="20"/>
      <c r="AB197" s="4"/>
      <c r="AC197" s="20"/>
      <c r="AD197" s="4"/>
      <c r="AE197" s="20"/>
      <c r="AF197" s="19"/>
      <c r="AG197" s="8"/>
      <c r="AH197" s="17"/>
      <c r="AI197" s="37"/>
      <c r="AJ197" s="18"/>
      <c r="AK197" s="21"/>
      <c r="AL197" s="21"/>
      <c r="AM197" s="21"/>
      <c r="AN197" s="21" t="s">
        <v>27</v>
      </c>
      <c r="AO197" s="21" t="s">
        <v>231</v>
      </c>
      <c r="AP197" s="21" t="s">
        <v>231</v>
      </c>
      <c r="AQ197" s="21" t="s">
        <v>231</v>
      </c>
      <c r="AR197" s="21" t="s">
        <v>231</v>
      </c>
      <c r="AS197" s="21" t="s">
        <v>231</v>
      </c>
      <c r="AT197" s="21" t="s">
        <v>231</v>
      </c>
      <c r="AU197" s="21" t="s">
        <v>236</v>
      </c>
      <c r="AV197" s="21" t="s">
        <v>236</v>
      </c>
      <c r="AW197" s="4" t="str">
        <f t="shared" si="31"/>
        <v>B</v>
      </c>
      <c r="AX197" s="45" t="str">
        <f t="shared" si="32"/>
        <v/>
      </c>
    </row>
    <row r="198" spans="1:50" ht="15" customHeight="1" x14ac:dyDescent="0.25">
      <c r="A198" s="46">
        <v>45911</v>
      </c>
      <c r="B198" s="46" t="s">
        <v>416</v>
      </c>
      <c r="C198" s="46" t="s">
        <v>26</v>
      </c>
      <c r="D198" s="21" t="s">
        <v>26</v>
      </c>
      <c r="E198" s="47">
        <v>1136</v>
      </c>
      <c r="F198" s="21" t="s">
        <v>456</v>
      </c>
      <c r="G198" s="21" t="s">
        <v>1700</v>
      </c>
      <c r="H198" s="21" t="s">
        <v>1189</v>
      </c>
      <c r="I198" s="21"/>
      <c r="J198" s="4" t="s">
        <v>556</v>
      </c>
      <c r="K198" s="4"/>
      <c r="L198" s="4"/>
      <c r="M198" s="21" t="s">
        <v>1699</v>
      </c>
      <c r="N198" s="21" t="s">
        <v>1701</v>
      </c>
      <c r="O198" s="21" t="s">
        <v>1702</v>
      </c>
      <c r="P198" s="91"/>
      <c r="Q198" s="91"/>
      <c r="R198" s="91">
        <f t="shared" si="30"/>
        <v>0.1</v>
      </c>
      <c r="S198" s="7"/>
      <c r="T198" s="5">
        <v>0.1</v>
      </c>
      <c r="U198" s="6"/>
      <c r="V198" s="4"/>
      <c r="W198" s="20"/>
      <c r="X198" s="4"/>
      <c r="Y198" s="20"/>
      <c r="Z198" s="4"/>
      <c r="AA198" s="20"/>
      <c r="AB198" s="4"/>
      <c r="AC198" s="20"/>
      <c r="AD198" s="4"/>
      <c r="AE198" s="20"/>
      <c r="AF198" s="19"/>
      <c r="AG198" s="8"/>
      <c r="AH198" s="17"/>
      <c r="AI198" s="37"/>
      <c r="AJ198" s="18"/>
      <c r="AK198" s="21"/>
      <c r="AL198" s="21"/>
      <c r="AM198" s="21"/>
      <c r="AN198" s="21" t="s">
        <v>132</v>
      </c>
      <c r="AO198" s="21" t="s">
        <v>231</v>
      </c>
      <c r="AP198" s="21" t="s">
        <v>231</v>
      </c>
      <c r="AQ198" s="21" t="s">
        <v>231</v>
      </c>
      <c r="AR198" s="21" t="s">
        <v>231</v>
      </c>
      <c r="AS198" s="21" t="s">
        <v>231</v>
      </c>
      <c r="AT198" s="21" t="s">
        <v>231</v>
      </c>
      <c r="AU198" s="21" t="s">
        <v>236</v>
      </c>
      <c r="AV198" s="21" t="s">
        <v>236</v>
      </c>
      <c r="AW198" s="4" t="str">
        <f t="shared" si="31"/>
        <v>A</v>
      </c>
      <c r="AX198" s="45" t="str">
        <f t="shared" si="32"/>
        <v/>
      </c>
    </row>
    <row r="199" spans="1:50" ht="15" customHeight="1" x14ac:dyDescent="0.25">
      <c r="A199" s="46">
        <v>45912</v>
      </c>
      <c r="B199" s="46" t="s">
        <v>416</v>
      </c>
      <c r="C199" s="46" t="s">
        <v>26</v>
      </c>
      <c r="D199" s="21" t="s">
        <v>26</v>
      </c>
      <c r="E199" s="47">
        <v>1138</v>
      </c>
      <c r="F199" s="21" t="s">
        <v>327</v>
      </c>
      <c r="G199" s="21" t="s">
        <v>1703</v>
      </c>
      <c r="H199" s="21" t="s">
        <v>1708</v>
      </c>
      <c r="I199" s="21" t="s">
        <v>1705</v>
      </c>
      <c r="J199" s="4" t="s">
        <v>556</v>
      </c>
      <c r="K199" s="4"/>
      <c r="L199" s="4"/>
      <c r="M199" s="21" t="s">
        <v>1704</v>
      </c>
      <c r="N199" s="21" t="s">
        <v>1706</v>
      </c>
      <c r="O199" s="21" t="s">
        <v>1707</v>
      </c>
      <c r="P199" s="91"/>
      <c r="Q199" s="91"/>
      <c r="R199" s="91">
        <f t="shared" si="30"/>
        <v>0.1</v>
      </c>
      <c r="S199" s="7"/>
      <c r="T199" s="5">
        <v>0.1</v>
      </c>
      <c r="U199" s="6"/>
      <c r="V199" s="4"/>
      <c r="W199" s="20"/>
      <c r="X199" s="4"/>
      <c r="Y199" s="20"/>
      <c r="Z199" s="4"/>
      <c r="AA199" s="20"/>
      <c r="AB199" s="4"/>
      <c r="AC199" s="20"/>
      <c r="AD199" s="4"/>
      <c r="AE199" s="20"/>
      <c r="AF199" s="19"/>
      <c r="AG199" s="8"/>
      <c r="AH199" s="17"/>
      <c r="AI199" s="37"/>
      <c r="AJ199" s="18"/>
      <c r="AK199" s="21"/>
      <c r="AL199" s="21"/>
      <c r="AM199" s="21"/>
      <c r="AN199" s="21" t="s">
        <v>928</v>
      </c>
      <c r="AO199" s="21" t="s">
        <v>231</v>
      </c>
      <c r="AP199" s="21" t="s">
        <v>231</v>
      </c>
      <c r="AQ199" s="21" t="s">
        <v>231</v>
      </c>
      <c r="AR199" s="21" t="s">
        <v>231</v>
      </c>
      <c r="AS199" s="21" t="s">
        <v>231</v>
      </c>
      <c r="AT199" s="21" t="s">
        <v>231</v>
      </c>
      <c r="AU199" s="21" t="s">
        <v>236</v>
      </c>
      <c r="AV199" s="21" t="s">
        <v>236</v>
      </c>
      <c r="AW199" s="4" t="str">
        <f t="shared" si="31"/>
        <v>A</v>
      </c>
      <c r="AX199" s="45" t="str">
        <f t="shared" si="32"/>
        <v/>
      </c>
    </row>
    <row r="200" spans="1:50" ht="15" customHeight="1" x14ac:dyDescent="0.25">
      <c r="A200" s="46">
        <v>45915</v>
      </c>
      <c r="B200" s="46" t="s">
        <v>1716</v>
      </c>
      <c r="C200" s="46" t="s">
        <v>25</v>
      </c>
      <c r="D200" s="21" t="s">
        <v>25</v>
      </c>
      <c r="E200" s="47">
        <v>1144</v>
      </c>
      <c r="F200" s="21" t="s">
        <v>269</v>
      </c>
      <c r="G200" s="21" t="s">
        <v>1715</v>
      </c>
      <c r="H200" s="21" t="s">
        <v>392</v>
      </c>
      <c r="I200" s="21"/>
      <c r="J200" s="4" t="s">
        <v>229</v>
      </c>
      <c r="K200" s="4" t="s">
        <v>311</v>
      </c>
      <c r="L200" s="4" t="s">
        <v>313</v>
      </c>
      <c r="M200" s="21" t="s">
        <v>1056</v>
      </c>
      <c r="N200" s="21" t="s">
        <v>1717</v>
      </c>
      <c r="O200" s="21" t="s">
        <v>1718</v>
      </c>
      <c r="P200" s="4">
        <v>619950</v>
      </c>
      <c r="Q200" s="4">
        <v>4758396</v>
      </c>
      <c r="R200" s="91">
        <f t="shared" si="30"/>
        <v>76.599999999999994</v>
      </c>
      <c r="S200" s="7">
        <v>76.599999999999994</v>
      </c>
      <c r="T200" s="5"/>
      <c r="U200" s="6"/>
      <c r="V200" s="4"/>
      <c r="W200" s="20"/>
      <c r="X200" s="4"/>
      <c r="Y200" s="20"/>
      <c r="Z200" s="4"/>
      <c r="AA200" s="20"/>
      <c r="AB200" s="4"/>
      <c r="AC200" s="20"/>
      <c r="AD200" s="4"/>
      <c r="AE200" s="20"/>
      <c r="AF200" s="19"/>
      <c r="AG200" s="8"/>
      <c r="AH200" s="17"/>
      <c r="AI200" s="37"/>
      <c r="AJ200" s="18"/>
      <c r="AK200" s="21"/>
      <c r="AL200" s="21"/>
      <c r="AM200" s="21"/>
      <c r="AN200" s="21" t="s">
        <v>516</v>
      </c>
      <c r="AO200" s="21" t="s">
        <v>206</v>
      </c>
      <c r="AP200" s="21" t="s">
        <v>231</v>
      </c>
      <c r="AQ200" s="21" t="s">
        <v>231</v>
      </c>
      <c r="AR200" s="21" t="s">
        <v>231</v>
      </c>
      <c r="AS200" s="21" t="s">
        <v>206</v>
      </c>
      <c r="AT200" s="21" t="s">
        <v>231</v>
      </c>
      <c r="AU200" s="21" t="s">
        <v>206</v>
      </c>
      <c r="AV200" s="21" t="s">
        <v>236</v>
      </c>
      <c r="AW200" s="4" t="str">
        <f t="shared" si="31"/>
        <v>C</v>
      </c>
      <c r="AX200" s="45" t="str">
        <f t="shared" si="32"/>
        <v/>
      </c>
    </row>
    <row r="201" spans="1:50" ht="15" customHeight="1" x14ac:dyDescent="0.25">
      <c r="A201" s="46">
        <v>45916</v>
      </c>
      <c r="B201" s="46" t="s">
        <v>1724</v>
      </c>
      <c r="C201" s="46" t="s">
        <v>25</v>
      </c>
      <c r="D201" s="21" t="s">
        <v>76</v>
      </c>
      <c r="E201" s="47">
        <v>1147</v>
      </c>
      <c r="F201" s="21" t="s">
        <v>226</v>
      </c>
      <c r="G201" s="21" t="s">
        <v>1725</v>
      </c>
      <c r="H201" s="21" t="s">
        <v>795</v>
      </c>
      <c r="I201" s="21" t="s">
        <v>636</v>
      </c>
      <c r="J201" s="4" t="s">
        <v>229</v>
      </c>
      <c r="K201" s="4" t="s">
        <v>279</v>
      </c>
      <c r="L201" s="4" t="s">
        <v>87</v>
      </c>
      <c r="M201" s="21" t="s">
        <v>1726</v>
      </c>
      <c r="N201" s="21" t="s">
        <v>2101</v>
      </c>
      <c r="O201" s="21" t="s">
        <v>2102</v>
      </c>
      <c r="P201" s="4">
        <v>585164</v>
      </c>
      <c r="Q201" s="4">
        <v>4791633</v>
      </c>
      <c r="R201" s="91">
        <f t="shared" si="30"/>
        <v>27.5</v>
      </c>
      <c r="S201" s="7"/>
      <c r="T201" s="5"/>
      <c r="U201" s="6"/>
      <c r="V201" s="4"/>
      <c r="W201" s="20"/>
      <c r="X201" s="4"/>
      <c r="Y201" s="20"/>
      <c r="Z201" s="4"/>
      <c r="AA201" s="20"/>
      <c r="AB201" s="4"/>
      <c r="AC201" s="20"/>
      <c r="AD201" s="4">
        <v>27.5</v>
      </c>
      <c r="AE201" s="20"/>
      <c r="AF201" s="19"/>
      <c r="AG201" s="8"/>
      <c r="AH201" s="17"/>
      <c r="AI201" s="37"/>
      <c r="AJ201" s="18"/>
      <c r="AK201" s="21"/>
      <c r="AL201" s="21" t="s">
        <v>218</v>
      </c>
      <c r="AM201" s="21"/>
      <c r="AN201" s="21" t="s">
        <v>928</v>
      </c>
      <c r="AO201" s="21" t="s">
        <v>231</v>
      </c>
      <c r="AP201" s="21" t="s">
        <v>231</v>
      </c>
      <c r="AQ201" s="21" t="s">
        <v>231</v>
      </c>
      <c r="AR201" s="21" t="s">
        <v>231</v>
      </c>
      <c r="AS201" s="21" t="s">
        <v>231</v>
      </c>
      <c r="AT201" s="21" t="s">
        <v>231</v>
      </c>
      <c r="AU201" s="21" t="s">
        <v>236</v>
      </c>
      <c r="AV201" s="21" t="s">
        <v>236</v>
      </c>
      <c r="AW201" s="4" t="str">
        <f t="shared" si="31"/>
        <v>C</v>
      </c>
      <c r="AX201" s="45" t="str">
        <f t="shared" si="32"/>
        <v/>
      </c>
    </row>
    <row r="202" spans="1:50" ht="15" customHeight="1" x14ac:dyDescent="0.25">
      <c r="A202" s="46">
        <v>45918</v>
      </c>
      <c r="B202" s="46" t="s">
        <v>1747</v>
      </c>
      <c r="C202" s="46" t="s">
        <v>25</v>
      </c>
      <c r="D202" s="21" t="s">
        <v>25</v>
      </c>
      <c r="E202" s="47">
        <v>1163</v>
      </c>
      <c r="F202" s="21" t="s">
        <v>226</v>
      </c>
      <c r="G202" s="21" t="s">
        <v>1745</v>
      </c>
      <c r="H202" s="21" t="s">
        <v>1096</v>
      </c>
      <c r="I202" s="21" t="s">
        <v>817</v>
      </c>
      <c r="J202" s="4" t="s">
        <v>229</v>
      </c>
      <c r="K202" s="4" t="s">
        <v>621</v>
      </c>
      <c r="L202" s="4" t="s">
        <v>313</v>
      </c>
      <c r="M202" s="21" t="s">
        <v>1746</v>
      </c>
      <c r="N202" s="21" t="s">
        <v>1748</v>
      </c>
      <c r="O202" s="21" t="s">
        <v>1749</v>
      </c>
      <c r="P202" s="4">
        <v>518049</v>
      </c>
      <c r="Q202" s="4">
        <v>4859399</v>
      </c>
      <c r="R202" s="91">
        <f t="shared" si="30"/>
        <v>0.1</v>
      </c>
      <c r="S202" s="7">
        <v>0.1</v>
      </c>
      <c r="T202" s="5"/>
      <c r="U202" s="6"/>
      <c r="V202" s="4"/>
      <c r="W202" s="20"/>
      <c r="X202" s="4"/>
      <c r="Y202" s="20"/>
      <c r="Z202" s="4"/>
      <c r="AA202" s="20"/>
      <c r="AB202" s="4"/>
      <c r="AC202" s="20"/>
      <c r="AD202" s="4"/>
      <c r="AE202" s="20"/>
      <c r="AF202" s="19"/>
      <c r="AG202" s="8"/>
      <c r="AH202" s="17"/>
      <c r="AI202" s="37"/>
      <c r="AJ202" s="18"/>
      <c r="AK202" s="21"/>
      <c r="AL202" s="21"/>
      <c r="AM202" s="21"/>
      <c r="AN202" s="21" t="s">
        <v>235</v>
      </c>
      <c r="AO202" s="21" t="s">
        <v>206</v>
      </c>
      <c r="AP202" s="21" t="s">
        <v>231</v>
      </c>
      <c r="AQ202" s="21" t="s">
        <v>231</v>
      </c>
      <c r="AR202" s="21" t="s">
        <v>231</v>
      </c>
      <c r="AS202" s="21" t="s">
        <v>206</v>
      </c>
      <c r="AT202" s="21" t="s">
        <v>231</v>
      </c>
      <c r="AU202" s="21" t="s">
        <v>236</v>
      </c>
      <c r="AV202" s="21" t="s">
        <v>236</v>
      </c>
      <c r="AW202" s="4" t="str">
        <f t="shared" si="31"/>
        <v>A</v>
      </c>
      <c r="AX202" s="45" t="str">
        <f t="shared" si="32"/>
        <v/>
      </c>
    </row>
    <row r="203" spans="1:50" ht="15" customHeight="1" x14ac:dyDescent="0.25">
      <c r="A203" s="46">
        <v>45918</v>
      </c>
      <c r="B203" s="46" t="s">
        <v>416</v>
      </c>
      <c r="C203" s="46" t="s">
        <v>26</v>
      </c>
      <c r="D203" s="21" t="s">
        <v>26</v>
      </c>
      <c r="E203" s="47">
        <v>1166</v>
      </c>
      <c r="F203" s="21" t="s">
        <v>381</v>
      </c>
      <c r="G203" s="21" t="s">
        <v>1903</v>
      </c>
      <c r="H203" s="21" t="s">
        <v>1751</v>
      </c>
      <c r="I203" s="21" t="s">
        <v>1750</v>
      </c>
      <c r="J203" s="4" t="s">
        <v>556</v>
      </c>
      <c r="K203" s="4"/>
      <c r="L203" s="4"/>
      <c r="M203" s="21" t="s">
        <v>1899</v>
      </c>
      <c r="N203" s="21" t="s">
        <v>1900</v>
      </c>
      <c r="O203" s="21" t="s">
        <v>1901</v>
      </c>
      <c r="P203" s="91"/>
      <c r="Q203" s="91"/>
      <c r="R203" s="91">
        <f t="shared" si="30"/>
        <v>0.1</v>
      </c>
      <c r="S203" s="7"/>
      <c r="T203" s="5">
        <v>0.1</v>
      </c>
      <c r="U203" s="6"/>
      <c r="V203" s="4"/>
      <c r="W203" s="20"/>
      <c r="X203" s="4"/>
      <c r="Y203" s="20"/>
      <c r="Z203" s="4"/>
      <c r="AA203" s="20"/>
      <c r="AB203" s="4"/>
      <c r="AC203" s="20"/>
      <c r="AD203" s="4"/>
      <c r="AE203" s="20"/>
      <c r="AF203" s="19"/>
      <c r="AG203" s="8"/>
      <c r="AH203" s="17"/>
      <c r="AI203" s="37"/>
      <c r="AJ203" s="18"/>
      <c r="AK203" s="21"/>
      <c r="AL203" s="21"/>
      <c r="AM203" s="21"/>
      <c r="AN203" s="21" t="s">
        <v>516</v>
      </c>
      <c r="AO203" s="21" t="s">
        <v>231</v>
      </c>
      <c r="AP203" s="21" t="s">
        <v>231</v>
      </c>
      <c r="AQ203" s="21" t="s">
        <v>231</v>
      </c>
      <c r="AR203" s="21" t="s">
        <v>231</v>
      </c>
      <c r="AS203" s="21" t="s">
        <v>231</v>
      </c>
      <c r="AT203" s="21" t="s">
        <v>231</v>
      </c>
      <c r="AU203" s="21" t="s">
        <v>236</v>
      </c>
      <c r="AV203" s="21" t="s">
        <v>236</v>
      </c>
      <c r="AW203" s="4" t="str">
        <f t="shared" si="31"/>
        <v>A</v>
      </c>
      <c r="AX203" s="45" t="str">
        <f t="shared" si="32"/>
        <v/>
      </c>
    </row>
    <row r="204" spans="1:50" ht="15" customHeight="1" x14ac:dyDescent="0.25">
      <c r="A204" s="46">
        <v>45921</v>
      </c>
      <c r="B204" s="46" t="s">
        <v>1906</v>
      </c>
      <c r="C204" s="46" t="s">
        <v>25</v>
      </c>
      <c r="D204" s="21" t="s">
        <v>25</v>
      </c>
      <c r="E204" s="47">
        <v>1174</v>
      </c>
      <c r="F204" s="21" t="s">
        <v>1119</v>
      </c>
      <c r="G204" s="21" t="s">
        <v>1902</v>
      </c>
      <c r="H204" s="21" t="s">
        <v>310</v>
      </c>
      <c r="I204" s="21" t="s">
        <v>767</v>
      </c>
      <c r="J204" s="4" t="s">
        <v>556</v>
      </c>
      <c r="K204" s="4"/>
      <c r="L204" s="4"/>
      <c r="M204" s="21" t="s">
        <v>1904</v>
      </c>
      <c r="N204" s="21" t="s">
        <v>2103</v>
      </c>
      <c r="O204" s="21" t="s">
        <v>1905</v>
      </c>
      <c r="P204" s="4">
        <v>566835</v>
      </c>
      <c r="Q204" s="4">
        <v>4746844</v>
      </c>
      <c r="R204" s="91">
        <f t="shared" si="30"/>
        <v>29.7</v>
      </c>
      <c r="S204" s="7">
        <v>29.7</v>
      </c>
      <c r="T204" s="5"/>
      <c r="U204" s="6"/>
      <c r="V204" s="4"/>
      <c r="W204" s="20"/>
      <c r="X204" s="4"/>
      <c r="Y204" s="20"/>
      <c r="Z204" s="4"/>
      <c r="AA204" s="20"/>
      <c r="AB204" s="4"/>
      <c r="AC204" s="20"/>
      <c r="AD204" s="4"/>
      <c r="AE204" s="20"/>
      <c r="AF204" s="19"/>
      <c r="AG204" s="8"/>
      <c r="AH204" s="17"/>
      <c r="AI204" s="37"/>
      <c r="AJ204" s="18"/>
      <c r="AK204" s="21"/>
      <c r="AL204" s="21"/>
      <c r="AM204" s="21"/>
      <c r="AN204" s="21" t="s">
        <v>235</v>
      </c>
      <c r="AO204" s="21" t="s">
        <v>231</v>
      </c>
      <c r="AP204" s="21" t="s">
        <v>231</v>
      </c>
      <c r="AQ204" s="21" t="s">
        <v>231</v>
      </c>
      <c r="AR204" s="21" t="s">
        <v>231</v>
      </c>
      <c r="AS204" s="21" t="s">
        <v>206</v>
      </c>
      <c r="AT204" s="21" t="s">
        <v>231</v>
      </c>
      <c r="AU204" s="21" t="s">
        <v>206</v>
      </c>
      <c r="AV204" s="21" t="s">
        <v>236</v>
      </c>
      <c r="AW204" s="4" t="str">
        <f t="shared" si="31"/>
        <v>C</v>
      </c>
      <c r="AX204" s="45" t="str">
        <f t="shared" si="32"/>
        <v/>
      </c>
    </row>
    <row r="205" spans="1:50" ht="15" customHeight="1" x14ac:dyDescent="0.25">
      <c r="A205" s="46">
        <v>45921</v>
      </c>
      <c r="B205" s="46" t="s">
        <v>1907</v>
      </c>
      <c r="C205" s="46" t="s">
        <v>25</v>
      </c>
      <c r="D205" s="21" t="s">
        <v>25</v>
      </c>
      <c r="E205" s="47">
        <v>1176</v>
      </c>
      <c r="F205" s="21" t="s">
        <v>226</v>
      </c>
      <c r="G205" s="21" t="s">
        <v>1908</v>
      </c>
      <c r="H205" s="21" t="s">
        <v>494</v>
      </c>
      <c r="I205" s="21"/>
      <c r="J205" s="4" t="s">
        <v>229</v>
      </c>
      <c r="K205" s="4" t="s">
        <v>279</v>
      </c>
      <c r="L205" s="4" t="s">
        <v>765</v>
      </c>
      <c r="M205" s="21" t="s">
        <v>1909</v>
      </c>
      <c r="N205" s="21" t="s">
        <v>1913</v>
      </c>
      <c r="O205" s="21" t="s">
        <v>1914</v>
      </c>
      <c r="P205" s="4">
        <v>545453</v>
      </c>
      <c r="Q205" s="4">
        <v>4843152</v>
      </c>
      <c r="R205" s="91">
        <f t="shared" si="30"/>
        <v>24.3</v>
      </c>
      <c r="S205" s="7">
        <v>24.3</v>
      </c>
      <c r="T205" s="5"/>
      <c r="U205" s="6"/>
      <c r="V205" s="4"/>
      <c r="W205" s="20"/>
      <c r="X205" s="4"/>
      <c r="Y205" s="20"/>
      <c r="Z205" s="4"/>
      <c r="AA205" s="20"/>
      <c r="AB205" s="4"/>
      <c r="AC205" s="20"/>
      <c r="AD205" s="4"/>
      <c r="AE205" s="20"/>
      <c r="AF205" s="19"/>
      <c r="AG205" s="8"/>
      <c r="AH205" s="17"/>
      <c r="AI205" s="37"/>
      <c r="AJ205" s="18"/>
      <c r="AK205" s="21"/>
      <c r="AL205" s="21"/>
      <c r="AM205" s="21"/>
      <c r="AN205" s="21" t="s">
        <v>235</v>
      </c>
      <c r="AO205" s="21" t="s">
        <v>206</v>
      </c>
      <c r="AP205" s="21" t="s">
        <v>231</v>
      </c>
      <c r="AQ205" s="21" t="s">
        <v>206</v>
      </c>
      <c r="AR205" s="21" t="s">
        <v>231</v>
      </c>
      <c r="AS205" s="21" t="s">
        <v>206</v>
      </c>
      <c r="AT205" s="21" t="s">
        <v>231</v>
      </c>
      <c r="AU205" s="21" t="s">
        <v>206</v>
      </c>
      <c r="AV205" s="21" t="s">
        <v>236</v>
      </c>
      <c r="AW205" s="4" t="str">
        <f t="shared" si="31"/>
        <v>C</v>
      </c>
      <c r="AX205" s="45" t="str">
        <f t="shared" si="32"/>
        <v/>
      </c>
    </row>
    <row r="206" spans="1:50" ht="15" customHeight="1" x14ac:dyDescent="0.25">
      <c r="A206" s="46">
        <v>45923</v>
      </c>
      <c r="B206" s="46" t="s">
        <v>1918</v>
      </c>
      <c r="C206" s="46" t="s">
        <v>25</v>
      </c>
      <c r="D206" s="21" t="s">
        <v>620</v>
      </c>
      <c r="E206" s="47">
        <v>1181</v>
      </c>
      <c r="F206" s="21" t="s">
        <v>226</v>
      </c>
      <c r="G206" s="21" t="s">
        <v>1919</v>
      </c>
      <c r="H206" s="21" t="s">
        <v>310</v>
      </c>
      <c r="I206" s="21" t="s">
        <v>817</v>
      </c>
      <c r="J206" s="4" t="s">
        <v>229</v>
      </c>
      <c r="K206" s="4" t="s">
        <v>279</v>
      </c>
      <c r="L206" s="4" t="s">
        <v>393</v>
      </c>
      <c r="M206" s="21" t="s">
        <v>826</v>
      </c>
      <c r="N206" s="21" t="s">
        <v>1920</v>
      </c>
      <c r="O206" s="21" t="s">
        <v>1921</v>
      </c>
      <c r="P206" s="4">
        <v>576152</v>
      </c>
      <c r="Q206" s="4">
        <v>4818912</v>
      </c>
      <c r="R206" s="91">
        <f t="shared" si="30"/>
        <v>1.6</v>
      </c>
      <c r="S206" s="7"/>
      <c r="T206" s="5"/>
      <c r="U206" s="6"/>
      <c r="V206" s="4"/>
      <c r="W206" s="20"/>
      <c r="X206" s="4"/>
      <c r="Y206" s="20"/>
      <c r="Z206" s="4"/>
      <c r="AA206" s="20"/>
      <c r="AB206" s="4"/>
      <c r="AC206" s="20"/>
      <c r="AD206" s="4"/>
      <c r="AE206" s="20"/>
      <c r="AF206" s="19"/>
      <c r="AG206" s="8"/>
      <c r="AH206" s="17"/>
      <c r="AI206" s="37">
        <v>1.6</v>
      </c>
      <c r="AJ206" s="18"/>
      <c r="AK206" s="21"/>
      <c r="AL206" s="21"/>
      <c r="AM206" s="21"/>
      <c r="AN206" s="21" t="s">
        <v>516</v>
      </c>
      <c r="AO206" s="21" t="s">
        <v>206</v>
      </c>
      <c r="AP206" s="21" t="s">
        <v>231</v>
      </c>
      <c r="AQ206" s="21" t="s">
        <v>231</v>
      </c>
      <c r="AR206" s="21" t="s">
        <v>231</v>
      </c>
      <c r="AS206" s="21" t="s">
        <v>231</v>
      </c>
      <c r="AT206" s="21" t="s">
        <v>231</v>
      </c>
      <c r="AU206" s="21" t="s">
        <v>236</v>
      </c>
      <c r="AV206" s="21" t="s">
        <v>236</v>
      </c>
      <c r="AW206" s="4" t="str">
        <f t="shared" si="31"/>
        <v>B</v>
      </c>
      <c r="AX206" s="45" t="str">
        <f t="shared" si="32"/>
        <v/>
      </c>
    </row>
    <row r="207" spans="1:50" ht="15" customHeight="1" x14ac:dyDescent="0.25">
      <c r="A207" s="46">
        <v>45926</v>
      </c>
      <c r="B207" s="46" t="s">
        <v>1929</v>
      </c>
      <c r="C207" s="46" t="s">
        <v>25</v>
      </c>
      <c r="D207" s="21" t="s">
        <v>25</v>
      </c>
      <c r="E207" s="47">
        <v>1206</v>
      </c>
      <c r="F207" s="21" t="s">
        <v>269</v>
      </c>
      <c r="G207" s="21" t="s">
        <v>1924</v>
      </c>
      <c r="H207" s="21" t="s">
        <v>1925</v>
      </c>
      <c r="I207" s="21"/>
      <c r="J207" s="4" t="s">
        <v>229</v>
      </c>
      <c r="K207" s="4" t="s">
        <v>317</v>
      </c>
      <c r="L207" s="4" t="s">
        <v>87</v>
      </c>
      <c r="M207" s="21" t="s">
        <v>1926</v>
      </c>
      <c r="N207" s="21" t="s">
        <v>1927</v>
      </c>
      <c r="O207" s="21" t="s">
        <v>1928</v>
      </c>
      <c r="P207" s="4">
        <v>611577</v>
      </c>
      <c r="Q207" s="4">
        <v>4778257</v>
      </c>
      <c r="R207" s="91">
        <f t="shared" si="30"/>
        <v>0.25</v>
      </c>
      <c r="S207" s="7">
        <v>0.25</v>
      </c>
      <c r="T207" s="5"/>
      <c r="U207" s="6"/>
      <c r="V207" s="4"/>
      <c r="W207" s="20"/>
      <c r="X207" s="4"/>
      <c r="Y207" s="20"/>
      <c r="Z207" s="4"/>
      <c r="AA207" s="20"/>
      <c r="AB207" s="4"/>
      <c r="AC207" s="20"/>
      <c r="AD207" s="4"/>
      <c r="AE207" s="20"/>
      <c r="AF207" s="19"/>
      <c r="AG207" s="8"/>
      <c r="AH207" s="17"/>
      <c r="AI207" s="37"/>
      <c r="AJ207" s="18"/>
      <c r="AK207" s="21"/>
      <c r="AL207" s="21"/>
      <c r="AM207" s="21"/>
      <c r="AN207" s="21" t="s">
        <v>235</v>
      </c>
      <c r="AO207" s="21" t="s">
        <v>231</v>
      </c>
      <c r="AP207" s="21" t="s">
        <v>206</v>
      </c>
      <c r="AQ207" s="21" t="s">
        <v>231</v>
      </c>
      <c r="AR207" s="21" t="s">
        <v>231</v>
      </c>
      <c r="AS207" s="21" t="s">
        <v>206</v>
      </c>
      <c r="AT207" s="21" t="s">
        <v>231</v>
      </c>
      <c r="AU207" s="21" t="s">
        <v>236</v>
      </c>
      <c r="AV207" s="21" t="s">
        <v>236</v>
      </c>
      <c r="AW207" s="4" t="str">
        <f t="shared" si="31"/>
        <v>A</v>
      </c>
      <c r="AX207" s="45" t="str">
        <f t="shared" si="32"/>
        <v/>
      </c>
    </row>
    <row r="208" spans="1:50" ht="15" customHeight="1" x14ac:dyDescent="0.25">
      <c r="A208" s="46">
        <v>45928</v>
      </c>
      <c r="B208" s="46" t="s">
        <v>1934</v>
      </c>
      <c r="C208" s="46" t="s">
        <v>25</v>
      </c>
      <c r="D208" s="21" t="s">
        <v>80</v>
      </c>
      <c r="E208" s="47">
        <v>1211</v>
      </c>
      <c r="F208" s="21" t="s">
        <v>226</v>
      </c>
      <c r="G208" s="21" t="s">
        <v>1930</v>
      </c>
      <c r="H208" s="21" t="s">
        <v>811</v>
      </c>
      <c r="I208" s="21"/>
      <c r="J208" s="4" t="s">
        <v>229</v>
      </c>
      <c r="K208" s="4" t="s">
        <v>317</v>
      </c>
      <c r="L208" s="4" t="s">
        <v>87</v>
      </c>
      <c r="M208" s="21" t="s">
        <v>1931</v>
      </c>
      <c r="N208" s="21" t="s">
        <v>1932</v>
      </c>
      <c r="O208" s="21" t="s">
        <v>1933</v>
      </c>
      <c r="P208" s="4">
        <v>578744</v>
      </c>
      <c r="Q208" s="4">
        <v>4814711</v>
      </c>
      <c r="R208" s="91">
        <f t="shared" si="30"/>
        <v>16.600000000000001</v>
      </c>
      <c r="S208" s="7">
        <v>12.3</v>
      </c>
      <c r="T208" s="5"/>
      <c r="U208" s="6"/>
      <c r="V208" s="4">
        <v>4.3</v>
      </c>
      <c r="W208" s="20"/>
      <c r="X208" s="4"/>
      <c r="Y208" s="20"/>
      <c r="Z208" s="4"/>
      <c r="AA208" s="20"/>
      <c r="AB208" s="4"/>
      <c r="AC208" s="20"/>
      <c r="AD208" s="4"/>
      <c r="AE208" s="20"/>
      <c r="AF208" s="19"/>
      <c r="AG208" s="8"/>
      <c r="AH208" s="17"/>
      <c r="AI208" s="37"/>
      <c r="AJ208" s="18"/>
      <c r="AK208" s="21"/>
      <c r="AL208" s="21" t="s">
        <v>218</v>
      </c>
      <c r="AM208" s="21" t="s">
        <v>218</v>
      </c>
      <c r="AN208" s="21" t="s">
        <v>516</v>
      </c>
      <c r="AO208" s="21" t="s">
        <v>206</v>
      </c>
      <c r="AP208" s="21" t="s">
        <v>231</v>
      </c>
      <c r="AQ208" s="21" t="s">
        <v>231</v>
      </c>
      <c r="AR208" s="21" t="s">
        <v>231</v>
      </c>
      <c r="AS208" s="21" t="s">
        <v>231</v>
      </c>
      <c r="AT208" s="21" t="s">
        <v>206</v>
      </c>
      <c r="AU208" s="21" t="s">
        <v>206</v>
      </c>
      <c r="AV208" s="21" t="s">
        <v>236</v>
      </c>
      <c r="AW208" s="4" t="str">
        <f t="shared" si="31"/>
        <v>C</v>
      </c>
      <c r="AX208" s="45" t="str">
        <f t="shared" si="32"/>
        <v/>
      </c>
    </row>
    <row r="209" spans="1:50" ht="15" customHeight="1" x14ac:dyDescent="0.25">
      <c r="A209" s="46">
        <v>45928</v>
      </c>
      <c r="B209" s="46" t="s">
        <v>1937</v>
      </c>
      <c r="C209" s="46" t="s">
        <v>25</v>
      </c>
      <c r="D209" s="21" t="s">
        <v>25</v>
      </c>
      <c r="E209" s="47">
        <v>1212</v>
      </c>
      <c r="F209" s="21" t="s">
        <v>269</v>
      </c>
      <c r="G209" s="21" t="s">
        <v>1935</v>
      </c>
      <c r="H209" s="21" t="s">
        <v>767</v>
      </c>
      <c r="I209" s="21" t="s">
        <v>1235</v>
      </c>
      <c r="J209" s="4" t="s">
        <v>229</v>
      </c>
      <c r="K209" s="4" t="s">
        <v>317</v>
      </c>
      <c r="L209" s="4" t="s">
        <v>87</v>
      </c>
      <c r="M209" s="21" t="s">
        <v>1936</v>
      </c>
      <c r="N209" s="21" t="s">
        <v>1938</v>
      </c>
      <c r="O209" s="21" t="s">
        <v>1939</v>
      </c>
      <c r="P209" s="4">
        <v>560833</v>
      </c>
      <c r="Q209" s="4">
        <v>4798417</v>
      </c>
      <c r="R209" s="91">
        <f t="shared" si="30"/>
        <v>2.5</v>
      </c>
      <c r="S209" s="7">
        <v>2.5</v>
      </c>
      <c r="T209" s="5"/>
      <c r="U209" s="6"/>
      <c r="V209" s="4"/>
      <c r="W209" s="20"/>
      <c r="X209" s="4"/>
      <c r="Y209" s="20"/>
      <c r="Z209" s="4"/>
      <c r="AA209" s="20"/>
      <c r="AB209" s="4"/>
      <c r="AC209" s="20"/>
      <c r="AD209" s="4"/>
      <c r="AE209" s="20"/>
      <c r="AF209" s="19"/>
      <c r="AG209" s="8"/>
      <c r="AH209" s="17"/>
      <c r="AI209" s="37"/>
      <c r="AJ209" s="18"/>
      <c r="AK209" s="21"/>
      <c r="AL209" s="21"/>
      <c r="AM209" s="21"/>
      <c r="AN209" s="21" t="s">
        <v>235</v>
      </c>
      <c r="AO209" s="21" t="s">
        <v>231</v>
      </c>
      <c r="AP209" s="21" t="s">
        <v>231</v>
      </c>
      <c r="AQ209" s="21" t="s">
        <v>231</v>
      </c>
      <c r="AR209" s="21" t="s">
        <v>231</v>
      </c>
      <c r="AS209" s="21" t="s">
        <v>231</v>
      </c>
      <c r="AT209" s="21" t="s">
        <v>231</v>
      </c>
      <c r="AU209" s="21" t="s">
        <v>236</v>
      </c>
      <c r="AV209" s="21" t="s">
        <v>236</v>
      </c>
      <c r="AW209" s="4" t="str">
        <f t="shared" si="31"/>
        <v>B</v>
      </c>
      <c r="AX209" s="45" t="str">
        <f t="shared" si="32"/>
        <v/>
      </c>
    </row>
    <row r="210" spans="1:50" ht="15" customHeight="1" x14ac:dyDescent="0.25">
      <c r="A210" s="46">
        <v>45930</v>
      </c>
      <c r="B210" s="46" t="s">
        <v>1944</v>
      </c>
      <c r="C210" s="46" t="s">
        <v>28</v>
      </c>
      <c r="D210" s="21" t="s">
        <v>26</v>
      </c>
      <c r="E210" s="47">
        <v>1219</v>
      </c>
      <c r="F210" s="21" t="s">
        <v>225</v>
      </c>
      <c r="G210" s="21" t="s">
        <v>1945</v>
      </c>
      <c r="H210" s="21" t="s">
        <v>248</v>
      </c>
      <c r="I210" s="21"/>
      <c r="J210" s="4" t="s">
        <v>556</v>
      </c>
      <c r="K210" s="4"/>
      <c r="L210" s="4"/>
      <c r="M210" s="21" t="s">
        <v>1946</v>
      </c>
      <c r="N210" s="21" t="s">
        <v>1947</v>
      </c>
      <c r="O210" s="21" t="s">
        <v>1948</v>
      </c>
      <c r="P210" s="91"/>
      <c r="Q210" s="91"/>
      <c r="R210" s="91">
        <f t="shared" si="30"/>
        <v>0.1</v>
      </c>
      <c r="S210" s="7"/>
      <c r="T210" s="5">
        <v>0.1</v>
      </c>
      <c r="U210" s="6"/>
      <c r="V210" s="4"/>
      <c r="W210" s="20"/>
      <c r="X210" s="4"/>
      <c r="Y210" s="20"/>
      <c r="Z210" s="4"/>
      <c r="AA210" s="20"/>
      <c r="AB210" s="4"/>
      <c r="AC210" s="20"/>
      <c r="AD210" s="4"/>
      <c r="AE210" s="20"/>
      <c r="AF210" s="19"/>
      <c r="AG210" s="8"/>
      <c r="AH210" s="17"/>
      <c r="AI210" s="37"/>
      <c r="AJ210" s="18"/>
      <c r="AK210" s="21"/>
      <c r="AL210" s="21" t="s">
        <v>218</v>
      </c>
      <c r="AM210" s="21"/>
      <c r="AN210" s="21" t="s">
        <v>27</v>
      </c>
      <c r="AO210" s="21" t="s">
        <v>231</v>
      </c>
      <c r="AP210" s="21" t="s">
        <v>231</v>
      </c>
      <c r="AQ210" s="21" t="s">
        <v>231</v>
      </c>
      <c r="AR210" s="21" t="s">
        <v>231</v>
      </c>
      <c r="AS210" s="21" t="s">
        <v>231</v>
      </c>
      <c r="AT210" s="21" t="s">
        <v>231</v>
      </c>
      <c r="AU210" s="21" t="s">
        <v>236</v>
      </c>
      <c r="AV210" s="21" t="s">
        <v>236</v>
      </c>
      <c r="AW210" s="4" t="str">
        <f t="shared" si="31"/>
        <v>A</v>
      </c>
      <c r="AX210" s="45" t="str">
        <f t="shared" si="32"/>
        <v/>
      </c>
    </row>
    <row r="211" spans="1:50" ht="15" customHeight="1" x14ac:dyDescent="0.25">
      <c r="A211" s="46">
        <v>45935</v>
      </c>
      <c r="B211" s="46" t="s">
        <v>1994</v>
      </c>
      <c r="C211" s="46" t="s">
        <v>25</v>
      </c>
      <c r="D211" s="21" t="s">
        <v>25</v>
      </c>
      <c r="E211" s="47">
        <v>1305</v>
      </c>
      <c r="F211" s="21" t="s">
        <v>252</v>
      </c>
      <c r="G211" s="21" t="s">
        <v>1995</v>
      </c>
      <c r="H211" s="21" t="s">
        <v>276</v>
      </c>
      <c r="I211" s="21"/>
      <c r="J211" s="4" t="s">
        <v>229</v>
      </c>
      <c r="K211" s="4" t="s">
        <v>317</v>
      </c>
      <c r="L211" s="4" t="s">
        <v>87</v>
      </c>
      <c r="M211" s="21" t="s">
        <v>1996</v>
      </c>
      <c r="N211" s="21" t="s">
        <v>2085</v>
      </c>
      <c r="O211" s="21" t="s">
        <v>2086</v>
      </c>
      <c r="P211" s="4">
        <v>523038</v>
      </c>
      <c r="Q211" s="4">
        <v>4790073</v>
      </c>
      <c r="R211" s="91">
        <f t="shared" si="30"/>
        <v>25.3</v>
      </c>
      <c r="S211" s="7">
        <v>25.3</v>
      </c>
      <c r="T211" s="5"/>
      <c r="U211" s="6"/>
      <c r="V211" s="4"/>
      <c r="W211" s="20"/>
      <c r="X211" s="4"/>
      <c r="Y211" s="20"/>
      <c r="Z211" s="4"/>
      <c r="AA211" s="20"/>
      <c r="AB211" s="4"/>
      <c r="AC211" s="20"/>
      <c r="AD211" s="4"/>
      <c r="AE211" s="20"/>
      <c r="AF211" s="19"/>
      <c r="AG211" s="8"/>
      <c r="AH211" s="17"/>
      <c r="AI211" s="37"/>
      <c r="AJ211" s="18"/>
      <c r="AK211" s="21"/>
      <c r="AL211" s="21"/>
      <c r="AM211" s="21" t="s">
        <v>218</v>
      </c>
      <c r="AN211" s="21" t="s">
        <v>235</v>
      </c>
      <c r="AO211" s="21" t="s">
        <v>231</v>
      </c>
      <c r="AP211" s="21" t="s">
        <v>206</v>
      </c>
      <c r="AQ211" s="21" t="s">
        <v>231</v>
      </c>
      <c r="AR211" s="21" t="s">
        <v>231</v>
      </c>
      <c r="AS211" s="21" t="s">
        <v>206</v>
      </c>
      <c r="AT211" s="21" t="s">
        <v>231</v>
      </c>
      <c r="AU211" s="21" t="s">
        <v>236</v>
      </c>
      <c r="AV211" s="21" t="s">
        <v>236</v>
      </c>
      <c r="AW211" s="4" t="str">
        <f t="shared" si="31"/>
        <v>C</v>
      </c>
      <c r="AX211" s="45" t="str">
        <f t="shared" si="32"/>
        <v/>
      </c>
    </row>
    <row r="212" spans="1:50" ht="15" customHeight="1" x14ac:dyDescent="0.25">
      <c r="A212" s="46">
        <v>45942</v>
      </c>
      <c r="B212" s="46" t="s">
        <v>2000</v>
      </c>
      <c r="C212" s="46" t="s">
        <v>26</v>
      </c>
      <c r="D212" s="21" t="s">
        <v>26</v>
      </c>
      <c r="E212" s="47">
        <v>1372</v>
      </c>
      <c r="F212" s="21" t="s">
        <v>225</v>
      </c>
      <c r="G212" s="21" t="s">
        <v>2001</v>
      </c>
      <c r="H212" s="21" t="s">
        <v>2002</v>
      </c>
      <c r="I212" s="21" t="s">
        <v>2003</v>
      </c>
      <c r="J212" s="4" t="s">
        <v>229</v>
      </c>
      <c r="K212" s="4"/>
      <c r="L212" s="4"/>
      <c r="M212" s="21" t="s">
        <v>2004</v>
      </c>
      <c r="N212" s="21" t="s">
        <v>2005</v>
      </c>
      <c r="O212" s="21" t="s">
        <v>2006</v>
      </c>
      <c r="P212" s="91"/>
      <c r="Q212" s="91"/>
      <c r="R212" s="91">
        <f t="shared" si="30"/>
        <v>0.1</v>
      </c>
      <c r="S212" s="7"/>
      <c r="T212" s="5">
        <v>0.1</v>
      </c>
      <c r="U212" s="6"/>
      <c r="V212" s="4"/>
      <c r="W212" s="20"/>
      <c r="X212" s="4"/>
      <c r="Y212" s="20"/>
      <c r="Z212" s="4"/>
      <c r="AA212" s="20"/>
      <c r="AB212" s="4"/>
      <c r="AC212" s="20"/>
      <c r="AD212" s="4"/>
      <c r="AE212" s="20"/>
      <c r="AF212" s="19"/>
      <c r="AG212" s="8"/>
      <c r="AH212" s="17"/>
      <c r="AI212" s="37"/>
      <c r="AJ212" s="18"/>
      <c r="AK212" s="21"/>
      <c r="AL212" s="21"/>
      <c r="AM212" s="21"/>
      <c r="AN212" s="21" t="s">
        <v>27</v>
      </c>
      <c r="AO212" s="21" t="s">
        <v>231</v>
      </c>
      <c r="AP212" s="21" t="s">
        <v>231</v>
      </c>
      <c r="AQ212" s="21" t="s">
        <v>231</v>
      </c>
      <c r="AR212" s="21" t="s">
        <v>231</v>
      </c>
      <c r="AS212" s="21" t="s">
        <v>231</v>
      </c>
      <c r="AT212" s="21" t="s">
        <v>231</v>
      </c>
      <c r="AU212" s="21" t="s">
        <v>236</v>
      </c>
      <c r="AV212" s="21" t="s">
        <v>236</v>
      </c>
      <c r="AW212" s="4" t="str">
        <f t="shared" si="31"/>
        <v>A</v>
      </c>
      <c r="AX212" s="45" t="str">
        <f t="shared" si="32"/>
        <v/>
      </c>
    </row>
    <row r="213" spans="1:50" ht="15" customHeight="1" x14ac:dyDescent="0.25">
      <c r="A213" s="46">
        <v>45955</v>
      </c>
      <c r="B213" s="46" t="s">
        <v>2037</v>
      </c>
      <c r="C213" s="46" t="s">
        <v>25</v>
      </c>
      <c r="D213" s="21" t="s">
        <v>25</v>
      </c>
      <c r="E213" s="47">
        <v>1418</v>
      </c>
      <c r="F213" s="21" t="s">
        <v>269</v>
      </c>
      <c r="G213" s="21" t="s">
        <v>2038</v>
      </c>
      <c r="H213" s="21" t="s">
        <v>276</v>
      </c>
      <c r="I213" s="21"/>
      <c r="J213" s="4" t="s">
        <v>229</v>
      </c>
      <c r="K213" s="4" t="s">
        <v>317</v>
      </c>
      <c r="L213" s="4" t="s">
        <v>87</v>
      </c>
      <c r="M213" s="21" t="s">
        <v>2039</v>
      </c>
      <c r="N213" s="21" t="s">
        <v>2040</v>
      </c>
      <c r="O213" s="21" t="s">
        <v>2041</v>
      </c>
      <c r="P213" s="4">
        <v>550884</v>
      </c>
      <c r="Q213" s="4">
        <v>4797090</v>
      </c>
      <c r="R213" s="91">
        <f t="shared" si="30"/>
        <v>3</v>
      </c>
      <c r="S213" s="7">
        <v>3</v>
      </c>
      <c r="T213" s="5"/>
      <c r="U213" s="6"/>
      <c r="V213" s="4"/>
      <c r="W213" s="20"/>
      <c r="X213" s="4"/>
      <c r="Y213" s="20"/>
      <c r="Z213" s="4"/>
      <c r="AA213" s="20"/>
      <c r="AB213" s="4"/>
      <c r="AC213" s="20"/>
      <c r="AD213" s="4"/>
      <c r="AE213" s="20"/>
      <c r="AF213" s="19"/>
      <c r="AG213" s="8"/>
      <c r="AH213" s="17"/>
      <c r="AI213" s="37"/>
      <c r="AJ213" s="18"/>
      <c r="AK213" s="21"/>
      <c r="AL213" s="21"/>
      <c r="AM213" s="21"/>
      <c r="AN213" s="21" t="s">
        <v>516</v>
      </c>
      <c r="AO213" s="21" t="s">
        <v>231</v>
      </c>
      <c r="AP213" s="21" t="s">
        <v>231</v>
      </c>
      <c r="AQ213" s="21" t="s">
        <v>231</v>
      </c>
      <c r="AR213" s="21" t="s">
        <v>231</v>
      </c>
      <c r="AS213" s="21" t="s">
        <v>231</v>
      </c>
      <c r="AT213" s="21" t="s">
        <v>231</v>
      </c>
      <c r="AU213" s="21" t="s">
        <v>236</v>
      </c>
      <c r="AV213" s="21" t="s">
        <v>236</v>
      </c>
      <c r="AW213" s="4" t="str">
        <f t="shared" si="31"/>
        <v>B</v>
      </c>
      <c r="AX213" s="45" t="str">
        <f t="shared" si="32"/>
        <v/>
      </c>
    </row>
    <row r="214" spans="1:50" ht="15" customHeight="1" x14ac:dyDescent="0.25">
      <c r="A214" s="46">
        <v>45956</v>
      </c>
      <c r="B214" s="46" t="s">
        <v>2047</v>
      </c>
      <c r="C214" s="46" t="s">
        <v>28</v>
      </c>
      <c r="D214" s="21" t="s">
        <v>26</v>
      </c>
      <c r="E214" s="47">
        <v>1419</v>
      </c>
      <c r="F214" s="21" t="s">
        <v>381</v>
      </c>
      <c r="G214" s="21" t="s">
        <v>2045</v>
      </c>
      <c r="H214" s="21" t="s">
        <v>248</v>
      </c>
      <c r="I214" s="21"/>
      <c r="J214" s="4" t="s">
        <v>556</v>
      </c>
      <c r="K214" s="4"/>
      <c r="L214" s="4"/>
      <c r="M214" s="21" t="s">
        <v>2048</v>
      </c>
      <c r="N214" s="21" t="s">
        <v>2053</v>
      </c>
      <c r="O214" s="21" t="s">
        <v>2054</v>
      </c>
      <c r="P214" s="91"/>
      <c r="Q214" s="91"/>
      <c r="R214" s="91">
        <f t="shared" si="27"/>
        <v>0.1</v>
      </c>
      <c r="S214" s="7"/>
      <c r="T214" s="5">
        <v>0.1</v>
      </c>
      <c r="U214" s="6"/>
      <c r="V214" s="4"/>
      <c r="W214" s="20"/>
      <c r="X214" s="4"/>
      <c r="Y214" s="20"/>
      <c r="Z214" s="4"/>
      <c r="AA214" s="20"/>
      <c r="AB214" s="4"/>
      <c r="AC214" s="20"/>
      <c r="AD214" s="4"/>
      <c r="AE214" s="20"/>
      <c r="AF214" s="19"/>
      <c r="AG214" s="8"/>
      <c r="AH214" s="17"/>
      <c r="AI214" s="37"/>
      <c r="AJ214" s="18"/>
      <c r="AK214" s="21"/>
      <c r="AL214" s="21"/>
      <c r="AM214" s="21"/>
      <c r="AN214" s="21" t="s">
        <v>516</v>
      </c>
      <c r="AO214" s="21" t="s">
        <v>206</v>
      </c>
      <c r="AP214" s="21" t="s">
        <v>231</v>
      </c>
      <c r="AQ214" s="21" t="s">
        <v>231</v>
      </c>
      <c r="AR214" s="21" t="s">
        <v>231</v>
      </c>
      <c r="AS214" s="21" t="s">
        <v>206</v>
      </c>
      <c r="AT214" s="21" t="s">
        <v>231</v>
      </c>
      <c r="AU214" s="21" t="s">
        <v>236</v>
      </c>
      <c r="AV214" s="21" t="s">
        <v>236</v>
      </c>
      <c r="AW214" s="4" t="str">
        <f t="shared" si="28"/>
        <v>A</v>
      </c>
      <c r="AX214" s="45" t="str">
        <f t="shared" si="29"/>
        <v/>
      </c>
    </row>
    <row r="215" spans="1:50" ht="15" customHeight="1" x14ac:dyDescent="0.25">
      <c r="A215" s="46">
        <v>45956</v>
      </c>
      <c r="B215" s="46" t="s">
        <v>2049</v>
      </c>
      <c r="C215" s="46" t="s">
        <v>28</v>
      </c>
      <c r="D215" s="21" t="s">
        <v>26</v>
      </c>
      <c r="E215" s="47">
        <v>1422</v>
      </c>
      <c r="F215" s="21" t="s">
        <v>412</v>
      </c>
      <c r="G215" s="21" t="s">
        <v>2046</v>
      </c>
      <c r="H215" s="21" t="s">
        <v>248</v>
      </c>
      <c r="I215" s="21" t="s">
        <v>2050</v>
      </c>
      <c r="J215" s="4" t="s">
        <v>229</v>
      </c>
      <c r="K215" s="4" t="s">
        <v>487</v>
      </c>
      <c r="L215" s="4" t="s">
        <v>488</v>
      </c>
      <c r="M215" s="21" t="s">
        <v>2051</v>
      </c>
      <c r="N215" s="21" t="s">
        <v>2052</v>
      </c>
      <c r="O215" s="21" t="s">
        <v>1648</v>
      </c>
      <c r="P215" s="91"/>
      <c r="Q215" s="91"/>
      <c r="R215" s="91">
        <f t="shared" ref="R215:R261" si="33">SUM(S215:AJ215)</f>
        <v>0.25</v>
      </c>
      <c r="S215" s="7"/>
      <c r="T215" s="5">
        <v>0.25</v>
      </c>
      <c r="U215" s="6"/>
      <c r="V215" s="4"/>
      <c r="W215" s="20"/>
      <c r="X215" s="4"/>
      <c r="Y215" s="20"/>
      <c r="Z215" s="4"/>
      <c r="AA215" s="20"/>
      <c r="AB215" s="4"/>
      <c r="AC215" s="20"/>
      <c r="AD215" s="4"/>
      <c r="AE215" s="20"/>
      <c r="AF215" s="19"/>
      <c r="AG215" s="8"/>
      <c r="AH215" s="17"/>
      <c r="AI215" s="37"/>
      <c r="AJ215" s="18"/>
      <c r="AK215" s="21"/>
      <c r="AL215" s="21"/>
      <c r="AM215" s="21"/>
      <c r="AN215" s="21" t="s">
        <v>235</v>
      </c>
      <c r="AO215" s="21" t="s">
        <v>206</v>
      </c>
      <c r="AP215" s="21" t="s">
        <v>231</v>
      </c>
      <c r="AQ215" s="21" t="s">
        <v>231</v>
      </c>
      <c r="AR215" s="21" t="s">
        <v>231</v>
      </c>
      <c r="AS215" s="21" t="s">
        <v>231</v>
      </c>
      <c r="AT215" s="21" t="s">
        <v>231</v>
      </c>
      <c r="AU215" s="21" t="s">
        <v>236</v>
      </c>
      <c r="AV215" s="21" t="s">
        <v>236</v>
      </c>
      <c r="AW215" s="4" t="str">
        <f t="shared" ref="AW215:AW265" si="34">IF(R215&gt;4999.9,"G",IF(R215&gt;999.9,"F",IF(R215&gt;299.9,"E",IF(R215&gt;99.9,"D",IF(R215&gt;9.9,"C",IF(R215&gt;0.25,"B",IF(R215&gt;0,"A","")))))))</f>
        <v>A</v>
      </c>
      <c r="AX215" s="45" t="str">
        <f t="shared" ref="AX215:AX244" si="35">IF(AND(AV215="Y",AND(T215&gt;0, T215&lt;300)),"Y","")</f>
        <v/>
      </c>
    </row>
    <row r="216" spans="1:50" ht="15" customHeight="1" x14ac:dyDescent="0.25">
      <c r="A216" s="46">
        <v>45970</v>
      </c>
      <c r="B216" s="46" t="s">
        <v>2072</v>
      </c>
      <c r="C216" s="46" t="s">
        <v>25</v>
      </c>
      <c r="D216" s="21" t="s">
        <v>25</v>
      </c>
      <c r="E216" s="47">
        <v>1505</v>
      </c>
      <c r="F216" s="21" t="s">
        <v>252</v>
      </c>
      <c r="G216" s="21" t="s">
        <v>2073</v>
      </c>
      <c r="H216" s="21" t="s">
        <v>276</v>
      </c>
      <c r="I216" s="21"/>
      <c r="J216" s="4" t="s">
        <v>229</v>
      </c>
      <c r="K216" s="4" t="s">
        <v>621</v>
      </c>
      <c r="L216" s="4" t="s">
        <v>243</v>
      </c>
      <c r="M216" s="21" t="s">
        <v>2074</v>
      </c>
      <c r="N216" s="21" t="s">
        <v>2075</v>
      </c>
      <c r="O216" s="21" t="s">
        <v>2076</v>
      </c>
      <c r="P216" s="4">
        <v>531662</v>
      </c>
      <c r="Q216" s="4">
        <v>4793789</v>
      </c>
      <c r="R216" s="91">
        <f t="shared" si="33"/>
        <v>0.1</v>
      </c>
      <c r="S216" s="7">
        <v>0.1</v>
      </c>
      <c r="T216" s="5"/>
      <c r="U216" s="6"/>
      <c r="V216" s="4"/>
      <c r="W216" s="20"/>
      <c r="X216" s="4"/>
      <c r="Y216" s="20"/>
      <c r="Z216" s="4"/>
      <c r="AA216" s="20"/>
      <c r="AB216" s="4"/>
      <c r="AC216" s="20"/>
      <c r="AD216" s="4"/>
      <c r="AE216" s="20"/>
      <c r="AF216" s="19"/>
      <c r="AG216" s="8"/>
      <c r="AH216" s="17"/>
      <c r="AI216" s="37"/>
      <c r="AJ216" s="18"/>
      <c r="AK216" s="21"/>
      <c r="AL216" s="21"/>
      <c r="AM216" s="21"/>
      <c r="AN216" s="21" t="s">
        <v>235</v>
      </c>
      <c r="AO216" s="21" t="s">
        <v>231</v>
      </c>
      <c r="AP216" s="21" t="s">
        <v>206</v>
      </c>
      <c r="AQ216" s="21" t="s">
        <v>231</v>
      </c>
      <c r="AR216" s="21" t="s">
        <v>231</v>
      </c>
      <c r="AS216" s="21" t="s">
        <v>231</v>
      </c>
      <c r="AT216" s="21" t="s">
        <v>206</v>
      </c>
      <c r="AU216" s="21" t="s">
        <v>236</v>
      </c>
      <c r="AV216" s="21" t="s">
        <v>236</v>
      </c>
      <c r="AW216" s="4" t="str">
        <f t="shared" si="34"/>
        <v>A</v>
      </c>
      <c r="AX216" s="45" t="str">
        <f t="shared" si="35"/>
        <v/>
      </c>
    </row>
    <row r="217" spans="1:50" ht="15" customHeight="1" x14ac:dyDescent="0.25">
      <c r="A217" s="46">
        <v>45971</v>
      </c>
      <c r="B217" s="46" t="s">
        <v>2078</v>
      </c>
      <c r="C217" s="46" t="s">
        <v>28</v>
      </c>
      <c r="D217" s="21" t="s">
        <v>26</v>
      </c>
      <c r="E217" s="47">
        <v>1506</v>
      </c>
      <c r="F217" s="21" t="s">
        <v>225</v>
      </c>
      <c r="G217" s="21" t="s">
        <v>2079</v>
      </c>
      <c r="H217" s="21" t="s">
        <v>2080</v>
      </c>
      <c r="I217" s="21" t="s">
        <v>1661</v>
      </c>
      <c r="J217" s="4" t="s">
        <v>229</v>
      </c>
      <c r="K217" s="4" t="s">
        <v>487</v>
      </c>
      <c r="L217" s="4" t="s">
        <v>488</v>
      </c>
      <c r="M217" s="21" t="s">
        <v>2081</v>
      </c>
      <c r="N217" s="21" t="s">
        <v>2082</v>
      </c>
      <c r="O217" s="21" t="s">
        <v>2083</v>
      </c>
      <c r="P217" s="91"/>
      <c r="Q217" s="91"/>
      <c r="R217" s="91">
        <f t="shared" si="33"/>
        <v>0.1</v>
      </c>
      <c r="S217" s="7"/>
      <c r="T217" s="5">
        <v>0.1</v>
      </c>
      <c r="U217" s="6"/>
      <c r="V217" s="4"/>
      <c r="W217" s="20"/>
      <c r="X217" s="4"/>
      <c r="Y217" s="20"/>
      <c r="Z217" s="4"/>
      <c r="AA217" s="20"/>
      <c r="AB217" s="4"/>
      <c r="AC217" s="20"/>
      <c r="AD217" s="4"/>
      <c r="AE217" s="20"/>
      <c r="AF217" s="19"/>
      <c r="AG217" s="8"/>
      <c r="AH217" s="17"/>
      <c r="AI217" s="37"/>
      <c r="AJ217" s="18"/>
      <c r="AK217" s="21"/>
      <c r="AL217" s="21" t="s">
        <v>218</v>
      </c>
      <c r="AM217" s="21"/>
      <c r="AN217" s="21"/>
      <c r="AO217" s="21" t="s">
        <v>231</v>
      </c>
      <c r="AP217" s="21" t="s">
        <v>231</v>
      </c>
      <c r="AQ217" s="21" t="s">
        <v>231</v>
      </c>
      <c r="AR217" s="21" t="s">
        <v>231</v>
      </c>
      <c r="AS217" s="21" t="s">
        <v>231</v>
      </c>
      <c r="AT217" s="21" t="s">
        <v>231</v>
      </c>
      <c r="AU217" s="21" t="s">
        <v>236</v>
      </c>
      <c r="AV217" s="21" t="s">
        <v>236</v>
      </c>
      <c r="AW217" s="4" t="str">
        <f t="shared" si="34"/>
        <v>A</v>
      </c>
      <c r="AX217" s="45" t="str">
        <f t="shared" si="35"/>
        <v/>
      </c>
    </row>
    <row r="218" spans="1:50" ht="15" customHeight="1" x14ac:dyDescent="0.25">
      <c r="A218" s="46"/>
      <c r="B218" s="46"/>
      <c r="C218" s="46"/>
      <c r="D218" s="21"/>
      <c r="E218" s="47"/>
      <c r="F218" s="21"/>
      <c r="G218" s="21"/>
      <c r="H218" s="21"/>
      <c r="I218" s="21"/>
      <c r="J218" s="4"/>
      <c r="K218" s="4"/>
      <c r="L218" s="4"/>
      <c r="M218" s="21"/>
      <c r="N218" s="21"/>
      <c r="O218" s="21"/>
      <c r="P218" s="4"/>
      <c r="Q218" s="4"/>
      <c r="R218" s="91">
        <f t="shared" si="33"/>
        <v>0</v>
      </c>
      <c r="S218" s="7"/>
      <c r="T218" s="5"/>
      <c r="U218" s="6"/>
      <c r="V218" s="4"/>
      <c r="W218" s="20"/>
      <c r="X218" s="4"/>
      <c r="Y218" s="20"/>
      <c r="Z218" s="4"/>
      <c r="AA218" s="20"/>
      <c r="AB218" s="4"/>
      <c r="AC218" s="20"/>
      <c r="AD218" s="4"/>
      <c r="AE218" s="20"/>
      <c r="AF218" s="19"/>
      <c r="AG218" s="8"/>
      <c r="AH218" s="17"/>
      <c r="AI218" s="37"/>
      <c r="AJ218" s="18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4" t="str">
        <f t="shared" si="34"/>
        <v/>
      </c>
      <c r="AX218" s="45" t="str">
        <f t="shared" si="35"/>
        <v/>
      </c>
    </row>
    <row r="219" spans="1:50" ht="15" customHeight="1" x14ac:dyDescent="0.25">
      <c r="A219" s="46"/>
      <c r="B219" s="46"/>
      <c r="C219" s="46"/>
      <c r="D219" s="21"/>
      <c r="E219" s="47"/>
      <c r="F219" s="21"/>
      <c r="G219" s="21"/>
      <c r="H219" s="21"/>
      <c r="I219" s="21"/>
      <c r="J219" s="4"/>
      <c r="K219" s="4"/>
      <c r="L219" s="4"/>
      <c r="M219" s="21"/>
      <c r="N219" s="21"/>
      <c r="O219" s="21"/>
      <c r="P219" s="4"/>
      <c r="Q219" s="4"/>
      <c r="R219" s="91">
        <f t="shared" si="33"/>
        <v>0</v>
      </c>
      <c r="S219" s="7"/>
      <c r="T219" s="5"/>
      <c r="U219" s="6"/>
      <c r="V219" s="4"/>
      <c r="W219" s="20"/>
      <c r="X219" s="4"/>
      <c r="Y219" s="20"/>
      <c r="Z219" s="4"/>
      <c r="AA219" s="20"/>
      <c r="AB219" s="4"/>
      <c r="AC219" s="20"/>
      <c r="AD219" s="4"/>
      <c r="AE219" s="20"/>
      <c r="AF219" s="19"/>
      <c r="AG219" s="8"/>
      <c r="AH219" s="17"/>
      <c r="AI219" s="37"/>
      <c r="AJ219" s="18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4" t="str">
        <f t="shared" si="34"/>
        <v/>
      </c>
      <c r="AX219" s="45" t="str">
        <f t="shared" si="35"/>
        <v/>
      </c>
    </row>
    <row r="220" spans="1:50" ht="15" customHeight="1" x14ac:dyDescent="0.25">
      <c r="A220" s="46"/>
      <c r="B220" s="46"/>
      <c r="C220" s="46"/>
      <c r="D220" s="21"/>
      <c r="E220" s="47"/>
      <c r="F220" s="21"/>
      <c r="G220" s="21"/>
      <c r="H220" s="21"/>
      <c r="I220" s="21"/>
      <c r="J220" s="4"/>
      <c r="K220" s="4"/>
      <c r="L220" s="4"/>
      <c r="M220" s="21"/>
      <c r="N220" s="21"/>
      <c r="O220" s="21"/>
      <c r="P220" s="4"/>
      <c r="Q220" s="4"/>
      <c r="R220" s="91">
        <f t="shared" si="33"/>
        <v>0</v>
      </c>
      <c r="S220" s="7"/>
      <c r="T220" s="5"/>
      <c r="U220" s="6"/>
      <c r="V220" s="4"/>
      <c r="W220" s="20"/>
      <c r="X220" s="4"/>
      <c r="Y220" s="20"/>
      <c r="Z220" s="4"/>
      <c r="AA220" s="20"/>
      <c r="AB220" s="4"/>
      <c r="AC220" s="20"/>
      <c r="AD220" s="4"/>
      <c r="AE220" s="20"/>
      <c r="AF220" s="19"/>
      <c r="AG220" s="8"/>
      <c r="AH220" s="17"/>
      <c r="AI220" s="37"/>
      <c r="AJ220" s="18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4" t="str">
        <f t="shared" si="34"/>
        <v/>
      </c>
      <c r="AX220" s="45" t="str">
        <f t="shared" si="35"/>
        <v/>
      </c>
    </row>
    <row r="221" spans="1:50" ht="15" customHeight="1" x14ac:dyDescent="0.25">
      <c r="A221" s="46"/>
      <c r="B221" s="46"/>
      <c r="C221" s="46"/>
      <c r="D221" s="21"/>
      <c r="E221" s="47"/>
      <c r="F221" s="21"/>
      <c r="G221" s="21"/>
      <c r="H221" s="21"/>
      <c r="I221" s="21"/>
      <c r="J221" s="4"/>
      <c r="K221" s="4"/>
      <c r="L221" s="4"/>
      <c r="M221" s="21"/>
      <c r="N221" s="21"/>
      <c r="O221" s="21"/>
      <c r="P221" s="4"/>
      <c r="Q221" s="4"/>
      <c r="R221" s="91">
        <f t="shared" si="33"/>
        <v>0</v>
      </c>
      <c r="S221" s="7"/>
      <c r="T221" s="5"/>
      <c r="U221" s="6"/>
      <c r="V221" s="4"/>
      <c r="W221" s="20"/>
      <c r="X221" s="4"/>
      <c r="Y221" s="20"/>
      <c r="Z221" s="4"/>
      <c r="AA221" s="20"/>
      <c r="AB221" s="4"/>
      <c r="AC221" s="20"/>
      <c r="AD221" s="4"/>
      <c r="AE221" s="20"/>
      <c r="AF221" s="19"/>
      <c r="AG221" s="8"/>
      <c r="AH221" s="17"/>
      <c r="AI221" s="37"/>
      <c r="AJ221" s="18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4" t="str">
        <f t="shared" si="34"/>
        <v/>
      </c>
      <c r="AX221" s="45" t="str">
        <f t="shared" si="35"/>
        <v/>
      </c>
    </row>
    <row r="222" spans="1:50" ht="15" customHeight="1" x14ac:dyDescent="0.25">
      <c r="A222" s="46"/>
      <c r="B222" s="46"/>
      <c r="C222" s="46"/>
      <c r="D222" s="21"/>
      <c r="E222" s="47"/>
      <c r="F222" s="21"/>
      <c r="G222" s="21"/>
      <c r="H222" s="21"/>
      <c r="I222" s="21"/>
      <c r="J222" s="4"/>
      <c r="K222" s="4"/>
      <c r="L222" s="4"/>
      <c r="M222" s="21"/>
      <c r="N222" s="21"/>
      <c r="O222" s="21"/>
      <c r="P222" s="4"/>
      <c r="Q222" s="4"/>
      <c r="R222" s="91">
        <f t="shared" si="33"/>
        <v>0</v>
      </c>
      <c r="S222" s="7"/>
      <c r="T222" s="5"/>
      <c r="U222" s="6"/>
      <c r="V222" s="4"/>
      <c r="W222" s="20"/>
      <c r="X222" s="4"/>
      <c r="Y222" s="20"/>
      <c r="Z222" s="4"/>
      <c r="AA222" s="20"/>
      <c r="AB222" s="4"/>
      <c r="AC222" s="20"/>
      <c r="AD222" s="4"/>
      <c r="AE222" s="20"/>
      <c r="AF222" s="19"/>
      <c r="AG222" s="8"/>
      <c r="AH222" s="17"/>
      <c r="AI222" s="37"/>
      <c r="AJ222" s="18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4" t="str">
        <f t="shared" si="34"/>
        <v/>
      </c>
      <c r="AX222" s="45" t="str">
        <f t="shared" si="35"/>
        <v/>
      </c>
    </row>
    <row r="223" spans="1:50" ht="15" customHeight="1" x14ac:dyDescent="0.25">
      <c r="A223" s="46"/>
      <c r="B223" s="46"/>
      <c r="C223" s="46"/>
      <c r="D223" s="21"/>
      <c r="E223" s="47"/>
      <c r="F223" s="21"/>
      <c r="G223" s="21"/>
      <c r="H223" s="21"/>
      <c r="I223" s="21"/>
      <c r="J223" s="4"/>
      <c r="K223" s="4"/>
      <c r="L223" s="4"/>
      <c r="M223" s="21"/>
      <c r="N223" s="21"/>
      <c r="O223" s="21"/>
      <c r="P223" s="4"/>
      <c r="Q223" s="4"/>
      <c r="R223" s="91">
        <f t="shared" si="33"/>
        <v>0</v>
      </c>
      <c r="S223" s="7"/>
      <c r="T223" s="5"/>
      <c r="U223" s="6"/>
      <c r="V223" s="4"/>
      <c r="W223" s="20"/>
      <c r="X223" s="4"/>
      <c r="Y223" s="20"/>
      <c r="Z223" s="4"/>
      <c r="AA223" s="20"/>
      <c r="AB223" s="4"/>
      <c r="AC223" s="20"/>
      <c r="AD223" s="4"/>
      <c r="AE223" s="20"/>
      <c r="AF223" s="19"/>
      <c r="AG223" s="8"/>
      <c r="AH223" s="17"/>
      <c r="AI223" s="37"/>
      <c r="AJ223" s="18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4" t="str">
        <f t="shared" si="34"/>
        <v/>
      </c>
      <c r="AX223" s="45" t="str">
        <f t="shared" si="35"/>
        <v/>
      </c>
    </row>
    <row r="224" spans="1:50" ht="15" customHeight="1" x14ac:dyDescent="0.25">
      <c r="A224" s="46"/>
      <c r="B224" s="46"/>
      <c r="C224" s="46"/>
      <c r="D224" s="21"/>
      <c r="E224" s="47"/>
      <c r="F224" s="21"/>
      <c r="G224" s="21"/>
      <c r="H224" s="21"/>
      <c r="I224" s="21"/>
      <c r="J224" s="4"/>
      <c r="K224" s="4"/>
      <c r="L224" s="4"/>
      <c r="M224" s="21"/>
      <c r="N224" s="21"/>
      <c r="O224" s="21"/>
      <c r="P224" s="4"/>
      <c r="Q224" s="4"/>
      <c r="R224" s="91">
        <f t="shared" si="33"/>
        <v>0</v>
      </c>
      <c r="S224" s="7"/>
      <c r="T224" s="5"/>
      <c r="U224" s="6"/>
      <c r="V224" s="4"/>
      <c r="W224" s="20"/>
      <c r="X224" s="4"/>
      <c r="Y224" s="20"/>
      <c r="Z224" s="4"/>
      <c r="AA224" s="20"/>
      <c r="AB224" s="4"/>
      <c r="AC224" s="20"/>
      <c r="AD224" s="4"/>
      <c r="AE224" s="20"/>
      <c r="AF224" s="19"/>
      <c r="AG224" s="8"/>
      <c r="AH224" s="17"/>
      <c r="AI224" s="37"/>
      <c r="AJ224" s="18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4" t="str">
        <f t="shared" si="34"/>
        <v/>
      </c>
      <c r="AX224" s="45" t="str">
        <f t="shared" si="35"/>
        <v/>
      </c>
    </row>
    <row r="225" spans="1:50" ht="15" customHeight="1" x14ac:dyDescent="0.25">
      <c r="A225" s="46"/>
      <c r="B225" s="46"/>
      <c r="C225" s="46"/>
      <c r="D225" s="21"/>
      <c r="E225" s="47"/>
      <c r="F225" s="21"/>
      <c r="G225" s="21"/>
      <c r="H225" s="21"/>
      <c r="I225" s="21"/>
      <c r="J225" s="4"/>
      <c r="K225" s="4"/>
      <c r="L225" s="4"/>
      <c r="M225" s="21"/>
      <c r="N225" s="21"/>
      <c r="O225" s="21"/>
      <c r="P225" s="4"/>
      <c r="Q225" s="4"/>
      <c r="R225" s="91">
        <f t="shared" si="33"/>
        <v>0</v>
      </c>
      <c r="S225" s="7"/>
      <c r="T225" s="5"/>
      <c r="U225" s="6"/>
      <c r="V225" s="4"/>
      <c r="W225" s="20"/>
      <c r="X225" s="4"/>
      <c r="Y225" s="20"/>
      <c r="Z225" s="4"/>
      <c r="AA225" s="20"/>
      <c r="AB225" s="4"/>
      <c r="AC225" s="20"/>
      <c r="AD225" s="4"/>
      <c r="AE225" s="20"/>
      <c r="AF225" s="19"/>
      <c r="AG225" s="8"/>
      <c r="AH225" s="17"/>
      <c r="AI225" s="37"/>
      <c r="AJ225" s="18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4" t="str">
        <f t="shared" si="34"/>
        <v/>
      </c>
      <c r="AX225" s="45" t="str">
        <f t="shared" si="35"/>
        <v/>
      </c>
    </row>
    <row r="226" spans="1:50" ht="15" customHeight="1" x14ac:dyDescent="0.25">
      <c r="A226" s="46"/>
      <c r="B226" s="46"/>
      <c r="C226" s="46"/>
      <c r="D226" s="21"/>
      <c r="E226" s="47"/>
      <c r="F226" s="21"/>
      <c r="G226" s="21"/>
      <c r="H226" s="21"/>
      <c r="I226" s="21"/>
      <c r="J226" s="4"/>
      <c r="K226" s="4"/>
      <c r="L226" s="4"/>
      <c r="M226" s="21"/>
      <c r="N226" s="21"/>
      <c r="O226" s="21"/>
      <c r="P226" s="4"/>
      <c r="Q226" s="4"/>
      <c r="R226" s="91">
        <f t="shared" si="33"/>
        <v>0</v>
      </c>
      <c r="S226" s="7"/>
      <c r="T226" s="5"/>
      <c r="U226" s="6"/>
      <c r="V226" s="4"/>
      <c r="W226" s="20"/>
      <c r="X226" s="4"/>
      <c r="Y226" s="20"/>
      <c r="Z226" s="4"/>
      <c r="AA226" s="20"/>
      <c r="AB226" s="4"/>
      <c r="AC226" s="20"/>
      <c r="AD226" s="4"/>
      <c r="AE226" s="20"/>
      <c r="AF226" s="19"/>
      <c r="AG226" s="8"/>
      <c r="AH226" s="17"/>
      <c r="AI226" s="37"/>
      <c r="AJ226" s="18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4" t="str">
        <f t="shared" si="34"/>
        <v/>
      </c>
      <c r="AX226" s="45" t="str">
        <f t="shared" si="35"/>
        <v/>
      </c>
    </row>
    <row r="227" spans="1:50" ht="15" customHeight="1" x14ac:dyDescent="0.25">
      <c r="A227" s="46"/>
      <c r="B227" s="46"/>
      <c r="C227" s="46"/>
      <c r="D227" s="21"/>
      <c r="E227" s="47"/>
      <c r="F227" s="21"/>
      <c r="G227" s="21"/>
      <c r="H227" s="21"/>
      <c r="I227" s="21"/>
      <c r="J227" s="4"/>
      <c r="K227" s="4"/>
      <c r="L227" s="4"/>
      <c r="M227" s="21"/>
      <c r="N227" s="21"/>
      <c r="O227" s="21"/>
      <c r="P227" s="4"/>
      <c r="Q227" s="4"/>
      <c r="R227" s="91">
        <f t="shared" si="33"/>
        <v>0</v>
      </c>
      <c r="S227" s="7"/>
      <c r="T227" s="5"/>
      <c r="U227" s="6"/>
      <c r="V227" s="4"/>
      <c r="W227" s="20"/>
      <c r="X227" s="4"/>
      <c r="Y227" s="20"/>
      <c r="Z227" s="4"/>
      <c r="AA227" s="20"/>
      <c r="AB227" s="4"/>
      <c r="AC227" s="20"/>
      <c r="AD227" s="4"/>
      <c r="AE227" s="20"/>
      <c r="AF227" s="19"/>
      <c r="AG227" s="8"/>
      <c r="AH227" s="17"/>
      <c r="AI227" s="37"/>
      <c r="AJ227" s="18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4" t="str">
        <f t="shared" si="34"/>
        <v/>
      </c>
      <c r="AX227" s="45" t="str">
        <f t="shared" si="35"/>
        <v/>
      </c>
    </row>
    <row r="228" spans="1:50" ht="15" customHeight="1" x14ac:dyDescent="0.25">
      <c r="A228" s="46"/>
      <c r="B228" s="46"/>
      <c r="C228" s="46"/>
      <c r="D228" s="21"/>
      <c r="E228" s="47"/>
      <c r="F228" s="21"/>
      <c r="G228" s="21"/>
      <c r="H228" s="21"/>
      <c r="I228" s="21"/>
      <c r="J228" s="4"/>
      <c r="K228" s="4"/>
      <c r="L228" s="4"/>
      <c r="M228" s="21"/>
      <c r="N228" s="21"/>
      <c r="O228" s="21"/>
      <c r="P228" s="4"/>
      <c r="Q228" s="4"/>
      <c r="R228" s="91">
        <f t="shared" si="33"/>
        <v>0</v>
      </c>
      <c r="S228" s="7"/>
      <c r="T228" s="5"/>
      <c r="U228" s="6"/>
      <c r="V228" s="4"/>
      <c r="W228" s="20"/>
      <c r="X228" s="4"/>
      <c r="Y228" s="20"/>
      <c r="Z228" s="4"/>
      <c r="AA228" s="20"/>
      <c r="AB228" s="4"/>
      <c r="AC228" s="20"/>
      <c r="AD228" s="4"/>
      <c r="AE228" s="20"/>
      <c r="AF228" s="19"/>
      <c r="AG228" s="8"/>
      <c r="AH228" s="17"/>
      <c r="AI228" s="37"/>
      <c r="AJ228" s="18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4" t="str">
        <f t="shared" si="34"/>
        <v/>
      </c>
      <c r="AX228" s="45" t="str">
        <f t="shared" si="35"/>
        <v/>
      </c>
    </row>
    <row r="229" spans="1:50" ht="15" customHeight="1" x14ac:dyDescent="0.25">
      <c r="A229" s="46"/>
      <c r="B229" s="46"/>
      <c r="C229" s="46"/>
      <c r="D229" s="21"/>
      <c r="E229" s="47"/>
      <c r="F229" s="21"/>
      <c r="G229" s="21"/>
      <c r="H229" s="21"/>
      <c r="I229" s="21"/>
      <c r="J229" s="4"/>
      <c r="K229" s="4"/>
      <c r="L229" s="4"/>
      <c r="M229" s="21"/>
      <c r="N229" s="21"/>
      <c r="O229" s="21"/>
      <c r="P229" s="4"/>
      <c r="Q229" s="4"/>
      <c r="R229" s="91">
        <f t="shared" si="33"/>
        <v>0</v>
      </c>
      <c r="S229" s="7"/>
      <c r="T229" s="5"/>
      <c r="U229" s="6"/>
      <c r="V229" s="4"/>
      <c r="W229" s="20"/>
      <c r="X229" s="4"/>
      <c r="Y229" s="20"/>
      <c r="Z229" s="4"/>
      <c r="AA229" s="20"/>
      <c r="AB229" s="4"/>
      <c r="AC229" s="20"/>
      <c r="AD229" s="4"/>
      <c r="AE229" s="20"/>
      <c r="AF229" s="19"/>
      <c r="AG229" s="8"/>
      <c r="AH229" s="17"/>
      <c r="AI229" s="37"/>
      <c r="AJ229" s="18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4" t="str">
        <f t="shared" si="34"/>
        <v/>
      </c>
      <c r="AX229" s="45" t="str">
        <f t="shared" si="35"/>
        <v/>
      </c>
    </row>
    <row r="230" spans="1:50" ht="15" customHeight="1" x14ac:dyDescent="0.25">
      <c r="A230" s="46"/>
      <c r="B230" s="46"/>
      <c r="C230" s="46"/>
      <c r="D230" s="21"/>
      <c r="E230" s="47"/>
      <c r="F230" s="21"/>
      <c r="G230" s="21"/>
      <c r="H230" s="21"/>
      <c r="I230" s="21"/>
      <c r="J230" s="4"/>
      <c r="K230" s="4"/>
      <c r="L230" s="4"/>
      <c r="M230" s="21"/>
      <c r="N230" s="21"/>
      <c r="O230" s="21"/>
      <c r="P230" s="4"/>
      <c r="Q230" s="4"/>
      <c r="R230" s="91">
        <f t="shared" si="33"/>
        <v>0</v>
      </c>
      <c r="S230" s="7"/>
      <c r="T230" s="5"/>
      <c r="U230" s="6"/>
      <c r="V230" s="4"/>
      <c r="W230" s="20"/>
      <c r="X230" s="4"/>
      <c r="Y230" s="20"/>
      <c r="Z230" s="4"/>
      <c r="AA230" s="20"/>
      <c r="AB230" s="4"/>
      <c r="AC230" s="20"/>
      <c r="AD230" s="4"/>
      <c r="AE230" s="20"/>
      <c r="AF230" s="19"/>
      <c r="AG230" s="8"/>
      <c r="AH230" s="17"/>
      <c r="AI230" s="37"/>
      <c r="AJ230" s="18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4" t="str">
        <f t="shared" si="34"/>
        <v/>
      </c>
      <c r="AX230" s="45" t="str">
        <f t="shared" si="35"/>
        <v/>
      </c>
    </row>
    <row r="231" spans="1:50" ht="15" customHeight="1" x14ac:dyDescent="0.25">
      <c r="A231" s="46"/>
      <c r="B231" s="46"/>
      <c r="C231" s="46"/>
      <c r="D231" s="21"/>
      <c r="E231" s="47"/>
      <c r="F231" s="21"/>
      <c r="G231" s="21"/>
      <c r="H231" s="21"/>
      <c r="I231" s="21"/>
      <c r="J231" s="4"/>
      <c r="K231" s="4"/>
      <c r="L231" s="4"/>
      <c r="M231" s="21"/>
      <c r="N231" s="21"/>
      <c r="O231" s="21"/>
      <c r="P231" s="4"/>
      <c r="Q231" s="4"/>
      <c r="R231" s="91">
        <f t="shared" si="33"/>
        <v>0</v>
      </c>
      <c r="S231" s="7"/>
      <c r="T231" s="5"/>
      <c r="U231" s="6"/>
      <c r="V231" s="4"/>
      <c r="W231" s="20"/>
      <c r="X231" s="4"/>
      <c r="Y231" s="20"/>
      <c r="Z231" s="4"/>
      <c r="AA231" s="20"/>
      <c r="AB231" s="4"/>
      <c r="AC231" s="20"/>
      <c r="AD231" s="4"/>
      <c r="AE231" s="20"/>
      <c r="AF231" s="19"/>
      <c r="AG231" s="8"/>
      <c r="AH231" s="17"/>
      <c r="AI231" s="37"/>
      <c r="AJ231" s="18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4" t="str">
        <f t="shared" si="34"/>
        <v/>
      </c>
      <c r="AX231" s="45" t="str">
        <f t="shared" si="35"/>
        <v/>
      </c>
    </row>
    <row r="232" spans="1:50" ht="15" customHeight="1" x14ac:dyDescent="0.25">
      <c r="A232" s="46"/>
      <c r="B232" s="46"/>
      <c r="C232" s="46"/>
      <c r="D232" s="21"/>
      <c r="E232" s="47"/>
      <c r="F232" s="21"/>
      <c r="G232" s="21"/>
      <c r="H232" s="21"/>
      <c r="I232" s="21"/>
      <c r="J232" s="4"/>
      <c r="K232" s="4"/>
      <c r="L232" s="4"/>
      <c r="M232" s="21"/>
      <c r="N232" s="21"/>
      <c r="O232" s="21"/>
      <c r="P232" s="4"/>
      <c r="Q232" s="4"/>
      <c r="R232" s="91">
        <f t="shared" si="33"/>
        <v>0</v>
      </c>
      <c r="S232" s="7"/>
      <c r="T232" s="5"/>
      <c r="U232" s="6"/>
      <c r="V232" s="4"/>
      <c r="W232" s="20"/>
      <c r="X232" s="4"/>
      <c r="Y232" s="20"/>
      <c r="Z232" s="4"/>
      <c r="AA232" s="20"/>
      <c r="AB232" s="4"/>
      <c r="AC232" s="20"/>
      <c r="AD232" s="4"/>
      <c r="AE232" s="20"/>
      <c r="AF232" s="19"/>
      <c r="AG232" s="8"/>
      <c r="AH232" s="17"/>
      <c r="AI232" s="37"/>
      <c r="AJ232" s="18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4" t="str">
        <f t="shared" si="34"/>
        <v/>
      </c>
      <c r="AX232" s="45" t="str">
        <f t="shared" si="35"/>
        <v/>
      </c>
    </row>
    <row r="233" spans="1:50" ht="15" customHeight="1" x14ac:dyDescent="0.25">
      <c r="A233" s="46"/>
      <c r="B233" s="46"/>
      <c r="C233" s="46"/>
      <c r="D233" s="21"/>
      <c r="E233" s="47"/>
      <c r="F233" s="21"/>
      <c r="G233" s="21"/>
      <c r="H233" s="21"/>
      <c r="I233" s="21"/>
      <c r="J233" s="4"/>
      <c r="K233" s="4"/>
      <c r="L233" s="4"/>
      <c r="M233" s="21"/>
      <c r="N233" s="21"/>
      <c r="O233" s="21"/>
      <c r="P233" s="4"/>
      <c r="Q233" s="4"/>
      <c r="R233" s="91">
        <f t="shared" si="33"/>
        <v>0</v>
      </c>
      <c r="S233" s="7"/>
      <c r="T233" s="5"/>
      <c r="U233" s="6"/>
      <c r="V233" s="4"/>
      <c r="W233" s="20"/>
      <c r="X233" s="4"/>
      <c r="Y233" s="20"/>
      <c r="Z233" s="4"/>
      <c r="AA233" s="20"/>
      <c r="AB233" s="4"/>
      <c r="AC233" s="20"/>
      <c r="AD233" s="4"/>
      <c r="AE233" s="20"/>
      <c r="AF233" s="19"/>
      <c r="AG233" s="8"/>
      <c r="AH233" s="17"/>
      <c r="AI233" s="37"/>
      <c r="AJ233" s="18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4" t="str">
        <f t="shared" si="34"/>
        <v/>
      </c>
      <c r="AX233" s="45" t="str">
        <f t="shared" si="35"/>
        <v/>
      </c>
    </row>
    <row r="234" spans="1:50" ht="15" customHeight="1" x14ac:dyDescent="0.25">
      <c r="A234" s="46"/>
      <c r="B234" s="46"/>
      <c r="C234" s="46"/>
      <c r="D234" s="21"/>
      <c r="E234" s="47"/>
      <c r="F234" s="21"/>
      <c r="G234" s="21"/>
      <c r="H234" s="21"/>
      <c r="I234" s="21"/>
      <c r="J234" s="4"/>
      <c r="K234" s="4"/>
      <c r="L234" s="4"/>
      <c r="M234" s="21"/>
      <c r="N234" s="21"/>
      <c r="O234" s="21"/>
      <c r="P234" s="4"/>
      <c r="Q234" s="4"/>
      <c r="R234" s="91">
        <f t="shared" si="33"/>
        <v>0</v>
      </c>
      <c r="S234" s="7"/>
      <c r="T234" s="5"/>
      <c r="U234" s="6"/>
      <c r="V234" s="4"/>
      <c r="W234" s="20"/>
      <c r="X234" s="4"/>
      <c r="Y234" s="20"/>
      <c r="Z234" s="4"/>
      <c r="AA234" s="20"/>
      <c r="AB234" s="4"/>
      <c r="AC234" s="20"/>
      <c r="AD234" s="4"/>
      <c r="AE234" s="20"/>
      <c r="AF234" s="19"/>
      <c r="AG234" s="8"/>
      <c r="AH234" s="17"/>
      <c r="AI234" s="37"/>
      <c r="AJ234" s="18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4" t="str">
        <f t="shared" si="34"/>
        <v/>
      </c>
      <c r="AX234" s="45" t="str">
        <f t="shared" si="35"/>
        <v/>
      </c>
    </row>
    <row r="235" spans="1:50" ht="15" customHeight="1" x14ac:dyDescent="0.25">
      <c r="A235" s="46"/>
      <c r="B235" s="46"/>
      <c r="C235" s="46"/>
      <c r="D235" s="21"/>
      <c r="E235" s="47"/>
      <c r="F235" s="21"/>
      <c r="G235" s="21"/>
      <c r="H235" s="21"/>
      <c r="I235" s="21"/>
      <c r="J235" s="4"/>
      <c r="K235" s="4"/>
      <c r="L235" s="4"/>
      <c r="M235" s="21"/>
      <c r="N235" s="21"/>
      <c r="O235" s="21"/>
      <c r="P235" s="4"/>
      <c r="Q235" s="4"/>
      <c r="R235" s="91">
        <f t="shared" si="33"/>
        <v>0</v>
      </c>
      <c r="S235" s="7"/>
      <c r="T235" s="5"/>
      <c r="U235" s="6"/>
      <c r="V235" s="4"/>
      <c r="W235" s="20"/>
      <c r="X235" s="4"/>
      <c r="Y235" s="20"/>
      <c r="Z235" s="4"/>
      <c r="AA235" s="20"/>
      <c r="AB235" s="4"/>
      <c r="AC235" s="20"/>
      <c r="AD235" s="4"/>
      <c r="AE235" s="20"/>
      <c r="AF235" s="19"/>
      <c r="AG235" s="8"/>
      <c r="AH235" s="17"/>
      <c r="AI235" s="37"/>
      <c r="AJ235" s="18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4" t="str">
        <f t="shared" si="34"/>
        <v/>
      </c>
      <c r="AX235" s="45" t="str">
        <f t="shared" si="35"/>
        <v/>
      </c>
    </row>
    <row r="236" spans="1:50" ht="15" customHeight="1" x14ac:dyDescent="0.25">
      <c r="A236" s="46"/>
      <c r="B236" s="46"/>
      <c r="C236" s="46"/>
      <c r="D236" s="21"/>
      <c r="E236" s="47"/>
      <c r="F236" s="21"/>
      <c r="G236" s="21"/>
      <c r="H236" s="21"/>
      <c r="I236" s="21"/>
      <c r="J236" s="4"/>
      <c r="K236" s="4"/>
      <c r="L236" s="4"/>
      <c r="M236" s="21"/>
      <c r="N236" s="21"/>
      <c r="O236" s="21"/>
      <c r="P236" s="4"/>
      <c r="Q236" s="4"/>
      <c r="R236" s="91">
        <f t="shared" si="33"/>
        <v>0</v>
      </c>
      <c r="S236" s="7"/>
      <c r="T236" s="5"/>
      <c r="U236" s="6"/>
      <c r="V236" s="4"/>
      <c r="W236" s="20"/>
      <c r="X236" s="4"/>
      <c r="Y236" s="20"/>
      <c r="Z236" s="4"/>
      <c r="AA236" s="20"/>
      <c r="AB236" s="4"/>
      <c r="AC236" s="20"/>
      <c r="AD236" s="4"/>
      <c r="AE236" s="20"/>
      <c r="AF236" s="19"/>
      <c r="AG236" s="8"/>
      <c r="AH236" s="17"/>
      <c r="AI236" s="37"/>
      <c r="AJ236" s="18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4" t="str">
        <f t="shared" si="34"/>
        <v/>
      </c>
      <c r="AX236" s="45" t="str">
        <f t="shared" si="35"/>
        <v/>
      </c>
    </row>
    <row r="237" spans="1:50" ht="15" customHeight="1" x14ac:dyDescent="0.25">
      <c r="A237" s="46"/>
      <c r="B237" s="46"/>
      <c r="C237" s="46"/>
      <c r="D237" s="21"/>
      <c r="E237" s="47"/>
      <c r="F237" s="21"/>
      <c r="G237" s="21"/>
      <c r="H237" s="21"/>
      <c r="I237" s="21"/>
      <c r="J237" s="4"/>
      <c r="K237" s="4"/>
      <c r="L237" s="4"/>
      <c r="M237" s="21"/>
      <c r="N237" s="21"/>
      <c r="O237" s="21"/>
      <c r="P237" s="4"/>
      <c r="Q237" s="4"/>
      <c r="R237" s="91">
        <f t="shared" si="33"/>
        <v>0</v>
      </c>
      <c r="S237" s="7"/>
      <c r="T237" s="5"/>
      <c r="U237" s="6"/>
      <c r="V237" s="4"/>
      <c r="W237" s="20"/>
      <c r="X237" s="4"/>
      <c r="Y237" s="20"/>
      <c r="Z237" s="4"/>
      <c r="AA237" s="20"/>
      <c r="AB237" s="4"/>
      <c r="AC237" s="20"/>
      <c r="AD237" s="4"/>
      <c r="AE237" s="20"/>
      <c r="AF237" s="19"/>
      <c r="AG237" s="8"/>
      <c r="AH237" s="17"/>
      <c r="AI237" s="37"/>
      <c r="AJ237" s="18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4" t="str">
        <f t="shared" si="34"/>
        <v/>
      </c>
      <c r="AX237" s="45" t="str">
        <f t="shared" si="35"/>
        <v/>
      </c>
    </row>
    <row r="238" spans="1:50" ht="15" customHeight="1" x14ac:dyDescent="0.25">
      <c r="A238" s="46"/>
      <c r="B238" s="46"/>
      <c r="C238" s="46"/>
      <c r="D238" s="21"/>
      <c r="E238" s="47"/>
      <c r="F238" s="21"/>
      <c r="G238" s="21"/>
      <c r="H238" s="21"/>
      <c r="I238" s="21"/>
      <c r="J238" s="4"/>
      <c r="K238" s="4"/>
      <c r="L238" s="4"/>
      <c r="M238" s="21"/>
      <c r="N238" s="21"/>
      <c r="O238" s="21"/>
      <c r="P238" s="4"/>
      <c r="Q238" s="4"/>
      <c r="R238" s="91">
        <f t="shared" si="33"/>
        <v>0</v>
      </c>
      <c r="S238" s="7"/>
      <c r="T238" s="5"/>
      <c r="U238" s="6"/>
      <c r="V238" s="4"/>
      <c r="W238" s="20"/>
      <c r="X238" s="4"/>
      <c r="Y238" s="20"/>
      <c r="Z238" s="4"/>
      <c r="AA238" s="20"/>
      <c r="AB238" s="4"/>
      <c r="AC238" s="20"/>
      <c r="AD238" s="4"/>
      <c r="AE238" s="20"/>
      <c r="AF238" s="19"/>
      <c r="AG238" s="8"/>
      <c r="AH238" s="17"/>
      <c r="AI238" s="37"/>
      <c r="AJ238" s="18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4" t="str">
        <f t="shared" si="34"/>
        <v/>
      </c>
      <c r="AX238" s="45" t="str">
        <f t="shared" si="35"/>
        <v/>
      </c>
    </row>
    <row r="239" spans="1:50" ht="15" customHeight="1" x14ac:dyDescent="0.25">
      <c r="A239" s="46"/>
      <c r="B239" s="46"/>
      <c r="C239" s="46"/>
      <c r="D239" s="21"/>
      <c r="E239" s="47"/>
      <c r="F239" s="21"/>
      <c r="G239" s="21"/>
      <c r="H239" s="21"/>
      <c r="I239" s="21"/>
      <c r="J239" s="4"/>
      <c r="K239" s="4"/>
      <c r="L239" s="4"/>
      <c r="M239" s="21"/>
      <c r="N239" s="21"/>
      <c r="O239" s="21"/>
      <c r="P239" s="4"/>
      <c r="Q239" s="4"/>
      <c r="R239" s="91">
        <f t="shared" si="33"/>
        <v>0</v>
      </c>
      <c r="S239" s="7"/>
      <c r="T239" s="5"/>
      <c r="U239" s="6"/>
      <c r="V239" s="4"/>
      <c r="W239" s="20"/>
      <c r="X239" s="4"/>
      <c r="Y239" s="20"/>
      <c r="Z239" s="4"/>
      <c r="AA239" s="20"/>
      <c r="AB239" s="4"/>
      <c r="AC239" s="20"/>
      <c r="AD239" s="4"/>
      <c r="AE239" s="20"/>
      <c r="AF239" s="19"/>
      <c r="AG239" s="8"/>
      <c r="AH239" s="17"/>
      <c r="AI239" s="37"/>
      <c r="AJ239" s="18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4" t="str">
        <f t="shared" si="34"/>
        <v/>
      </c>
      <c r="AX239" s="45" t="str">
        <f t="shared" si="35"/>
        <v/>
      </c>
    </row>
    <row r="240" spans="1:50" ht="15" customHeight="1" x14ac:dyDescent="0.25">
      <c r="A240" s="46"/>
      <c r="B240" s="46"/>
      <c r="C240" s="46"/>
      <c r="D240" s="21"/>
      <c r="E240" s="47"/>
      <c r="F240" s="21"/>
      <c r="G240" s="21"/>
      <c r="H240" s="21"/>
      <c r="I240" s="21"/>
      <c r="J240" s="4"/>
      <c r="K240" s="4"/>
      <c r="L240" s="4"/>
      <c r="M240" s="21"/>
      <c r="N240" s="21"/>
      <c r="O240" s="21"/>
      <c r="P240" s="4"/>
      <c r="Q240" s="4"/>
      <c r="R240" s="91">
        <f t="shared" si="33"/>
        <v>0</v>
      </c>
      <c r="S240" s="7"/>
      <c r="T240" s="5"/>
      <c r="U240" s="6"/>
      <c r="V240" s="4"/>
      <c r="W240" s="20"/>
      <c r="X240" s="4"/>
      <c r="Y240" s="20"/>
      <c r="Z240" s="4"/>
      <c r="AA240" s="20"/>
      <c r="AB240" s="4"/>
      <c r="AC240" s="20"/>
      <c r="AD240" s="4"/>
      <c r="AE240" s="20"/>
      <c r="AF240" s="19"/>
      <c r="AG240" s="8"/>
      <c r="AH240" s="17"/>
      <c r="AI240" s="37"/>
      <c r="AJ240" s="18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4" t="str">
        <f t="shared" si="34"/>
        <v/>
      </c>
      <c r="AX240" s="45" t="str">
        <f t="shared" si="35"/>
        <v/>
      </c>
    </row>
    <row r="241" spans="1:50" ht="15" customHeight="1" x14ac:dyDescent="0.25">
      <c r="A241" s="46"/>
      <c r="B241" s="46"/>
      <c r="C241" s="46"/>
      <c r="D241" s="21"/>
      <c r="E241" s="47"/>
      <c r="F241" s="21"/>
      <c r="G241" s="21"/>
      <c r="H241" s="21"/>
      <c r="I241" s="21"/>
      <c r="J241" s="4"/>
      <c r="K241" s="4"/>
      <c r="L241" s="4"/>
      <c r="M241" s="21"/>
      <c r="N241" s="21"/>
      <c r="O241" s="21"/>
      <c r="P241" s="4"/>
      <c r="Q241" s="4"/>
      <c r="R241" s="91">
        <f t="shared" si="33"/>
        <v>0</v>
      </c>
      <c r="S241" s="7"/>
      <c r="T241" s="5"/>
      <c r="U241" s="6"/>
      <c r="V241" s="4"/>
      <c r="W241" s="20"/>
      <c r="X241" s="4"/>
      <c r="Y241" s="20"/>
      <c r="Z241" s="4"/>
      <c r="AA241" s="20"/>
      <c r="AB241" s="4"/>
      <c r="AC241" s="20"/>
      <c r="AD241" s="4"/>
      <c r="AE241" s="20"/>
      <c r="AF241" s="19"/>
      <c r="AG241" s="8"/>
      <c r="AH241" s="17"/>
      <c r="AI241" s="37"/>
      <c r="AJ241" s="18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4" t="str">
        <f t="shared" si="34"/>
        <v/>
      </c>
      <c r="AX241" s="45" t="str">
        <f t="shared" si="35"/>
        <v/>
      </c>
    </row>
    <row r="242" spans="1:50" ht="15" customHeight="1" x14ac:dyDescent="0.25">
      <c r="A242" s="46"/>
      <c r="B242" s="46"/>
      <c r="C242" s="46"/>
      <c r="D242" s="21"/>
      <c r="E242" s="47"/>
      <c r="F242" s="21"/>
      <c r="G242" s="21"/>
      <c r="H242" s="21"/>
      <c r="I242" s="21"/>
      <c r="J242" s="4"/>
      <c r="K242" s="4"/>
      <c r="L242" s="4"/>
      <c r="M242" s="21"/>
      <c r="N242" s="21"/>
      <c r="O242" s="21"/>
      <c r="P242" s="4"/>
      <c r="Q242" s="4"/>
      <c r="R242" s="91">
        <f t="shared" si="33"/>
        <v>0</v>
      </c>
      <c r="S242" s="7"/>
      <c r="T242" s="5"/>
      <c r="U242" s="6"/>
      <c r="V242" s="4"/>
      <c r="W242" s="20"/>
      <c r="X242" s="4"/>
      <c r="Y242" s="20"/>
      <c r="Z242" s="4"/>
      <c r="AA242" s="20"/>
      <c r="AB242" s="4"/>
      <c r="AC242" s="20"/>
      <c r="AD242" s="4"/>
      <c r="AE242" s="20"/>
      <c r="AF242" s="19"/>
      <c r="AG242" s="8"/>
      <c r="AH242" s="17"/>
      <c r="AI242" s="37"/>
      <c r="AJ242" s="18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4" t="str">
        <f t="shared" si="34"/>
        <v/>
      </c>
      <c r="AX242" s="45" t="str">
        <f t="shared" si="35"/>
        <v/>
      </c>
    </row>
    <row r="243" spans="1:50" ht="15" customHeight="1" x14ac:dyDescent="0.25">
      <c r="A243" s="46"/>
      <c r="B243" s="46"/>
      <c r="C243" s="46"/>
      <c r="D243" s="21"/>
      <c r="E243" s="47"/>
      <c r="F243" s="21"/>
      <c r="G243" s="21"/>
      <c r="H243" s="21"/>
      <c r="I243" s="21"/>
      <c r="J243" s="4"/>
      <c r="K243" s="4"/>
      <c r="L243" s="4"/>
      <c r="M243" s="21"/>
      <c r="N243" s="21"/>
      <c r="O243" s="21"/>
      <c r="P243" s="4"/>
      <c r="Q243" s="4"/>
      <c r="R243" s="91">
        <f t="shared" si="33"/>
        <v>0</v>
      </c>
      <c r="S243" s="7"/>
      <c r="T243" s="5"/>
      <c r="U243" s="6"/>
      <c r="V243" s="4"/>
      <c r="W243" s="20"/>
      <c r="X243" s="4"/>
      <c r="Y243" s="20"/>
      <c r="Z243" s="4"/>
      <c r="AA243" s="20"/>
      <c r="AB243" s="4"/>
      <c r="AC243" s="20"/>
      <c r="AD243" s="4"/>
      <c r="AE243" s="20"/>
      <c r="AF243" s="19"/>
      <c r="AG243" s="8"/>
      <c r="AH243" s="17"/>
      <c r="AI243" s="37"/>
      <c r="AJ243" s="18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4" t="str">
        <f t="shared" si="34"/>
        <v/>
      </c>
      <c r="AX243" s="45" t="str">
        <f t="shared" si="35"/>
        <v/>
      </c>
    </row>
    <row r="244" spans="1:50" ht="15" customHeight="1" x14ac:dyDescent="0.25">
      <c r="A244" s="46"/>
      <c r="B244" s="46"/>
      <c r="C244" s="46"/>
      <c r="D244" s="21"/>
      <c r="E244" s="47"/>
      <c r="F244" s="21"/>
      <c r="G244" s="21"/>
      <c r="H244" s="21"/>
      <c r="I244" s="21"/>
      <c r="J244" s="4"/>
      <c r="K244" s="4"/>
      <c r="L244" s="4"/>
      <c r="M244" s="21"/>
      <c r="N244" s="21"/>
      <c r="O244" s="21"/>
      <c r="P244" s="4"/>
      <c r="Q244" s="4"/>
      <c r="R244" s="91">
        <f t="shared" si="33"/>
        <v>0</v>
      </c>
      <c r="S244" s="7"/>
      <c r="T244" s="5"/>
      <c r="U244" s="6"/>
      <c r="V244" s="4"/>
      <c r="W244" s="20"/>
      <c r="X244" s="4"/>
      <c r="Y244" s="20"/>
      <c r="Z244" s="4"/>
      <c r="AA244" s="20"/>
      <c r="AB244" s="4"/>
      <c r="AC244" s="20"/>
      <c r="AD244" s="4"/>
      <c r="AE244" s="20"/>
      <c r="AF244" s="19"/>
      <c r="AG244" s="8"/>
      <c r="AH244" s="17"/>
      <c r="AI244" s="37"/>
      <c r="AJ244" s="18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4" t="str">
        <f t="shared" si="34"/>
        <v/>
      </c>
      <c r="AX244" s="45" t="str">
        <f t="shared" si="35"/>
        <v/>
      </c>
    </row>
    <row r="245" spans="1:50" ht="15" customHeight="1" x14ac:dyDescent="0.25">
      <c r="A245" s="46"/>
      <c r="B245" s="46"/>
      <c r="C245" s="46"/>
      <c r="D245" s="21"/>
      <c r="E245" s="47"/>
      <c r="F245" s="21"/>
      <c r="G245" s="21"/>
      <c r="H245" s="21"/>
      <c r="I245" s="21"/>
      <c r="J245" s="4"/>
      <c r="K245" s="4"/>
      <c r="L245" s="4"/>
      <c r="M245" s="21"/>
      <c r="N245" s="21"/>
      <c r="O245" s="21"/>
      <c r="P245" s="4"/>
      <c r="Q245" s="4"/>
      <c r="R245" s="91">
        <f t="shared" si="33"/>
        <v>0</v>
      </c>
      <c r="S245" s="7"/>
      <c r="T245" s="5"/>
      <c r="U245" s="6"/>
      <c r="V245" s="4"/>
      <c r="W245" s="20"/>
      <c r="X245" s="4"/>
      <c r="Y245" s="20"/>
      <c r="Z245" s="4"/>
      <c r="AA245" s="20"/>
      <c r="AB245" s="4"/>
      <c r="AC245" s="20"/>
      <c r="AD245" s="4"/>
      <c r="AE245" s="20"/>
      <c r="AF245" s="19"/>
      <c r="AG245" s="8"/>
      <c r="AH245" s="17"/>
      <c r="AI245" s="37"/>
      <c r="AJ245" s="18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4" t="str">
        <f t="shared" si="34"/>
        <v/>
      </c>
      <c r="AX245" s="45" t="str">
        <f t="shared" ref="AX245:AX266" si="36">IF(AND(AV245="Y",AND(T245&gt;0, T245&lt;300)),"Y","")</f>
        <v/>
      </c>
    </row>
    <row r="246" spans="1:50" ht="15" customHeight="1" x14ac:dyDescent="0.25">
      <c r="A246" s="46"/>
      <c r="B246" s="46"/>
      <c r="C246" s="46"/>
      <c r="D246" s="21"/>
      <c r="E246" s="47"/>
      <c r="F246" s="21"/>
      <c r="G246" s="21"/>
      <c r="H246" s="21"/>
      <c r="I246" s="21"/>
      <c r="J246" s="4"/>
      <c r="K246" s="4"/>
      <c r="L246" s="4"/>
      <c r="M246" s="21"/>
      <c r="N246" s="21"/>
      <c r="O246" s="21"/>
      <c r="P246" s="4"/>
      <c r="Q246" s="4"/>
      <c r="R246" s="91">
        <f t="shared" si="33"/>
        <v>0</v>
      </c>
      <c r="S246" s="7"/>
      <c r="T246" s="5"/>
      <c r="U246" s="6"/>
      <c r="V246" s="4"/>
      <c r="W246" s="20"/>
      <c r="X246" s="4"/>
      <c r="Y246" s="20"/>
      <c r="Z246" s="4"/>
      <c r="AA246" s="20"/>
      <c r="AB246" s="4"/>
      <c r="AC246" s="20"/>
      <c r="AD246" s="4"/>
      <c r="AE246" s="20"/>
      <c r="AF246" s="19"/>
      <c r="AG246" s="8"/>
      <c r="AH246" s="17"/>
      <c r="AI246" s="37"/>
      <c r="AJ246" s="18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4" t="str">
        <f t="shared" si="34"/>
        <v/>
      </c>
      <c r="AX246" s="45" t="str">
        <f t="shared" si="36"/>
        <v/>
      </c>
    </row>
    <row r="247" spans="1:50" ht="15" customHeight="1" x14ac:dyDescent="0.25">
      <c r="A247" s="46"/>
      <c r="B247" s="46"/>
      <c r="C247" s="46"/>
      <c r="D247" s="21"/>
      <c r="E247" s="47"/>
      <c r="F247" s="21"/>
      <c r="G247" s="21"/>
      <c r="H247" s="21"/>
      <c r="I247" s="21"/>
      <c r="J247" s="4"/>
      <c r="K247" s="4"/>
      <c r="L247" s="4"/>
      <c r="M247" s="21"/>
      <c r="N247" s="21"/>
      <c r="O247" s="21"/>
      <c r="P247" s="4"/>
      <c r="Q247" s="4"/>
      <c r="R247" s="91">
        <f t="shared" si="33"/>
        <v>0</v>
      </c>
      <c r="S247" s="7"/>
      <c r="T247" s="5"/>
      <c r="U247" s="6"/>
      <c r="V247" s="4"/>
      <c r="W247" s="20"/>
      <c r="X247" s="4"/>
      <c r="Y247" s="20"/>
      <c r="Z247" s="4"/>
      <c r="AA247" s="20"/>
      <c r="AB247" s="4"/>
      <c r="AC247" s="20"/>
      <c r="AD247" s="4"/>
      <c r="AE247" s="20"/>
      <c r="AF247" s="19"/>
      <c r="AG247" s="8"/>
      <c r="AH247" s="17"/>
      <c r="AI247" s="37"/>
      <c r="AJ247" s="18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4" t="str">
        <f t="shared" si="34"/>
        <v/>
      </c>
      <c r="AX247" s="45" t="str">
        <f t="shared" si="36"/>
        <v/>
      </c>
    </row>
    <row r="248" spans="1:50" ht="15" customHeight="1" x14ac:dyDescent="0.25">
      <c r="A248" s="46"/>
      <c r="B248" s="46"/>
      <c r="C248" s="46"/>
      <c r="D248" s="21"/>
      <c r="E248" s="47"/>
      <c r="F248" s="21"/>
      <c r="G248" s="21"/>
      <c r="H248" s="21"/>
      <c r="I248" s="21"/>
      <c r="J248" s="4"/>
      <c r="K248" s="4"/>
      <c r="L248" s="4"/>
      <c r="M248" s="21"/>
      <c r="N248" s="21"/>
      <c r="O248" s="21"/>
      <c r="P248" s="4"/>
      <c r="Q248" s="4"/>
      <c r="R248" s="91">
        <f t="shared" si="33"/>
        <v>0</v>
      </c>
      <c r="S248" s="7"/>
      <c r="T248" s="5"/>
      <c r="U248" s="6"/>
      <c r="V248" s="4"/>
      <c r="W248" s="20"/>
      <c r="X248" s="4"/>
      <c r="Y248" s="20"/>
      <c r="Z248" s="4"/>
      <c r="AA248" s="20"/>
      <c r="AB248" s="4"/>
      <c r="AC248" s="20"/>
      <c r="AD248" s="4"/>
      <c r="AE248" s="20"/>
      <c r="AF248" s="19"/>
      <c r="AG248" s="8"/>
      <c r="AH248" s="17"/>
      <c r="AI248" s="37"/>
      <c r="AJ248" s="18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4" t="str">
        <f t="shared" si="34"/>
        <v/>
      </c>
      <c r="AX248" s="45" t="str">
        <f t="shared" si="36"/>
        <v/>
      </c>
    </row>
    <row r="249" spans="1:50" ht="15" customHeight="1" x14ac:dyDescent="0.25">
      <c r="A249" s="46"/>
      <c r="B249" s="46"/>
      <c r="C249" s="46"/>
      <c r="D249" s="21"/>
      <c r="E249" s="47"/>
      <c r="F249" s="21"/>
      <c r="G249" s="21"/>
      <c r="H249" s="21"/>
      <c r="I249" s="21"/>
      <c r="J249" s="4"/>
      <c r="K249" s="4"/>
      <c r="L249" s="4"/>
      <c r="M249" s="21"/>
      <c r="N249" s="21"/>
      <c r="O249" s="21"/>
      <c r="P249" s="4"/>
      <c r="Q249" s="4"/>
      <c r="R249" s="91">
        <f t="shared" si="33"/>
        <v>0</v>
      </c>
      <c r="S249" s="7"/>
      <c r="T249" s="5"/>
      <c r="U249" s="6"/>
      <c r="V249" s="4"/>
      <c r="W249" s="20"/>
      <c r="X249" s="4"/>
      <c r="Y249" s="20"/>
      <c r="Z249" s="4"/>
      <c r="AA249" s="20"/>
      <c r="AB249" s="4"/>
      <c r="AC249" s="20"/>
      <c r="AD249" s="4"/>
      <c r="AE249" s="20"/>
      <c r="AF249" s="19"/>
      <c r="AG249" s="8"/>
      <c r="AH249" s="17"/>
      <c r="AI249" s="37"/>
      <c r="AJ249" s="18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4" t="str">
        <f t="shared" si="34"/>
        <v/>
      </c>
      <c r="AX249" s="45" t="str">
        <f t="shared" si="36"/>
        <v/>
      </c>
    </row>
    <row r="250" spans="1:50" ht="15" customHeight="1" x14ac:dyDescent="0.25">
      <c r="A250" s="46"/>
      <c r="B250" s="46"/>
      <c r="C250" s="46"/>
      <c r="D250" s="21"/>
      <c r="E250" s="47"/>
      <c r="F250" s="21"/>
      <c r="G250" s="21"/>
      <c r="H250" s="21"/>
      <c r="I250" s="21"/>
      <c r="J250" s="4"/>
      <c r="K250" s="4"/>
      <c r="L250" s="4"/>
      <c r="M250" s="21"/>
      <c r="N250" s="21"/>
      <c r="O250" s="21"/>
      <c r="P250" s="4"/>
      <c r="Q250" s="4"/>
      <c r="R250" s="91">
        <f t="shared" si="33"/>
        <v>0</v>
      </c>
      <c r="S250" s="7"/>
      <c r="T250" s="5"/>
      <c r="U250" s="6"/>
      <c r="V250" s="4"/>
      <c r="W250" s="20"/>
      <c r="X250" s="4"/>
      <c r="Y250" s="20"/>
      <c r="Z250" s="4"/>
      <c r="AA250" s="20"/>
      <c r="AB250" s="4"/>
      <c r="AC250" s="20"/>
      <c r="AD250" s="4"/>
      <c r="AE250" s="20"/>
      <c r="AF250" s="19"/>
      <c r="AG250" s="8"/>
      <c r="AH250" s="17"/>
      <c r="AI250" s="37"/>
      <c r="AJ250" s="18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4" t="str">
        <f t="shared" si="34"/>
        <v/>
      </c>
      <c r="AX250" s="45" t="str">
        <f t="shared" si="36"/>
        <v/>
      </c>
    </row>
    <row r="251" spans="1:50" ht="15" customHeight="1" x14ac:dyDescent="0.25">
      <c r="A251" s="46"/>
      <c r="B251" s="46"/>
      <c r="C251" s="46"/>
      <c r="D251" s="21"/>
      <c r="E251" s="47"/>
      <c r="F251" s="21"/>
      <c r="G251" s="21"/>
      <c r="H251" s="21"/>
      <c r="I251" s="21"/>
      <c r="J251" s="4"/>
      <c r="K251" s="4"/>
      <c r="L251" s="4"/>
      <c r="M251" s="21"/>
      <c r="N251" s="21"/>
      <c r="O251" s="21"/>
      <c r="P251" s="4"/>
      <c r="Q251" s="4"/>
      <c r="R251" s="91">
        <f t="shared" si="33"/>
        <v>0</v>
      </c>
      <c r="S251" s="7"/>
      <c r="T251" s="5"/>
      <c r="U251" s="6"/>
      <c r="V251" s="4"/>
      <c r="W251" s="20"/>
      <c r="X251" s="4"/>
      <c r="Y251" s="20"/>
      <c r="Z251" s="4"/>
      <c r="AA251" s="20"/>
      <c r="AB251" s="4"/>
      <c r="AC251" s="20"/>
      <c r="AD251" s="4"/>
      <c r="AE251" s="20"/>
      <c r="AF251" s="19"/>
      <c r="AG251" s="8"/>
      <c r="AH251" s="17"/>
      <c r="AI251" s="37"/>
      <c r="AJ251" s="18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4" t="str">
        <f t="shared" si="34"/>
        <v/>
      </c>
      <c r="AX251" s="45" t="str">
        <f t="shared" si="36"/>
        <v/>
      </c>
    </row>
    <row r="252" spans="1:50" ht="15" customHeight="1" x14ac:dyDescent="0.25">
      <c r="A252" s="46"/>
      <c r="B252" s="46"/>
      <c r="C252" s="46"/>
      <c r="D252" s="21"/>
      <c r="E252" s="47"/>
      <c r="F252" s="21"/>
      <c r="G252" s="21"/>
      <c r="H252" s="21"/>
      <c r="I252" s="21"/>
      <c r="J252" s="4"/>
      <c r="K252" s="4"/>
      <c r="L252" s="4"/>
      <c r="M252" s="21"/>
      <c r="N252" s="21"/>
      <c r="O252" s="21"/>
      <c r="P252" s="4"/>
      <c r="Q252" s="4"/>
      <c r="R252" s="91">
        <f t="shared" si="33"/>
        <v>0</v>
      </c>
      <c r="S252" s="7"/>
      <c r="T252" s="5"/>
      <c r="U252" s="6"/>
      <c r="V252" s="4"/>
      <c r="W252" s="20"/>
      <c r="X252" s="4"/>
      <c r="Y252" s="20"/>
      <c r="Z252" s="4"/>
      <c r="AA252" s="20"/>
      <c r="AB252" s="4"/>
      <c r="AC252" s="20"/>
      <c r="AD252" s="4"/>
      <c r="AE252" s="20"/>
      <c r="AF252" s="19"/>
      <c r="AG252" s="8"/>
      <c r="AH252" s="17"/>
      <c r="AI252" s="37"/>
      <c r="AJ252" s="18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4" t="str">
        <f t="shared" si="34"/>
        <v/>
      </c>
      <c r="AX252" s="45" t="str">
        <f t="shared" si="36"/>
        <v/>
      </c>
    </row>
    <row r="253" spans="1:50" ht="15" customHeight="1" x14ac:dyDescent="0.25">
      <c r="A253" s="46"/>
      <c r="B253" s="46"/>
      <c r="C253" s="46"/>
      <c r="D253" s="21"/>
      <c r="E253" s="47"/>
      <c r="F253" s="21"/>
      <c r="G253" s="21"/>
      <c r="H253" s="21"/>
      <c r="I253" s="21"/>
      <c r="J253" s="4"/>
      <c r="K253" s="4"/>
      <c r="L253" s="4"/>
      <c r="M253" s="21"/>
      <c r="N253" s="21"/>
      <c r="O253" s="21"/>
      <c r="P253" s="4"/>
      <c r="Q253" s="4"/>
      <c r="R253" s="91">
        <f t="shared" si="33"/>
        <v>0</v>
      </c>
      <c r="S253" s="7"/>
      <c r="T253" s="5"/>
      <c r="U253" s="6"/>
      <c r="V253" s="4"/>
      <c r="W253" s="20"/>
      <c r="X253" s="4"/>
      <c r="Y253" s="20"/>
      <c r="Z253" s="4"/>
      <c r="AA253" s="20"/>
      <c r="AB253" s="4"/>
      <c r="AC253" s="20"/>
      <c r="AD253" s="4"/>
      <c r="AE253" s="20"/>
      <c r="AF253" s="19"/>
      <c r="AG253" s="8"/>
      <c r="AH253" s="17"/>
      <c r="AI253" s="37"/>
      <c r="AJ253" s="18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4" t="str">
        <f t="shared" si="34"/>
        <v/>
      </c>
      <c r="AX253" s="45" t="str">
        <f t="shared" si="36"/>
        <v/>
      </c>
    </row>
    <row r="254" spans="1:50" ht="15" customHeight="1" x14ac:dyDescent="0.25">
      <c r="A254" s="46"/>
      <c r="B254" s="46"/>
      <c r="C254" s="46"/>
      <c r="D254" s="21"/>
      <c r="E254" s="47"/>
      <c r="F254" s="21"/>
      <c r="G254" s="21"/>
      <c r="H254" s="21"/>
      <c r="I254" s="21"/>
      <c r="J254" s="4"/>
      <c r="K254" s="4"/>
      <c r="L254" s="4"/>
      <c r="M254" s="21"/>
      <c r="N254" s="21"/>
      <c r="O254" s="21"/>
      <c r="P254" s="4"/>
      <c r="Q254" s="4"/>
      <c r="R254" s="91">
        <f t="shared" si="33"/>
        <v>0</v>
      </c>
      <c r="S254" s="7"/>
      <c r="T254" s="5"/>
      <c r="U254" s="6"/>
      <c r="V254" s="4"/>
      <c r="W254" s="20"/>
      <c r="X254" s="4"/>
      <c r="Y254" s="20"/>
      <c r="Z254" s="4"/>
      <c r="AA254" s="20"/>
      <c r="AB254" s="4"/>
      <c r="AC254" s="20"/>
      <c r="AD254" s="4"/>
      <c r="AE254" s="20"/>
      <c r="AF254" s="19"/>
      <c r="AG254" s="8"/>
      <c r="AH254" s="17"/>
      <c r="AI254" s="37"/>
      <c r="AJ254" s="18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4" t="str">
        <f t="shared" si="34"/>
        <v/>
      </c>
      <c r="AX254" s="45" t="str">
        <f t="shared" si="36"/>
        <v/>
      </c>
    </row>
    <row r="255" spans="1:50" ht="15" customHeight="1" x14ac:dyDescent="0.25">
      <c r="A255" s="46"/>
      <c r="B255" s="46"/>
      <c r="C255" s="46"/>
      <c r="D255" s="21"/>
      <c r="E255" s="47"/>
      <c r="F255" s="21"/>
      <c r="G255" s="21"/>
      <c r="H255" s="21"/>
      <c r="I255" s="21"/>
      <c r="J255" s="4"/>
      <c r="K255" s="4"/>
      <c r="L255" s="4"/>
      <c r="M255" s="21"/>
      <c r="N255" s="21"/>
      <c r="O255" s="21"/>
      <c r="P255" s="4"/>
      <c r="Q255" s="4"/>
      <c r="R255" s="91">
        <f t="shared" si="33"/>
        <v>0</v>
      </c>
      <c r="S255" s="7"/>
      <c r="T255" s="5"/>
      <c r="U255" s="6"/>
      <c r="V255" s="4"/>
      <c r="W255" s="20"/>
      <c r="X255" s="4"/>
      <c r="Y255" s="20"/>
      <c r="Z255" s="4"/>
      <c r="AA255" s="20"/>
      <c r="AB255" s="4"/>
      <c r="AC255" s="20"/>
      <c r="AD255" s="4"/>
      <c r="AE255" s="20"/>
      <c r="AF255" s="19"/>
      <c r="AG255" s="8"/>
      <c r="AH255" s="17"/>
      <c r="AI255" s="37"/>
      <c r="AJ255" s="18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4" t="str">
        <f t="shared" si="34"/>
        <v/>
      </c>
      <c r="AX255" s="45" t="str">
        <f t="shared" si="36"/>
        <v/>
      </c>
    </row>
    <row r="256" spans="1:50" ht="15" customHeight="1" x14ac:dyDescent="0.25">
      <c r="A256" s="46"/>
      <c r="B256" s="46"/>
      <c r="C256" s="46"/>
      <c r="D256" s="21"/>
      <c r="E256" s="47"/>
      <c r="F256" s="21"/>
      <c r="G256" s="21"/>
      <c r="H256" s="21"/>
      <c r="I256" s="21"/>
      <c r="J256" s="4"/>
      <c r="K256" s="4"/>
      <c r="L256" s="4"/>
      <c r="M256" s="21"/>
      <c r="N256" s="21"/>
      <c r="O256" s="21"/>
      <c r="P256" s="4"/>
      <c r="Q256" s="4"/>
      <c r="R256" s="91">
        <f t="shared" si="33"/>
        <v>0</v>
      </c>
      <c r="S256" s="7"/>
      <c r="T256" s="5"/>
      <c r="U256" s="6"/>
      <c r="V256" s="4"/>
      <c r="W256" s="20"/>
      <c r="X256" s="4"/>
      <c r="Y256" s="20"/>
      <c r="Z256" s="4"/>
      <c r="AA256" s="20"/>
      <c r="AB256" s="4"/>
      <c r="AC256" s="20"/>
      <c r="AD256" s="4"/>
      <c r="AE256" s="20"/>
      <c r="AF256" s="19"/>
      <c r="AG256" s="8"/>
      <c r="AH256" s="17"/>
      <c r="AI256" s="37"/>
      <c r="AJ256" s="18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4" t="str">
        <f t="shared" si="34"/>
        <v/>
      </c>
      <c r="AX256" s="45" t="str">
        <f t="shared" si="36"/>
        <v/>
      </c>
    </row>
    <row r="257" spans="1:50" ht="15" customHeight="1" x14ac:dyDescent="0.25">
      <c r="A257" s="46"/>
      <c r="B257" s="46"/>
      <c r="C257" s="46"/>
      <c r="D257" s="21"/>
      <c r="E257" s="47"/>
      <c r="F257" s="21"/>
      <c r="G257" s="21"/>
      <c r="H257" s="21"/>
      <c r="I257" s="21"/>
      <c r="J257" s="4"/>
      <c r="K257" s="4"/>
      <c r="L257" s="4"/>
      <c r="M257" s="21"/>
      <c r="N257" s="21"/>
      <c r="O257" s="21"/>
      <c r="P257" s="4"/>
      <c r="Q257" s="4"/>
      <c r="R257" s="91">
        <f t="shared" si="33"/>
        <v>0</v>
      </c>
      <c r="S257" s="7"/>
      <c r="T257" s="5"/>
      <c r="U257" s="6"/>
      <c r="V257" s="4"/>
      <c r="W257" s="20"/>
      <c r="X257" s="4"/>
      <c r="Y257" s="20"/>
      <c r="Z257" s="4"/>
      <c r="AA257" s="20"/>
      <c r="AB257" s="4"/>
      <c r="AC257" s="20"/>
      <c r="AD257" s="4"/>
      <c r="AE257" s="20"/>
      <c r="AF257" s="19"/>
      <c r="AG257" s="8"/>
      <c r="AH257" s="17"/>
      <c r="AI257" s="37"/>
      <c r="AJ257" s="18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4" t="str">
        <f t="shared" si="34"/>
        <v/>
      </c>
      <c r="AX257" s="45" t="str">
        <f t="shared" si="36"/>
        <v/>
      </c>
    </row>
    <row r="258" spans="1:50" ht="15" customHeight="1" x14ac:dyDescent="0.25">
      <c r="A258" s="46"/>
      <c r="B258" s="46"/>
      <c r="C258" s="46"/>
      <c r="D258" s="21"/>
      <c r="E258" s="47"/>
      <c r="F258" s="21"/>
      <c r="G258" s="21"/>
      <c r="H258" s="21"/>
      <c r="I258" s="21"/>
      <c r="J258" s="4"/>
      <c r="K258" s="4"/>
      <c r="L258" s="4"/>
      <c r="M258" s="21"/>
      <c r="N258" s="21"/>
      <c r="O258" s="21"/>
      <c r="P258" s="4"/>
      <c r="Q258" s="4"/>
      <c r="R258" s="91">
        <f t="shared" si="33"/>
        <v>0</v>
      </c>
      <c r="S258" s="7"/>
      <c r="T258" s="5"/>
      <c r="U258" s="6"/>
      <c r="V258" s="4"/>
      <c r="W258" s="20"/>
      <c r="X258" s="4"/>
      <c r="Y258" s="20"/>
      <c r="Z258" s="4"/>
      <c r="AA258" s="20"/>
      <c r="AB258" s="4"/>
      <c r="AC258" s="20"/>
      <c r="AD258" s="4"/>
      <c r="AE258" s="20"/>
      <c r="AF258" s="19"/>
      <c r="AG258" s="8"/>
      <c r="AH258" s="17"/>
      <c r="AI258" s="37"/>
      <c r="AJ258" s="18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4" t="str">
        <f t="shared" si="34"/>
        <v/>
      </c>
      <c r="AX258" s="45" t="str">
        <f t="shared" si="36"/>
        <v/>
      </c>
    </row>
    <row r="259" spans="1:50" ht="15" customHeight="1" x14ac:dyDescent="0.25">
      <c r="A259" s="46"/>
      <c r="B259" s="46"/>
      <c r="C259" s="46"/>
      <c r="D259" s="21"/>
      <c r="E259" s="47"/>
      <c r="F259" s="21"/>
      <c r="G259" s="21"/>
      <c r="H259" s="21"/>
      <c r="I259" s="21"/>
      <c r="J259" s="4"/>
      <c r="K259" s="4"/>
      <c r="L259" s="4"/>
      <c r="M259" s="21"/>
      <c r="N259" s="21"/>
      <c r="O259" s="21"/>
      <c r="P259" s="4"/>
      <c r="Q259" s="4"/>
      <c r="R259" s="91">
        <f t="shared" si="33"/>
        <v>0</v>
      </c>
      <c r="S259" s="7"/>
      <c r="T259" s="5"/>
      <c r="U259" s="6"/>
      <c r="V259" s="4"/>
      <c r="W259" s="20"/>
      <c r="X259" s="4"/>
      <c r="Y259" s="20"/>
      <c r="Z259" s="4"/>
      <c r="AA259" s="20"/>
      <c r="AB259" s="4"/>
      <c r="AC259" s="20"/>
      <c r="AD259" s="4"/>
      <c r="AE259" s="20"/>
      <c r="AF259" s="19"/>
      <c r="AG259" s="8"/>
      <c r="AH259" s="17"/>
      <c r="AI259" s="37"/>
      <c r="AJ259" s="18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4" t="str">
        <f t="shared" si="34"/>
        <v/>
      </c>
      <c r="AX259" s="45" t="str">
        <f t="shared" si="36"/>
        <v/>
      </c>
    </row>
    <row r="260" spans="1:50" ht="15" customHeight="1" x14ac:dyDescent="0.25">
      <c r="A260" s="46"/>
      <c r="B260" s="46"/>
      <c r="C260" s="46"/>
      <c r="D260" s="21"/>
      <c r="E260" s="47"/>
      <c r="F260" s="21"/>
      <c r="G260" s="21"/>
      <c r="H260" s="21"/>
      <c r="I260" s="21"/>
      <c r="J260" s="4"/>
      <c r="K260" s="4"/>
      <c r="L260" s="4"/>
      <c r="M260" s="21"/>
      <c r="N260" s="21"/>
      <c r="O260" s="21"/>
      <c r="P260" s="4"/>
      <c r="Q260" s="4"/>
      <c r="R260" s="91">
        <f t="shared" si="33"/>
        <v>0</v>
      </c>
      <c r="S260" s="7"/>
      <c r="T260" s="5"/>
      <c r="U260" s="6"/>
      <c r="V260" s="4"/>
      <c r="W260" s="20"/>
      <c r="X260" s="4"/>
      <c r="Y260" s="20"/>
      <c r="Z260" s="4"/>
      <c r="AA260" s="20"/>
      <c r="AB260" s="4"/>
      <c r="AC260" s="20"/>
      <c r="AD260" s="4"/>
      <c r="AE260" s="20"/>
      <c r="AF260" s="19"/>
      <c r="AG260" s="8"/>
      <c r="AH260" s="17"/>
      <c r="AI260" s="37"/>
      <c r="AJ260" s="18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4" t="str">
        <f t="shared" si="34"/>
        <v/>
      </c>
      <c r="AX260" s="45" t="str">
        <f t="shared" si="36"/>
        <v/>
      </c>
    </row>
    <row r="261" spans="1:50" ht="15" customHeight="1" x14ac:dyDescent="0.25">
      <c r="A261" s="46"/>
      <c r="B261" s="46"/>
      <c r="C261" s="46"/>
      <c r="D261" s="21"/>
      <c r="E261" s="47"/>
      <c r="F261" s="21"/>
      <c r="G261" s="21"/>
      <c r="H261" s="21"/>
      <c r="I261" s="21"/>
      <c r="J261" s="4"/>
      <c r="K261" s="4"/>
      <c r="L261" s="4"/>
      <c r="M261" s="21"/>
      <c r="N261" s="21"/>
      <c r="O261" s="21"/>
      <c r="P261" s="4"/>
      <c r="Q261" s="4"/>
      <c r="R261" s="91">
        <f t="shared" si="33"/>
        <v>0</v>
      </c>
      <c r="S261" s="7"/>
      <c r="T261" s="5"/>
      <c r="U261" s="6"/>
      <c r="V261" s="4"/>
      <c r="W261" s="20"/>
      <c r="X261" s="4"/>
      <c r="Y261" s="20"/>
      <c r="Z261" s="4"/>
      <c r="AA261" s="20"/>
      <c r="AB261" s="4"/>
      <c r="AC261" s="20"/>
      <c r="AD261" s="4"/>
      <c r="AE261" s="20"/>
      <c r="AF261" s="19"/>
      <c r="AG261" s="8"/>
      <c r="AH261" s="17"/>
      <c r="AI261" s="37"/>
      <c r="AJ261" s="18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4" t="str">
        <f t="shared" si="34"/>
        <v/>
      </c>
      <c r="AX261" s="45" t="str">
        <f t="shared" si="36"/>
        <v/>
      </c>
    </row>
    <row r="262" spans="1:50" ht="15" customHeight="1" x14ac:dyDescent="0.25">
      <c r="A262" s="46"/>
      <c r="B262" s="46"/>
      <c r="C262" s="46"/>
      <c r="D262" s="21"/>
      <c r="E262" s="47"/>
      <c r="F262" s="21"/>
      <c r="G262" s="21"/>
      <c r="H262" s="21"/>
      <c r="I262" s="21"/>
      <c r="J262" s="4"/>
      <c r="K262" s="4"/>
      <c r="L262" s="4"/>
      <c r="M262" s="21"/>
      <c r="N262" s="21"/>
      <c r="O262" s="21"/>
      <c r="P262" s="4"/>
      <c r="Q262" s="4"/>
      <c r="R262" s="91">
        <f t="shared" ref="R262:R264" si="37">SUM(S262:AJ262)</f>
        <v>0</v>
      </c>
      <c r="S262" s="7"/>
      <c r="T262" s="5"/>
      <c r="U262" s="6"/>
      <c r="V262" s="4"/>
      <c r="W262" s="20"/>
      <c r="X262" s="4"/>
      <c r="Y262" s="20"/>
      <c r="Z262" s="4"/>
      <c r="AA262" s="20"/>
      <c r="AB262" s="4"/>
      <c r="AC262" s="20"/>
      <c r="AD262" s="4"/>
      <c r="AE262" s="20"/>
      <c r="AF262" s="19"/>
      <c r="AG262" s="8"/>
      <c r="AH262" s="17"/>
      <c r="AI262" s="37"/>
      <c r="AJ262" s="18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4" t="str">
        <f t="shared" si="34"/>
        <v/>
      </c>
      <c r="AX262" s="45" t="str">
        <f t="shared" si="36"/>
        <v/>
      </c>
    </row>
    <row r="263" spans="1:50" ht="15" customHeight="1" x14ac:dyDescent="0.25">
      <c r="A263" s="46"/>
      <c r="B263" s="46"/>
      <c r="C263" s="46"/>
      <c r="D263" s="21"/>
      <c r="E263" s="47"/>
      <c r="F263" s="21"/>
      <c r="G263" s="21"/>
      <c r="H263" s="21"/>
      <c r="I263" s="21"/>
      <c r="J263" s="4"/>
      <c r="K263" s="4"/>
      <c r="L263" s="4"/>
      <c r="M263" s="21"/>
      <c r="N263" s="21"/>
      <c r="O263" s="21"/>
      <c r="P263" s="4"/>
      <c r="Q263" s="4"/>
      <c r="R263" s="91">
        <f t="shared" si="37"/>
        <v>0</v>
      </c>
      <c r="S263" s="7"/>
      <c r="T263" s="5"/>
      <c r="U263" s="6"/>
      <c r="V263" s="4"/>
      <c r="W263" s="20"/>
      <c r="X263" s="4"/>
      <c r="Y263" s="20"/>
      <c r="Z263" s="4"/>
      <c r="AA263" s="20"/>
      <c r="AB263" s="4"/>
      <c r="AC263" s="20"/>
      <c r="AD263" s="4"/>
      <c r="AE263" s="20"/>
      <c r="AF263" s="19"/>
      <c r="AG263" s="8"/>
      <c r="AH263" s="17"/>
      <c r="AI263" s="37"/>
      <c r="AJ263" s="18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4" t="str">
        <f t="shared" si="34"/>
        <v/>
      </c>
      <c r="AX263" s="45" t="str">
        <f t="shared" si="36"/>
        <v/>
      </c>
    </row>
    <row r="264" spans="1:50" ht="15" customHeight="1" x14ac:dyDescent="0.25">
      <c r="A264" s="46"/>
      <c r="B264" s="46"/>
      <c r="C264" s="46"/>
      <c r="D264" s="21"/>
      <c r="E264" s="47"/>
      <c r="F264" s="21"/>
      <c r="G264" s="21"/>
      <c r="H264" s="21"/>
      <c r="I264" s="21"/>
      <c r="J264" s="4"/>
      <c r="K264" s="4"/>
      <c r="L264" s="4"/>
      <c r="M264" s="21"/>
      <c r="N264" s="21"/>
      <c r="O264" s="21"/>
      <c r="P264" s="4"/>
      <c r="Q264" s="4"/>
      <c r="R264" s="91">
        <f t="shared" si="37"/>
        <v>0</v>
      </c>
      <c r="S264" s="7"/>
      <c r="T264" s="5"/>
      <c r="U264" s="6"/>
      <c r="V264" s="4"/>
      <c r="W264" s="20"/>
      <c r="X264" s="4"/>
      <c r="Y264" s="20"/>
      <c r="Z264" s="4"/>
      <c r="AA264" s="20"/>
      <c r="AB264" s="4"/>
      <c r="AC264" s="20"/>
      <c r="AD264" s="4"/>
      <c r="AE264" s="20"/>
      <c r="AF264" s="19"/>
      <c r="AG264" s="8"/>
      <c r="AH264" s="17"/>
      <c r="AI264" s="37"/>
      <c r="AJ264" s="18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4" t="str">
        <f t="shared" si="34"/>
        <v/>
      </c>
      <c r="AX264" s="45" t="str">
        <f t="shared" si="36"/>
        <v/>
      </c>
    </row>
    <row r="265" spans="1:50" ht="15" customHeight="1" x14ac:dyDescent="0.25">
      <c r="A265" s="46"/>
      <c r="B265" s="46"/>
      <c r="C265" s="46"/>
      <c r="D265" s="21"/>
      <c r="E265" s="47"/>
      <c r="F265" s="21"/>
      <c r="G265" s="21"/>
      <c r="H265" s="21"/>
      <c r="I265" s="21"/>
      <c r="J265" s="4"/>
      <c r="K265" s="4"/>
      <c r="L265" s="4"/>
      <c r="M265" s="21"/>
      <c r="N265" s="21"/>
      <c r="O265" s="21"/>
      <c r="P265" s="4"/>
      <c r="Q265" s="4"/>
      <c r="R265" s="91">
        <f t="shared" ref="R265:R266" si="38">SUM(S265:AJ265)</f>
        <v>0</v>
      </c>
      <c r="S265" s="7"/>
      <c r="T265" s="5"/>
      <c r="U265" s="6"/>
      <c r="V265" s="4"/>
      <c r="W265" s="20"/>
      <c r="X265" s="4"/>
      <c r="Y265" s="20"/>
      <c r="Z265" s="4"/>
      <c r="AA265" s="20"/>
      <c r="AB265" s="4"/>
      <c r="AC265" s="20"/>
      <c r="AD265" s="4"/>
      <c r="AE265" s="20"/>
      <c r="AF265" s="19"/>
      <c r="AG265" s="8"/>
      <c r="AH265" s="17"/>
      <c r="AI265" s="37"/>
      <c r="AJ265" s="18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4" t="str">
        <f t="shared" si="34"/>
        <v/>
      </c>
      <c r="AX265" s="45" t="str">
        <f t="shared" si="36"/>
        <v/>
      </c>
    </row>
    <row r="266" spans="1:50" ht="15" customHeight="1" x14ac:dyDescent="0.25">
      <c r="A266" s="46"/>
      <c r="B266" s="46"/>
      <c r="C266" s="46"/>
      <c r="D266" s="21"/>
      <c r="E266" s="47"/>
      <c r="F266" s="21"/>
      <c r="G266" s="21"/>
      <c r="H266" s="21"/>
      <c r="I266" s="21"/>
      <c r="J266" s="4"/>
      <c r="K266" s="4"/>
      <c r="L266" s="4"/>
      <c r="M266" s="21"/>
      <c r="N266" s="21"/>
      <c r="O266" s="21"/>
      <c r="P266" s="4"/>
      <c r="Q266" s="4"/>
      <c r="R266" s="91">
        <f t="shared" si="38"/>
        <v>0</v>
      </c>
      <c r="S266" s="7"/>
      <c r="T266" s="5"/>
      <c r="U266" s="6"/>
      <c r="V266" s="4"/>
      <c r="W266" s="20"/>
      <c r="X266" s="4"/>
      <c r="Y266" s="20"/>
      <c r="Z266" s="4"/>
      <c r="AA266" s="20"/>
      <c r="AB266" s="4"/>
      <c r="AC266" s="20"/>
      <c r="AD266" s="4"/>
      <c r="AE266" s="20"/>
      <c r="AF266" s="19"/>
      <c r="AG266" s="8"/>
      <c r="AH266" s="17"/>
      <c r="AI266" s="37"/>
      <c r="AJ266" s="18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4" t="str">
        <f t="shared" ref="AW266:AW267" si="39">IF(R266&gt;4999.9,"G",IF(R266&gt;999.9,"F",IF(R266&gt;299.9,"E",IF(R266&gt;99.9,"D",IF(R266&gt;9.9,"C",IF(R266&gt;0.25,"B",IF(R266&gt;0,"A","")))))))</f>
        <v/>
      </c>
      <c r="AX266" s="45" t="str">
        <f t="shared" si="36"/>
        <v/>
      </c>
    </row>
    <row r="267" spans="1:50" ht="15" customHeight="1" x14ac:dyDescent="0.25">
      <c r="A267" s="46"/>
      <c r="B267" s="56"/>
      <c r="C267" s="46"/>
      <c r="D267" s="21"/>
      <c r="E267" s="47"/>
      <c r="F267" s="21"/>
      <c r="G267" s="21" t="s">
        <v>93</v>
      </c>
      <c r="H267" s="21"/>
      <c r="I267" s="21"/>
      <c r="J267" s="4"/>
      <c r="K267" s="4"/>
      <c r="L267" s="4"/>
      <c r="M267" s="21"/>
      <c r="N267" s="21"/>
      <c r="O267" s="21"/>
      <c r="P267" s="4"/>
      <c r="Q267" s="4"/>
      <c r="R267" s="91">
        <f t="shared" ref="R267" si="40">SUM(S267:AJ267)</f>
        <v>0</v>
      </c>
      <c r="S267" s="7"/>
      <c r="T267" s="5"/>
      <c r="U267" s="6"/>
      <c r="V267" s="4"/>
      <c r="W267" s="20"/>
      <c r="X267" s="4"/>
      <c r="Y267" s="20"/>
      <c r="Z267" s="4"/>
      <c r="AA267" s="20"/>
      <c r="AB267" s="4"/>
      <c r="AC267" s="20"/>
      <c r="AD267" s="4"/>
      <c r="AE267" s="20"/>
      <c r="AF267" s="19"/>
      <c r="AG267" s="8"/>
      <c r="AH267" s="17"/>
      <c r="AI267" s="37"/>
      <c r="AJ267" s="18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4" t="str">
        <f t="shared" si="39"/>
        <v/>
      </c>
      <c r="AX267" s="45" t="str">
        <f t="shared" ref="AX267" si="41">IF(AND(AV267="Y",T267&gt;0),"Y","")</f>
        <v/>
      </c>
    </row>
    <row r="268" spans="1:50" ht="15" customHeight="1" x14ac:dyDescent="0.25">
      <c r="A268" s="56" t="s">
        <v>5</v>
      </c>
      <c r="B268" s="56"/>
      <c r="C268" s="56"/>
      <c r="D268" s="56"/>
      <c r="G268" s="49" t="s">
        <v>5</v>
      </c>
      <c r="J268" s="49" t="s">
        <v>5</v>
      </c>
    </row>
    <row r="269" spans="1:50" ht="15" customHeight="1" x14ac:dyDescent="0.25">
      <c r="A269" s="56"/>
      <c r="B269" s="56"/>
      <c r="C269" s="56"/>
      <c r="D269" s="56"/>
    </row>
    <row r="270" spans="1:50" ht="15" customHeight="1" x14ac:dyDescent="0.25">
      <c r="A270" s="56"/>
      <c r="B270" s="56"/>
      <c r="C270" s="56"/>
      <c r="D270" s="56"/>
    </row>
    <row r="271" spans="1:50" ht="15" customHeight="1" x14ac:dyDescent="0.25">
      <c r="A271" s="56"/>
      <c r="B271" s="56"/>
      <c r="C271" s="56"/>
      <c r="D271" s="56"/>
    </row>
    <row r="272" spans="1:50" ht="15" customHeight="1" x14ac:dyDescent="0.25">
      <c r="A272" s="56"/>
      <c r="B272" s="56"/>
      <c r="C272" s="56"/>
      <c r="D272" s="56"/>
    </row>
    <row r="273" spans="1:4" ht="15" customHeight="1" x14ac:dyDescent="0.25">
      <c r="A273" s="56"/>
      <c r="B273" s="56"/>
      <c r="C273" s="56"/>
      <c r="D273" s="56"/>
    </row>
    <row r="274" spans="1:4" ht="15" customHeight="1" x14ac:dyDescent="0.25">
      <c r="A274" s="56"/>
      <c r="B274" s="56"/>
      <c r="C274" s="56"/>
      <c r="D274" s="56"/>
    </row>
    <row r="275" spans="1:4" ht="15" customHeight="1" x14ac:dyDescent="0.25">
      <c r="A275" s="56"/>
      <c r="B275" s="56"/>
      <c r="C275" s="56"/>
      <c r="D275" s="56"/>
    </row>
    <row r="276" spans="1:4" ht="15" customHeight="1" x14ac:dyDescent="0.25">
      <c r="A276" s="56"/>
      <c r="B276" s="56"/>
      <c r="C276" s="56"/>
      <c r="D276" s="56"/>
    </row>
    <row r="277" spans="1:4" ht="15" customHeight="1" x14ac:dyDescent="0.25">
      <c r="A277" s="56"/>
      <c r="B277" s="56"/>
      <c r="C277" s="56"/>
      <c r="D277" s="56"/>
    </row>
    <row r="278" spans="1:4" ht="15" customHeight="1" x14ac:dyDescent="0.25">
      <c r="A278" s="56"/>
      <c r="B278" s="56"/>
      <c r="C278" s="56"/>
      <c r="D278" s="56"/>
    </row>
    <row r="279" spans="1:4" ht="15" customHeight="1" x14ac:dyDescent="0.25">
      <c r="A279" s="56"/>
      <c r="B279" s="56"/>
      <c r="C279" s="56"/>
      <c r="D279" s="56"/>
    </row>
    <row r="280" spans="1:4" ht="15" customHeight="1" x14ac:dyDescent="0.25">
      <c r="A280" s="56"/>
      <c r="B280" s="56"/>
      <c r="C280" s="56"/>
      <c r="D280" s="56"/>
    </row>
    <row r="281" spans="1:4" ht="15" customHeight="1" x14ac:dyDescent="0.25">
      <c r="A281" s="56"/>
      <c r="B281" s="56"/>
      <c r="C281" s="56"/>
      <c r="D281" s="56"/>
    </row>
    <row r="282" spans="1:4" ht="15" customHeight="1" x14ac:dyDescent="0.25">
      <c r="A282" s="56"/>
      <c r="B282" s="56"/>
      <c r="C282" s="56"/>
      <c r="D282" s="56"/>
    </row>
    <row r="283" spans="1:4" ht="15" customHeight="1" x14ac:dyDescent="0.25">
      <c r="A283" s="56"/>
      <c r="B283" s="56"/>
      <c r="C283" s="56"/>
      <c r="D283" s="56"/>
    </row>
    <row r="284" spans="1:4" ht="15" customHeight="1" x14ac:dyDescent="0.25">
      <c r="A284" s="56"/>
      <c r="B284" s="56"/>
      <c r="C284" s="56"/>
      <c r="D284" s="56"/>
    </row>
    <row r="285" spans="1:4" ht="15" customHeight="1" x14ac:dyDescent="0.25">
      <c r="A285" s="56"/>
      <c r="B285" s="56"/>
      <c r="C285" s="56"/>
      <c r="D285" s="56"/>
    </row>
    <row r="286" spans="1:4" ht="15" customHeight="1" x14ac:dyDescent="0.25">
      <c r="A286" s="56"/>
      <c r="B286" s="56"/>
      <c r="C286" s="56"/>
      <c r="D286" s="56"/>
    </row>
    <row r="287" spans="1:4" ht="15" customHeight="1" x14ac:dyDescent="0.25">
      <c r="A287" s="56"/>
      <c r="B287" s="56"/>
      <c r="C287" s="56"/>
      <c r="D287" s="56"/>
    </row>
    <row r="288" spans="1:4" ht="15" customHeight="1" x14ac:dyDescent="0.25">
      <c r="A288" s="56"/>
      <c r="B288" s="56"/>
      <c r="C288" s="56"/>
      <c r="D288" s="56"/>
    </row>
    <row r="289" spans="1:4" ht="15" customHeight="1" x14ac:dyDescent="0.25">
      <c r="A289" s="56"/>
      <c r="B289" s="56"/>
      <c r="C289" s="56"/>
      <c r="D289" s="56"/>
    </row>
    <row r="290" spans="1:4" ht="15" customHeight="1" x14ac:dyDescent="0.25">
      <c r="A290" s="56"/>
      <c r="B290" s="56"/>
      <c r="C290" s="56"/>
      <c r="D290" s="56"/>
    </row>
    <row r="291" spans="1:4" ht="15" customHeight="1" x14ac:dyDescent="0.25">
      <c r="A291" s="56"/>
      <c r="B291" s="56"/>
      <c r="C291" s="56"/>
      <c r="D291" s="56"/>
    </row>
    <row r="292" spans="1:4" ht="15" customHeight="1" x14ac:dyDescent="0.25">
      <c r="A292" s="56"/>
      <c r="B292" s="56"/>
      <c r="C292" s="56"/>
      <c r="D292" s="56"/>
    </row>
    <row r="293" spans="1:4" ht="15" customHeight="1" x14ac:dyDescent="0.25">
      <c r="A293" s="56"/>
      <c r="B293" s="56"/>
      <c r="C293" s="56"/>
      <c r="D293" s="56"/>
    </row>
    <row r="294" spans="1:4" ht="15" customHeight="1" x14ac:dyDescent="0.25">
      <c r="A294" s="56"/>
      <c r="B294" s="56"/>
      <c r="C294" s="56"/>
      <c r="D294" s="56"/>
    </row>
    <row r="295" spans="1:4" ht="15" customHeight="1" x14ac:dyDescent="0.25">
      <c r="A295" s="56"/>
      <c r="B295" s="56"/>
      <c r="C295" s="56"/>
      <c r="D295" s="56"/>
    </row>
    <row r="296" spans="1:4" ht="15" customHeight="1" x14ac:dyDescent="0.25">
      <c r="A296" s="56"/>
      <c r="B296" s="56"/>
      <c r="C296" s="56"/>
      <c r="D296" s="56"/>
    </row>
    <row r="297" spans="1:4" ht="15" customHeight="1" x14ac:dyDescent="0.25">
      <c r="A297" s="56"/>
      <c r="B297" s="56"/>
      <c r="C297" s="56"/>
      <c r="D297" s="56"/>
    </row>
    <row r="298" spans="1:4" ht="15" customHeight="1" x14ac:dyDescent="0.25">
      <c r="A298" s="56"/>
      <c r="B298" s="56"/>
      <c r="C298" s="56"/>
      <c r="D298" s="56"/>
    </row>
    <row r="299" spans="1:4" ht="15" customHeight="1" x14ac:dyDescent="0.25">
      <c r="A299" s="56"/>
      <c r="B299" s="56"/>
      <c r="C299" s="56"/>
      <c r="D299" s="56"/>
    </row>
    <row r="300" spans="1:4" ht="15" customHeight="1" x14ac:dyDescent="0.25">
      <c r="A300" s="56"/>
      <c r="B300" s="56"/>
      <c r="C300" s="56"/>
      <c r="D300" s="56"/>
    </row>
    <row r="301" spans="1:4" ht="15" customHeight="1" x14ac:dyDescent="0.25">
      <c r="A301" s="56"/>
      <c r="B301" s="56"/>
      <c r="C301" s="56"/>
      <c r="D301" s="56"/>
    </row>
    <row r="302" spans="1:4" ht="15" customHeight="1" x14ac:dyDescent="0.25">
      <c r="A302" s="56"/>
      <c r="B302" s="56"/>
      <c r="C302" s="56"/>
      <c r="D302" s="56"/>
    </row>
    <row r="303" spans="1:4" ht="15" customHeight="1" x14ac:dyDescent="0.25">
      <c r="A303" s="56"/>
      <c r="B303" s="56"/>
      <c r="C303" s="56"/>
      <c r="D303" s="56"/>
    </row>
    <row r="304" spans="1:4" ht="15" customHeight="1" x14ac:dyDescent="0.25">
      <c r="A304" s="56"/>
      <c r="B304" s="56"/>
      <c r="C304" s="56"/>
      <c r="D304" s="56"/>
    </row>
    <row r="305" spans="1:4" ht="15" customHeight="1" x14ac:dyDescent="0.25">
      <c r="A305" s="56"/>
      <c r="B305" s="56"/>
      <c r="C305" s="56"/>
      <c r="D305" s="56"/>
    </row>
    <row r="306" spans="1:4" ht="15" customHeight="1" x14ac:dyDescent="0.25">
      <c r="A306" s="56"/>
      <c r="B306" s="56"/>
      <c r="C306" s="56"/>
      <c r="D306" s="56"/>
    </row>
    <row r="307" spans="1:4" ht="15" customHeight="1" x14ac:dyDescent="0.25">
      <c r="A307" s="56"/>
      <c r="B307" s="56"/>
      <c r="C307" s="56"/>
      <c r="D307" s="56"/>
    </row>
    <row r="308" spans="1:4" ht="15" customHeight="1" x14ac:dyDescent="0.25">
      <c r="A308" s="56"/>
      <c r="B308" s="56"/>
      <c r="C308" s="56"/>
      <c r="D308" s="56"/>
    </row>
    <row r="309" spans="1:4" ht="15" customHeight="1" x14ac:dyDescent="0.25">
      <c r="A309" s="56"/>
      <c r="B309" s="56"/>
      <c r="C309" s="56"/>
      <c r="D309" s="56"/>
    </row>
    <row r="310" spans="1:4" ht="15" customHeight="1" x14ac:dyDescent="0.25">
      <c r="A310" s="56"/>
      <c r="B310" s="56"/>
      <c r="C310" s="56"/>
      <c r="D310" s="56"/>
    </row>
    <row r="311" spans="1:4" ht="15" customHeight="1" x14ac:dyDescent="0.25">
      <c r="A311" s="56"/>
      <c r="B311" s="56"/>
      <c r="C311" s="56"/>
      <c r="D311" s="56"/>
    </row>
    <row r="312" spans="1:4" ht="15" customHeight="1" x14ac:dyDescent="0.25">
      <c r="A312" s="56"/>
      <c r="B312" s="56"/>
      <c r="C312" s="56"/>
      <c r="D312" s="56"/>
    </row>
    <row r="313" spans="1:4" ht="15" customHeight="1" x14ac:dyDescent="0.25">
      <c r="A313" s="56"/>
      <c r="B313" s="56"/>
      <c r="C313" s="56"/>
      <c r="D313" s="56"/>
    </row>
    <row r="314" spans="1:4" ht="15" customHeight="1" x14ac:dyDescent="0.25">
      <c r="A314" s="56"/>
      <c r="B314" s="56"/>
      <c r="C314" s="56"/>
      <c r="D314" s="56"/>
    </row>
    <row r="315" spans="1:4" ht="15" customHeight="1" x14ac:dyDescent="0.25">
      <c r="A315" s="56"/>
      <c r="B315" s="56"/>
      <c r="C315" s="56"/>
      <c r="D315" s="56"/>
    </row>
    <row r="316" spans="1:4" ht="15" customHeight="1" x14ac:dyDescent="0.25">
      <c r="A316" s="56"/>
      <c r="B316" s="56"/>
      <c r="C316" s="56"/>
      <c r="D316" s="56"/>
    </row>
    <row r="317" spans="1:4" ht="15" customHeight="1" x14ac:dyDescent="0.25">
      <c r="A317" s="56"/>
      <c r="B317" s="56"/>
      <c r="C317" s="56"/>
      <c r="D317" s="56"/>
    </row>
    <row r="318" spans="1:4" ht="15" customHeight="1" x14ac:dyDescent="0.25">
      <c r="A318" s="56"/>
      <c r="B318" s="56"/>
      <c r="C318" s="56"/>
      <c r="D318" s="56"/>
    </row>
    <row r="319" spans="1:4" ht="15" customHeight="1" x14ac:dyDescent="0.25">
      <c r="A319" s="56"/>
      <c r="B319" s="56"/>
      <c r="C319" s="56"/>
      <c r="D319" s="56"/>
    </row>
    <row r="320" spans="1:4" ht="15" customHeight="1" x14ac:dyDescent="0.25">
      <c r="A320" s="56"/>
      <c r="B320" s="56"/>
      <c r="C320" s="56"/>
      <c r="D320" s="56"/>
    </row>
    <row r="321" spans="1:4" ht="15" customHeight="1" x14ac:dyDescent="0.25">
      <c r="A321" s="56"/>
      <c r="B321" s="56"/>
      <c r="C321" s="56"/>
      <c r="D321" s="56"/>
    </row>
    <row r="322" spans="1:4" ht="15" customHeight="1" x14ac:dyDescent="0.25">
      <c r="A322" s="56"/>
      <c r="B322" s="56"/>
      <c r="C322" s="56"/>
      <c r="D322" s="56"/>
    </row>
    <row r="323" spans="1:4" ht="15" customHeight="1" x14ac:dyDescent="0.25">
      <c r="A323" s="56"/>
      <c r="B323" s="56"/>
      <c r="C323" s="56"/>
      <c r="D323" s="56"/>
    </row>
    <row r="324" spans="1:4" ht="15" customHeight="1" x14ac:dyDescent="0.25">
      <c r="A324" s="56"/>
      <c r="B324" s="56"/>
      <c r="C324" s="56"/>
      <c r="D324" s="56"/>
    </row>
    <row r="325" spans="1:4" ht="15" customHeight="1" x14ac:dyDescent="0.25">
      <c r="A325" s="56"/>
      <c r="B325" s="56"/>
      <c r="C325" s="56"/>
      <c r="D325" s="56"/>
    </row>
    <row r="326" spans="1:4" ht="15" customHeight="1" x14ac:dyDescent="0.25">
      <c r="A326" s="56"/>
      <c r="B326" s="56"/>
      <c r="C326" s="56"/>
      <c r="D326" s="56"/>
    </row>
    <row r="327" spans="1:4" ht="15" customHeight="1" x14ac:dyDescent="0.25">
      <c r="A327" s="56"/>
      <c r="B327" s="56"/>
      <c r="C327" s="56"/>
      <c r="D327" s="56"/>
    </row>
    <row r="328" spans="1:4" ht="15" customHeight="1" x14ac:dyDescent="0.25">
      <c r="A328" s="56"/>
      <c r="B328" s="56"/>
      <c r="C328" s="56"/>
      <c r="D328" s="56"/>
    </row>
    <row r="329" spans="1:4" ht="15" customHeight="1" x14ac:dyDescent="0.25">
      <c r="A329" s="56"/>
      <c r="B329" s="56"/>
      <c r="C329" s="56"/>
      <c r="D329" s="56"/>
    </row>
    <row r="330" spans="1:4" ht="15" customHeight="1" x14ac:dyDescent="0.25">
      <c r="A330" s="56"/>
      <c r="B330" s="56"/>
      <c r="C330" s="56"/>
      <c r="D330" s="56"/>
    </row>
    <row r="331" spans="1:4" ht="15" customHeight="1" x14ac:dyDescent="0.25">
      <c r="A331" s="56"/>
      <c r="B331" s="56"/>
      <c r="C331" s="56"/>
      <c r="D331" s="56"/>
    </row>
    <row r="332" spans="1:4" ht="15" customHeight="1" x14ac:dyDescent="0.25">
      <c r="A332" s="56"/>
      <c r="B332" s="56"/>
      <c r="C332" s="56"/>
      <c r="D332" s="56"/>
    </row>
    <row r="333" spans="1:4" ht="15" customHeight="1" x14ac:dyDescent="0.25">
      <c r="A333" s="56"/>
      <c r="B333" s="56"/>
      <c r="C333" s="56"/>
      <c r="D333" s="56"/>
    </row>
    <row r="334" spans="1:4" ht="15" customHeight="1" x14ac:dyDescent="0.25">
      <c r="A334" s="56"/>
      <c r="B334" s="56"/>
      <c r="C334" s="56"/>
      <c r="D334" s="56"/>
    </row>
    <row r="335" spans="1:4" ht="15" customHeight="1" x14ac:dyDescent="0.25">
      <c r="A335" s="56"/>
      <c r="B335" s="56"/>
      <c r="C335" s="56"/>
      <c r="D335" s="56"/>
    </row>
    <row r="336" spans="1:4" ht="15" customHeight="1" x14ac:dyDescent="0.25">
      <c r="A336" s="56"/>
      <c r="B336" s="56"/>
      <c r="C336" s="56"/>
      <c r="D336" s="56"/>
    </row>
    <row r="337" spans="1:4" ht="15" customHeight="1" x14ac:dyDescent="0.25">
      <c r="A337" s="56"/>
      <c r="B337" s="56"/>
      <c r="C337" s="56"/>
      <c r="D337" s="56"/>
    </row>
    <row r="338" spans="1:4" ht="15" customHeight="1" x14ac:dyDescent="0.25">
      <c r="A338" s="56"/>
      <c r="B338" s="56"/>
      <c r="C338" s="56"/>
      <c r="D338" s="56"/>
    </row>
    <row r="339" spans="1:4" ht="15" customHeight="1" x14ac:dyDescent="0.25">
      <c r="A339" s="56"/>
      <c r="B339" s="56"/>
      <c r="C339" s="56"/>
      <c r="D339" s="56"/>
    </row>
    <row r="340" spans="1:4" ht="15" customHeight="1" x14ac:dyDescent="0.25">
      <c r="A340" s="56"/>
      <c r="B340" s="56"/>
      <c r="C340" s="56"/>
      <c r="D340" s="56"/>
    </row>
    <row r="341" spans="1:4" ht="15" customHeight="1" x14ac:dyDescent="0.25">
      <c r="A341" s="56"/>
      <c r="B341" s="56"/>
      <c r="C341" s="56"/>
      <c r="D341" s="56"/>
    </row>
    <row r="342" spans="1:4" ht="15" customHeight="1" x14ac:dyDescent="0.25">
      <c r="A342" s="56"/>
      <c r="B342" s="56"/>
      <c r="C342" s="56"/>
      <c r="D342" s="56"/>
    </row>
    <row r="343" spans="1:4" ht="15" customHeight="1" x14ac:dyDescent="0.25">
      <c r="A343" s="56"/>
      <c r="B343" s="56"/>
      <c r="C343" s="56"/>
      <c r="D343" s="56"/>
    </row>
    <row r="344" spans="1:4" ht="15" customHeight="1" x14ac:dyDescent="0.25">
      <c r="A344" s="56"/>
      <c r="B344" s="56"/>
      <c r="C344" s="56"/>
      <c r="D344" s="56"/>
    </row>
    <row r="345" spans="1:4" ht="15" customHeight="1" x14ac:dyDescent="0.25">
      <c r="A345" s="56"/>
      <c r="B345" s="56"/>
      <c r="C345" s="56"/>
      <c r="D345" s="56"/>
    </row>
    <row r="346" spans="1:4" ht="15" customHeight="1" x14ac:dyDescent="0.25">
      <c r="A346" s="56"/>
      <c r="B346" s="56"/>
      <c r="C346" s="56"/>
      <c r="D346" s="56"/>
    </row>
    <row r="347" spans="1:4" ht="15" customHeight="1" x14ac:dyDescent="0.25">
      <c r="A347" s="56"/>
      <c r="B347" s="56"/>
      <c r="C347" s="56"/>
      <c r="D347" s="56"/>
    </row>
    <row r="348" spans="1:4" ht="15" customHeight="1" x14ac:dyDescent="0.25">
      <c r="A348" s="56"/>
      <c r="B348" s="56"/>
      <c r="C348" s="56"/>
      <c r="D348" s="56"/>
    </row>
    <row r="349" spans="1:4" ht="15" customHeight="1" x14ac:dyDescent="0.25">
      <c r="A349" s="56"/>
      <c r="B349" s="56"/>
      <c r="C349" s="56"/>
      <c r="D349" s="56"/>
    </row>
    <row r="350" spans="1:4" ht="15" customHeight="1" x14ac:dyDescent="0.25">
      <c r="A350" s="56"/>
      <c r="B350" s="56"/>
      <c r="C350" s="56"/>
      <c r="D350" s="56"/>
    </row>
    <row r="351" spans="1:4" ht="15" customHeight="1" x14ac:dyDescent="0.25">
      <c r="A351" s="56"/>
      <c r="B351" s="56"/>
      <c r="C351" s="56"/>
      <c r="D351" s="56"/>
    </row>
    <row r="352" spans="1:4" ht="15" customHeight="1" x14ac:dyDescent="0.25">
      <c r="A352" s="56"/>
      <c r="B352" s="56"/>
      <c r="C352" s="56"/>
      <c r="D352" s="56"/>
    </row>
    <row r="353" spans="1:4" ht="15" customHeight="1" x14ac:dyDescent="0.25">
      <c r="A353" s="56"/>
      <c r="B353" s="56"/>
      <c r="C353" s="56"/>
      <c r="D353" s="56"/>
    </row>
    <row r="354" spans="1:4" ht="15" customHeight="1" x14ac:dyDescent="0.25">
      <c r="A354" s="56"/>
      <c r="B354" s="56"/>
      <c r="C354" s="56"/>
      <c r="D354" s="56"/>
    </row>
    <row r="355" spans="1:4" ht="15" customHeight="1" x14ac:dyDescent="0.25">
      <c r="A355" s="56"/>
      <c r="B355" s="56"/>
      <c r="C355" s="56"/>
      <c r="D355" s="56"/>
    </row>
    <row r="356" spans="1:4" ht="15" customHeight="1" x14ac:dyDescent="0.25">
      <c r="A356" s="56"/>
      <c r="B356" s="56"/>
      <c r="C356" s="56"/>
      <c r="D356" s="56"/>
    </row>
    <row r="357" spans="1:4" ht="15" customHeight="1" x14ac:dyDescent="0.25">
      <c r="A357" s="56"/>
      <c r="B357" s="56"/>
      <c r="C357" s="56"/>
      <c r="D357" s="56"/>
    </row>
    <row r="358" spans="1:4" ht="15" customHeight="1" x14ac:dyDescent="0.25">
      <c r="A358" s="56"/>
      <c r="B358" s="56"/>
      <c r="C358" s="56"/>
      <c r="D358" s="56"/>
    </row>
    <row r="359" spans="1:4" ht="15" customHeight="1" x14ac:dyDescent="0.25">
      <c r="A359" s="56"/>
      <c r="B359" s="56"/>
      <c r="C359" s="56"/>
      <c r="D359" s="56"/>
    </row>
    <row r="360" spans="1:4" ht="15" customHeight="1" x14ac:dyDescent="0.25">
      <c r="A360" s="56"/>
      <c r="B360" s="56"/>
      <c r="C360" s="56"/>
      <c r="D360" s="56"/>
    </row>
    <row r="361" spans="1:4" ht="15" customHeight="1" x14ac:dyDescent="0.25">
      <c r="A361" s="56"/>
      <c r="B361" s="56"/>
      <c r="C361" s="56"/>
      <c r="D361" s="56"/>
    </row>
    <row r="362" spans="1:4" ht="15" customHeight="1" x14ac:dyDescent="0.25">
      <c r="A362" s="56"/>
      <c r="B362" s="56"/>
      <c r="C362" s="56"/>
      <c r="D362" s="56"/>
    </row>
    <row r="363" spans="1:4" ht="15" customHeight="1" x14ac:dyDescent="0.25">
      <c r="A363" s="56"/>
      <c r="B363" s="56"/>
      <c r="C363" s="56"/>
      <c r="D363" s="56"/>
    </row>
    <row r="364" spans="1:4" ht="15" customHeight="1" x14ac:dyDescent="0.25">
      <c r="A364" s="56"/>
      <c r="B364" s="56"/>
      <c r="C364" s="56"/>
      <c r="D364" s="56"/>
    </row>
    <row r="365" spans="1:4" ht="15" customHeight="1" x14ac:dyDescent="0.25">
      <c r="A365" s="56"/>
      <c r="B365" s="56"/>
      <c r="C365" s="56"/>
      <c r="D365" s="56"/>
    </row>
    <row r="366" spans="1:4" ht="15" customHeight="1" x14ac:dyDescent="0.25">
      <c r="A366" s="56"/>
      <c r="B366" s="56"/>
      <c r="C366" s="56"/>
      <c r="D366" s="56"/>
    </row>
    <row r="367" spans="1:4" ht="15" customHeight="1" x14ac:dyDescent="0.25">
      <c r="A367" s="56"/>
      <c r="B367" s="56"/>
      <c r="C367" s="56"/>
      <c r="D367" s="56"/>
    </row>
    <row r="368" spans="1:4" ht="15" customHeight="1" x14ac:dyDescent="0.25">
      <c r="A368" s="56"/>
      <c r="B368" s="56"/>
      <c r="C368" s="56"/>
      <c r="D368" s="56"/>
    </row>
    <row r="369" spans="1:4" ht="15" customHeight="1" x14ac:dyDescent="0.25">
      <c r="A369" s="56"/>
      <c r="B369" s="56"/>
      <c r="C369" s="56"/>
      <c r="D369" s="56"/>
    </row>
    <row r="370" spans="1:4" ht="15" customHeight="1" x14ac:dyDescent="0.25">
      <c r="A370" s="56"/>
      <c r="B370" s="56"/>
      <c r="C370" s="56"/>
      <c r="D370" s="56"/>
    </row>
    <row r="371" spans="1:4" ht="15" customHeight="1" x14ac:dyDescent="0.25">
      <c r="A371" s="56"/>
      <c r="B371" s="56"/>
      <c r="C371" s="56"/>
      <c r="D371" s="56"/>
    </row>
    <row r="372" spans="1:4" ht="15" customHeight="1" x14ac:dyDescent="0.25">
      <c r="A372" s="56"/>
      <c r="B372" s="56"/>
      <c r="C372" s="56"/>
      <c r="D372" s="56"/>
    </row>
    <row r="373" spans="1:4" ht="15" customHeight="1" x14ac:dyDescent="0.25">
      <c r="A373" s="56"/>
      <c r="B373" s="56"/>
      <c r="C373" s="56"/>
      <c r="D373" s="56"/>
    </row>
    <row r="374" spans="1:4" ht="15" customHeight="1" x14ac:dyDescent="0.25">
      <c r="A374" s="56"/>
      <c r="B374" s="56"/>
      <c r="C374" s="56"/>
      <c r="D374" s="56"/>
    </row>
    <row r="375" spans="1:4" ht="15" customHeight="1" x14ac:dyDescent="0.25">
      <c r="A375" s="56"/>
      <c r="B375" s="56"/>
      <c r="C375" s="56"/>
      <c r="D375" s="56"/>
    </row>
    <row r="376" spans="1:4" ht="15" customHeight="1" x14ac:dyDescent="0.25">
      <c r="A376" s="56"/>
      <c r="B376" s="56"/>
      <c r="C376" s="56"/>
      <c r="D376" s="56"/>
    </row>
    <row r="377" spans="1:4" ht="15" customHeight="1" x14ac:dyDescent="0.25">
      <c r="A377" s="56"/>
      <c r="B377" s="56"/>
      <c r="C377" s="56"/>
      <c r="D377" s="56"/>
    </row>
    <row r="378" spans="1:4" ht="15" customHeight="1" x14ac:dyDescent="0.25">
      <c r="A378" s="56"/>
      <c r="B378" s="56"/>
      <c r="C378" s="56"/>
      <c r="D378" s="56"/>
    </row>
    <row r="379" spans="1:4" ht="15" customHeight="1" x14ac:dyDescent="0.25">
      <c r="A379" s="56"/>
      <c r="B379" s="56"/>
      <c r="C379" s="56"/>
      <c r="D379" s="56"/>
    </row>
    <row r="380" spans="1:4" ht="15" customHeight="1" x14ac:dyDescent="0.25">
      <c r="A380" s="56"/>
      <c r="B380" s="56"/>
      <c r="C380" s="56"/>
      <c r="D380" s="56"/>
    </row>
    <row r="381" spans="1:4" ht="15" customHeight="1" x14ac:dyDescent="0.25">
      <c r="A381" s="56"/>
      <c r="B381" s="56"/>
      <c r="C381" s="56"/>
      <c r="D381" s="56"/>
    </row>
    <row r="382" spans="1:4" ht="15" customHeight="1" x14ac:dyDescent="0.25">
      <c r="A382" s="56"/>
      <c r="B382" s="56"/>
      <c r="C382" s="56"/>
      <c r="D382" s="56"/>
    </row>
    <row r="383" spans="1:4" ht="15" customHeight="1" x14ac:dyDescent="0.25">
      <c r="A383" s="56"/>
      <c r="B383" s="56"/>
      <c r="C383" s="56"/>
      <c r="D383" s="56"/>
    </row>
    <row r="384" spans="1:4" ht="15" customHeight="1" x14ac:dyDescent="0.25">
      <c r="A384" s="56"/>
      <c r="B384" s="56"/>
      <c r="C384" s="56"/>
      <c r="D384" s="56"/>
    </row>
    <row r="385" spans="1:4" ht="15" customHeight="1" x14ac:dyDescent="0.25">
      <c r="A385" s="56"/>
      <c r="B385" s="56"/>
      <c r="C385" s="56"/>
      <c r="D385" s="56"/>
    </row>
    <row r="386" spans="1:4" ht="15" customHeight="1" x14ac:dyDescent="0.25">
      <c r="A386" s="56"/>
      <c r="B386" s="56"/>
      <c r="C386" s="56"/>
      <c r="D386" s="56"/>
    </row>
    <row r="387" spans="1:4" ht="15" customHeight="1" x14ac:dyDescent="0.25">
      <c r="A387" s="56"/>
      <c r="B387" s="56"/>
      <c r="C387" s="56"/>
      <c r="D387" s="56"/>
    </row>
    <row r="388" spans="1:4" ht="15" customHeight="1" x14ac:dyDescent="0.25">
      <c r="A388" s="56"/>
      <c r="B388" s="56"/>
      <c r="C388" s="56"/>
      <c r="D388" s="56"/>
    </row>
    <row r="389" spans="1:4" ht="15" customHeight="1" x14ac:dyDescent="0.25">
      <c r="A389" s="56"/>
      <c r="B389" s="56"/>
      <c r="C389" s="56"/>
      <c r="D389" s="56"/>
    </row>
    <row r="390" spans="1:4" ht="15" customHeight="1" x14ac:dyDescent="0.25">
      <c r="A390" s="56"/>
      <c r="B390" s="56"/>
      <c r="C390" s="56"/>
      <c r="D390" s="56"/>
    </row>
    <row r="391" spans="1:4" ht="15" customHeight="1" x14ac:dyDescent="0.25">
      <c r="A391" s="56"/>
      <c r="B391" s="56"/>
      <c r="C391" s="56"/>
      <c r="D391" s="56"/>
    </row>
    <row r="392" spans="1:4" ht="15" customHeight="1" x14ac:dyDescent="0.25">
      <c r="A392" s="56"/>
      <c r="B392" s="56"/>
      <c r="C392" s="56"/>
      <c r="D392" s="56"/>
    </row>
    <row r="393" spans="1:4" ht="15" customHeight="1" x14ac:dyDescent="0.25">
      <c r="A393" s="56"/>
      <c r="B393" s="56"/>
      <c r="C393" s="56"/>
      <c r="D393" s="56"/>
    </row>
    <row r="394" spans="1:4" ht="15" customHeight="1" x14ac:dyDescent="0.25">
      <c r="A394" s="56"/>
      <c r="B394" s="56"/>
      <c r="C394" s="56"/>
      <c r="D394" s="56"/>
    </row>
    <row r="395" spans="1:4" ht="15" customHeight="1" x14ac:dyDescent="0.25">
      <c r="A395" s="56"/>
      <c r="B395" s="56"/>
      <c r="C395" s="56"/>
      <c r="D395" s="56"/>
    </row>
    <row r="396" spans="1:4" ht="15" customHeight="1" x14ac:dyDescent="0.25">
      <c r="A396" s="56"/>
      <c r="B396" s="56"/>
      <c r="C396" s="56"/>
      <c r="D396" s="56"/>
    </row>
    <row r="397" spans="1:4" ht="15" customHeight="1" x14ac:dyDescent="0.25">
      <c r="A397" s="56"/>
      <c r="B397" s="56"/>
      <c r="C397" s="56"/>
      <c r="D397" s="56"/>
    </row>
    <row r="398" spans="1:4" ht="15" customHeight="1" x14ac:dyDescent="0.25">
      <c r="A398" s="56"/>
      <c r="B398" s="56"/>
      <c r="C398" s="56"/>
      <c r="D398" s="56"/>
    </row>
    <row r="399" spans="1:4" ht="15" customHeight="1" x14ac:dyDescent="0.25">
      <c r="A399" s="56"/>
      <c r="B399" s="56"/>
      <c r="C399" s="56"/>
      <c r="D399" s="56"/>
    </row>
    <row r="400" spans="1:4" ht="15" customHeight="1" x14ac:dyDescent="0.25">
      <c r="A400" s="56"/>
      <c r="B400" s="56"/>
      <c r="C400" s="56"/>
      <c r="D400" s="56"/>
    </row>
    <row r="401" spans="1:4" ht="15" customHeight="1" x14ac:dyDescent="0.25">
      <c r="A401" s="56"/>
      <c r="B401" s="56"/>
      <c r="C401" s="56"/>
      <c r="D401" s="56"/>
    </row>
    <row r="402" spans="1:4" ht="15" customHeight="1" x14ac:dyDescent="0.25">
      <c r="A402" s="56"/>
      <c r="B402" s="56"/>
      <c r="C402" s="56"/>
      <c r="D402" s="56"/>
    </row>
    <row r="403" spans="1:4" ht="15" customHeight="1" x14ac:dyDescent="0.25">
      <c r="A403" s="56"/>
      <c r="B403" s="56"/>
      <c r="C403" s="56"/>
      <c r="D403" s="56"/>
    </row>
    <row r="404" spans="1:4" ht="15" customHeight="1" x14ac:dyDescent="0.25">
      <c r="A404" s="56"/>
      <c r="B404" s="56"/>
      <c r="C404" s="56"/>
      <c r="D404" s="56"/>
    </row>
    <row r="405" spans="1:4" ht="15" customHeight="1" x14ac:dyDescent="0.25">
      <c r="A405" s="56"/>
      <c r="B405" s="56"/>
      <c r="C405" s="56"/>
      <c r="D405" s="56"/>
    </row>
    <row r="406" spans="1:4" ht="15" customHeight="1" x14ac:dyDescent="0.25">
      <c r="A406" s="56"/>
      <c r="B406" s="56"/>
      <c r="C406" s="56"/>
      <c r="D406" s="56"/>
    </row>
    <row r="407" spans="1:4" ht="15" customHeight="1" x14ac:dyDescent="0.25">
      <c r="A407" s="56"/>
      <c r="B407" s="56"/>
      <c r="C407" s="56"/>
      <c r="D407" s="56"/>
    </row>
    <row r="408" spans="1:4" ht="15" customHeight="1" x14ac:dyDescent="0.25">
      <c r="A408" s="56"/>
      <c r="B408" s="56"/>
      <c r="C408" s="56"/>
      <c r="D408" s="56"/>
    </row>
    <row r="409" spans="1:4" ht="15" customHeight="1" x14ac:dyDescent="0.25">
      <c r="A409" s="56"/>
      <c r="B409" s="56"/>
      <c r="C409" s="56"/>
      <c r="D409" s="56"/>
    </row>
    <row r="410" spans="1:4" ht="15" customHeight="1" x14ac:dyDescent="0.25">
      <c r="A410" s="56"/>
      <c r="B410" s="56"/>
      <c r="C410" s="56"/>
      <c r="D410" s="56"/>
    </row>
    <row r="411" spans="1:4" ht="15" customHeight="1" x14ac:dyDescent="0.25">
      <c r="A411" s="56"/>
      <c r="B411" s="56"/>
      <c r="C411" s="56"/>
      <c r="D411" s="56"/>
    </row>
    <row r="412" spans="1:4" ht="15" customHeight="1" x14ac:dyDescent="0.25">
      <c r="A412" s="56"/>
      <c r="B412" s="56"/>
      <c r="C412" s="56"/>
      <c r="D412" s="56"/>
    </row>
    <row r="413" spans="1:4" ht="15" customHeight="1" x14ac:dyDescent="0.25">
      <c r="A413" s="56"/>
      <c r="B413" s="56"/>
      <c r="C413" s="56"/>
      <c r="D413" s="56"/>
    </row>
    <row r="414" spans="1:4" ht="15" customHeight="1" x14ac:dyDescent="0.25">
      <c r="A414" s="56"/>
      <c r="B414" s="56"/>
      <c r="C414" s="56"/>
      <c r="D414" s="56"/>
    </row>
    <row r="415" spans="1:4" ht="15" customHeight="1" x14ac:dyDescent="0.25">
      <c r="A415" s="56"/>
      <c r="B415" s="56"/>
      <c r="C415" s="56"/>
      <c r="D415" s="56"/>
    </row>
    <row r="416" spans="1:4" ht="15" customHeight="1" x14ac:dyDescent="0.25">
      <c r="A416" s="56"/>
      <c r="B416" s="56"/>
      <c r="C416" s="56"/>
      <c r="D416" s="56"/>
    </row>
    <row r="417" spans="1:4" ht="15" customHeight="1" x14ac:dyDescent="0.25">
      <c r="A417" s="56"/>
      <c r="B417" s="56"/>
      <c r="C417" s="56"/>
      <c r="D417" s="56"/>
    </row>
    <row r="418" spans="1:4" ht="15" customHeight="1" x14ac:dyDescent="0.25">
      <c r="A418" s="56"/>
      <c r="B418" s="56"/>
      <c r="C418" s="56"/>
      <c r="D418" s="56"/>
    </row>
    <row r="419" spans="1:4" ht="15" customHeight="1" x14ac:dyDescent="0.25">
      <c r="A419" s="56"/>
      <c r="B419" s="56"/>
      <c r="C419" s="56"/>
      <c r="D419" s="56"/>
    </row>
    <row r="420" spans="1:4" ht="15" customHeight="1" x14ac:dyDescent="0.25">
      <c r="A420" s="56"/>
      <c r="B420" s="56"/>
      <c r="C420" s="56"/>
      <c r="D420" s="56"/>
    </row>
    <row r="421" spans="1:4" ht="15" customHeight="1" x14ac:dyDescent="0.25">
      <c r="A421" s="56"/>
      <c r="B421" s="56"/>
      <c r="C421" s="56"/>
      <c r="D421" s="56"/>
    </row>
    <row r="422" spans="1:4" ht="15" customHeight="1" x14ac:dyDescent="0.25">
      <c r="A422" s="56"/>
      <c r="B422" s="56"/>
      <c r="C422" s="56"/>
      <c r="D422" s="56"/>
    </row>
    <row r="423" spans="1:4" ht="15" customHeight="1" x14ac:dyDescent="0.25">
      <c r="A423" s="56"/>
      <c r="B423" s="56"/>
      <c r="C423" s="56"/>
      <c r="D423" s="56"/>
    </row>
    <row r="424" spans="1:4" ht="15" customHeight="1" x14ac:dyDescent="0.25">
      <c r="A424" s="56"/>
      <c r="B424" s="56"/>
      <c r="C424" s="56"/>
      <c r="D424" s="56"/>
    </row>
    <row r="425" spans="1:4" ht="15" customHeight="1" x14ac:dyDescent="0.25">
      <c r="A425" s="56"/>
      <c r="B425" s="56"/>
      <c r="C425" s="56"/>
      <c r="D425" s="56"/>
    </row>
    <row r="426" spans="1:4" ht="15" customHeight="1" x14ac:dyDescent="0.25">
      <c r="A426" s="56"/>
      <c r="B426" s="56"/>
      <c r="C426" s="56"/>
      <c r="D426" s="56"/>
    </row>
    <row r="427" spans="1:4" ht="15" customHeight="1" x14ac:dyDescent="0.25">
      <c r="A427" s="56"/>
      <c r="B427" s="56"/>
      <c r="C427" s="56"/>
      <c r="D427" s="56"/>
    </row>
    <row r="428" spans="1:4" ht="15" customHeight="1" x14ac:dyDescent="0.25">
      <c r="A428" s="56"/>
      <c r="B428" s="56"/>
      <c r="C428" s="56"/>
      <c r="D428" s="56"/>
    </row>
    <row r="429" spans="1:4" ht="15" customHeight="1" x14ac:dyDescent="0.25">
      <c r="A429" s="56"/>
      <c r="B429" s="56"/>
      <c r="C429" s="56"/>
      <c r="D429" s="56"/>
    </row>
    <row r="430" spans="1:4" ht="15" customHeight="1" x14ac:dyDescent="0.25">
      <c r="A430" s="56"/>
      <c r="B430" s="56"/>
      <c r="C430" s="56"/>
      <c r="D430" s="56"/>
    </row>
    <row r="431" spans="1:4" ht="15" customHeight="1" x14ac:dyDescent="0.25">
      <c r="A431" s="56"/>
      <c r="B431" s="56"/>
      <c r="C431" s="56"/>
      <c r="D431" s="56"/>
    </row>
    <row r="432" spans="1:4" ht="15" customHeight="1" x14ac:dyDescent="0.25">
      <c r="A432" s="56"/>
      <c r="B432" s="56"/>
      <c r="C432" s="56"/>
      <c r="D432" s="56"/>
    </row>
    <row r="433" spans="1:4" ht="15" customHeight="1" x14ac:dyDescent="0.25">
      <c r="A433" s="56"/>
      <c r="B433" s="56"/>
      <c r="C433" s="56"/>
      <c r="D433" s="56"/>
    </row>
    <row r="434" spans="1:4" ht="15" customHeight="1" x14ac:dyDescent="0.25">
      <c r="A434" s="56"/>
      <c r="B434" s="56"/>
      <c r="C434" s="56"/>
      <c r="D434" s="56"/>
    </row>
    <row r="435" spans="1:4" ht="15" customHeight="1" x14ac:dyDescent="0.25">
      <c r="A435" s="56"/>
      <c r="B435" s="56"/>
      <c r="C435" s="56"/>
      <c r="D435" s="56"/>
    </row>
    <row r="436" spans="1:4" ht="15" customHeight="1" x14ac:dyDescent="0.25">
      <c r="A436" s="56"/>
      <c r="B436" s="56"/>
      <c r="C436" s="56"/>
      <c r="D436" s="56"/>
    </row>
    <row r="437" spans="1:4" ht="15" customHeight="1" x14ac:dyDescent="0.25">
      <c r="A437" s="56"/>
      <c r="B437" s="56"/>
      <c r="C437" s="56"/>
      <c r="D437" s="56"/>
    </row>
    <row r="438" spans="1:4" ht="15" customHeight="1" x14ac:dyDescent="0.25">
      <c r="A438" s="56"/>
      <c r="B438" s="56"/>
      <c r="C438" s="56"/>
      <c r="D438" s="56"/>
    </row>
    <row r="439" spans="1:4" ht="15" customHeight="1" x14ac:dyDescent="0.25">
      <c r="A439" s="56"/>
      <c r="B439" s="56"/>
      <c r="C439" s="56"/>
      <c r="D439" s="56"/>
    </row>
    <row r="440" spans="1:4" ht="15" customHeight="1" x14ac:dyDescent="0.25">
      <c r="A440" s="56"/>
      <c r="B440" s="56"/>
      <c r="C440" s="56"/>
      <c r="D440" s="56"/>
    </row>
    <row r="441" spans="1:4" ht="15" customHeight="1" x14ac:dyDescent="0.25">
      <c r="A441" s="56"/>
      <c r="B441" s="56"/>
      <c r="C441" s="56"/>
      <c r="D441" s="56"/>
    </row>
    <row r="442" spans="1:4" ht="15" customHeight="1" x14ac:dyDescent="0.25">
      <c r="A442" s="56"/>
      <c r="B442" s="56"/>
      <c r="C442" s="56"/>
      <c r="D442" s="56"/>
    </row>
    <row r="443" spans="1:4" ht="15" customHeight="1" x14ac:dyDescent="0.25">
      <c r="A443" s="56"/>
      <c r="B443" s="56"/>
      <c r="C443" s="56"/>
      <c r="D443" s="56"/>
    </row>
    <row r="444" spans="1:4" ht="15" customHeight="1" x14ac:dyDescent="0.25">
      <c r="A444" s="56"/>
      <c r="B444" s="56"/>
      <c r="C444" s="56"/>
      <c r="D444" s="56"/>
    </row>
    <row r="445" spans="1:4" ht="15" customHeight="1" x14ac:dyDescent="0.25">
      <c r="A445" s="56"/>
      <c r="B445" s="56"/>
      <c r="C445" s="56"/>
      <c r="D445" s="56"/>
    </row>
    <row r="446" spans="1:4" ht="15" customHeight="1" x14ac:dyDescent="0.25">
      <c r="A446" s="56"/>
      <c r="B446" s="56"/>
      <c r="C446" s="56"/>
      <c r="D446" s="56"/>
    </row>
    <row r="447" spans="1:4" ht="15" customHeight="1" x14ac:dyDescent="0.25">
      <c r="A447" s="56"/>
      <c r="B447" s="56"/>
      <c r="C447" s="56"/>
      <c r="D447" s="56"/>
    </row>
    <row r="448" spans="1:4" ht="15" customHeight="1" x14ac:dyDescent="0.25">
      <c r="A448" s="56"/>
      <c r="B448" s="56"/>
      <c r="C448" s="56"/>
      <c r="D448" s="56"/>
    </row>
    <row r="449" spans="1:4" ht="15" customHeight="1" x14ac:dyDescent="0.25">
      <c r="A449" s="56"/>
      <c r="B449" s="56"/>
      <c r="C449" s="56"/>
      <c r="D449" s="56"/>
    </row>
    <row r="450" spans="1:4" ht="15" customHeight="1" x14ac:dyDescent="0.25">
      <c r="A450" s="56"/>
      <c r="B450" s="56"/>
      <c r="C450" s="56"/>
      <c r="D450" s="56"/>
    </row>
    <row r="451" spans="1:4" ht="15" customHeight="1" x14ac:dyDescent="0.25">
      <c r="A451" s="56"/>
      <c r="B451" s="56"/>
      <c r="C451" s="56"/>
      <c r="D451" s="56"/>
    </row>
    <row r="452" spans="1:4" ht="15" customHeight="1" x14ac:dyDescent="0.25">
      <c r="A452" s="56"/>
      <c r="B452" s="56"/>
      <c r="C452" s="56"/>
      <c r="D452" s="56"/>
    </row>
    <row r="453" spans="1:4" ht="15" customHeight="1" x14ac:dyDescent="0.25">
      <c r="A453" s="56"/>
      <c r="B453" s="56"/>
      <c r="C453" s="56"/>
      <c r="D453" s="56"/>
    </row>
    <row r="454" spans="1:4" ht="15" customHeight="1" x14ac:dyDescent="0.25">
      <c r="A454" s="56"/>
      <c r="B454" s="56"/>
      <c r="C454" s="56"/>
      <c r="D454" s="56"/>
    </row>
    <row r="455" spans="1:4" ht="15" customHeight="1" x14ac:dyDescent="0.25">
      <c r="A455" s="56"/>
      <c r="B455" s="56"/>
      <c r="C455" s="56"/>
      <c r="D455" s="56"/>
    </row>
    <row r="456" spans="1:4" ht="15" customHeight="1" x14ac:dyDescent="0.25">
      <c r="A456" s="56"/>
      <c r="B456" s="56"/>
      <c r="C456" s="56"/>
      <c r="D456" s="56"/>
    </row>
    <row r="457" spans="1:4" ht="15" customHeight="1" x14ac:dyDescent="0.25">
      <c r="A457" s="56"/>
      <c r="B457" s="56"/>
      <c r="C457" s="56"/>
      <c r="D457" s="56"/>
    </row>
    <row r="458" spans="1:4" ht="15" customHeight="1" x14ac:dyDescent="0.25">
      <c r="A458" s="56"/>
      <c r="B458" s="56"/>
      <c r="C458" s="56"/>
      <c r="D458" s="56"/>
    </row>
    <row r="459" spans="1:4" ht="15" customHeight="1" x14ac:dyDescent="0.25">
      <c r="A459" s="56"/>
      <c r="B459" s="56"/>
      <c r="C459" s="56"/>
      <c r="D459" s="56"/>
    </row>
    <row r="460" spans="1:4" ht="15" customHeight="1" x14ac:dyDescent="0.25">
      <c r="A460" s="56"/>
      <c r="B460" s="56"/>
      <c r="C460" s="56"/>
      <c r="D460" s="56"/>
    </row>
    <row r="461" spans="1:4" ht="15" customHeight="1" x14ac:dyDescent="0.25">
      <c r="A461" s="56"/>
      <c r="B461" s="56"/>
      <c r="C461" s="56"/>
      <c r="D461" s="56"/>
    </row>
    <row r="462" spans="1:4" ht="15" customHeight="1" x14ac:dyDescent="0.25">
      <c r="A462" s="56"/>
      <c r="B462" s="56"/>
      <c r="C462" s="56"/>
      <c r="D462" s="56"/>
    </row>
    <row r="463" spans="1:4" ht="15" customHeight="1" x14ac:dyDescent="0.25">
      <c r="A463" s="56"/>
      <c r="B463" s="56"/>
      <c r="C463" s="56"/>
      <c r="D463" s="56"/>
    </row>
    <row r="464" spans="1:4" ht="15" customHeight="1" x14ac:dyDescent="0.25">
      <c r="A464" s="56"/>
      <c r="B464" s="56"/>
      <c r="C464" s="56"/>
      <c r="D464" s="56"/>
    </row>
    <row r="465" spans="1:19" ht="15" customHeight="1" x14ac:dyDescent="0.25">
      <c r="A465" s="56"/>
      <c r="B465" s="56"/>
      <c r="C465" s="56"/>
      <c r="D465" s="56"/>
    </row>
    <row r="466" spans="1:19" ht="15" customHeight="1" x14ac:dyDescent="0.25">
      <c r="A466" s="56"/>
      <c r="B466" s="56"/>
      <c r="C466" s="56"/>
      <c r="D466" s="56"/>
    </row>
    <row r="467" spans="1:19" ht="15" customHeight="1" x14ac:dyDescent="0.25">
      <c r="A467" s="56"/>
      <c r="B467" s="56"/>
      <c r="C467" s="56"/>
      <c r="D467" s="56"/>
    </row>
    <row r="468" spans="1:19" ht="15" customHeight="1" x14ac:dyDescent="0.25">
      <c r="A468" s="56"/>
      <c r="C468" s="56"/>
      <c r="D468" s="56"/>
    </row>
    <row r="469" spans="1:19" ht="15" customHeight="1" x14ac:dyDescent="0.25">
      <c r="S469" s="2">
        <f>SUBTOTAL(9,S14:S468)</f>
        <v>43645.349999999984</v>
      </c>
    </row>
  </sheetData>
  <dataConsolidate/>
  <mergeCells count="26">
    <mergeCell ref="A4:Q4"/>
    <mergeCell ref="AO2:AO3"/>
    <mergeCell ref="M2:Q2"/>
    <mergeCell ref="R2:AM2"/>
    <mergeCell ref="I2:I3"/>
    <mergeCell ref="E2:E3"/>
    <mergeCell ref="A2:A3"/>
    <mergeCell ref="B2:B3"/>
    <mergeCell ref="F2:F3"/>
    <mergeCell ref="G2:G3"/>
    <mergeCell ref="J2:J3"/>
    <mergeCell ref="H2:H3"/>
    <mergeCell ref="AX2:AX3"/>
    <mergeCell ref="D2:D3"/>
    <mergeCell ref="C2:C3"/>
    <mergeCell ref="AN2:AN3"/>
    <mergeCell ref="AV2:AV3"/>
    <mergeCell ref="AW2:AW3"/>
    <mergeCell ref="AU2:AU3"/>
    <mergeCell ref="AT2:AT3"/>
    <mergeCell ref="AS2:AS3"/>
    <mergeCell ref="AQ2:AQ3"/>
    <mergeCell ref="AR2:AR3"/>
    <mergeCell ref="AP2:AP3"/>
    <mergeCell ref="K2:K3"/>
    <mergeCell ref="L2:L3"/>
  </mergeCells>
  <phoneticPr fontId="28" type="noConversion"/>
  <conditionalFormatting sqref="G5:G267">
    <cfRule type="expression" dxfId="15" priority="1">
      <formula>C5="OTHER"</formula>
    </cfRule>
    <cfRule type="expression" dxfId="14" priority="2">
      <formula>C5="BOF"</formula>
    </cfRule>
    <cfRule type="expression" dxfId="13" priority="3">
      <formula>C5="SWS"</formula>
    </cfRule>
    <cfRule type="expression" dxfId="12" priority="4">
      <formula>C5="BOD"</formula>
    </cfRule>
  </conditionalFormatting>
  <dataValidations count="11">
    <dataValidation type="list" allowBlank="1" showInputMessage="1" showErrorMessage="1" sqref="J5:J267" xr:uid="{00000000-0002-0000-0100-000000000000}">
      <formula1>"H, L, O"</formula1>
    </dataValidation>
    <dataValidation allowBlank="1" showInputMessage="1" sqref="AV1:AV4 AV268:AV1048576" xr:uid="{00000000-0002-0000-0100-000001000000}"/>
    <dataValidation type="list" allowBlank="1" showInputMessage="1" sqref="AV5:AV11 AU1:AU11 AU12:AV14 AV15:AV267 AU15:AU1048576" xr:uid="{00000000-0002-0000-0100-000008000000}">
      <formula1>"Y, N "</formula1>
    </dataValidation>
    <dataValidation type="list" allowBlank="1" showInputMessage="1" showErrorMessage="1" sqref="AN5:AN267" xr:uid="{00000000-0002-0000-0100-000003000000}">
      <formula1>"LOOKOUT, AGENCY, AIRCRAFT, PRIVATE, COUNTY"</formula1>
    </dataValidation>
    <dataValidation type="list" allowBlank="1" showInputMessage="1" showErrorMessage="1" sqref="C5:C267" xr:uid="{00000000-0002-0000-0100-000004000000}">
      <formula1>"BOD, BOF, SWS, 1AX, 1GX, 1PX, 1VX, 1WX, 2CX, 6BX, ADX, ELX, OWX, MHQ, DFR, LPE, SRL, OTHER"</formula1>
    </dataValidation>
    <dataValidation type="list" allowBlank="1" showInputMessage="1" showErrorMessage="1" sqref="D5:D267" xr:uid="{00000000-0002-0000-0100-000005000000}">
      <formula1>"BOD, BOF, SWS, 1AX, 1GX, 1PX, 1VX, 1WX, 2CX, 6BX, ADX, ELX, OWX, MHQ, DFR, LPE, SRL"</formula1>
    </dataValidation>
    <dataValidation type="list" allowBlank="1" showInputMessage="1" showErrorMessage="1" sqref="AO5:AT267" xr:uid="{00000000-0002-0000-0100-000006000000}">
      <formula1>"Y, N"</formula1>
    </dataValidation>
    <dataValidation type="list" allowBlank="1" showInputMessage="1" showErrorMessage="1" sqref="F5:F267" xr:uid="{00000000-0002-0000-0100-000007000000}">
      <formula1>"BFO, BOP, FRFO, OFO, D1, D3, D4, D5, D6, SWS"</formula1>
    </dataValidation>
    <dataValidation type="list" allowBlank="1" showInputMessage="1" showErrorMessage="1" sqref="K5:K267" xr:uid="{1DB1232D-3EE3-4665-A639-15E195E5CD6D}">
      <formula1>"VEHICLE,SHOOTING,EQUIPMENT USE, SMOKING,CAMPFIRE,DEBRIS BURNING,RAILROAD,CHILDREN,ARSON,MISC"</formula1>
    </dataValidation>
    <dataValidation type="list" allowBlank="1" showInputMessage="1" showErrorMessage="1" sqref="L267" xr:uid="{B57B9FE7-878C-4EC9-807B-AA62902E016D}">
      <formula1>"VEHICLE BURNING,EXHAUST,COOKING FIRE,WARMING FIRE,POWER LINES,FIREWORKS,TRASH BURNING,FIELD BURNING,OTHER"</formula1>
    </dataValidation>
    <dataValidation type="list" allowBlank="1" showInputMessage="1" showErrorMessage="1" sqref="L5:L266" xr:uid="{A8E6AF56-C7D1-4214-B4D3-783E7CFC4E26}">
      <formula1>"VEHICLE BURNING,EXHAUST,COOKING FIRE,WARMING FIRE,POWER LINES,SLASH BURNING,FIREWORKS,TRASH BURNING,FIELD BURNING,OTHER"</formula1>
    </dataValidation>
  </dataValidations>
  <pageMargins left="0.25" right="0.25" top="0.75" bottom="0.75" header="0.3" footer="0.3"/>
  <pageSetup scale="24" fitToHeight="0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99"/>
  </sheetPr>
  <dimension ref="A1:Z36"/>
  <sheetViews>
    <sheetView topLeftCell="A2" workbookViewId="0">
      <selection activeCell="V19" sqref="V19"/>
    </sheetView>
  </sheetViews>
  <sheetFormatPr defaultRowHeight="15" x14ac:dyDescent="0.25"/>
  <cols>
    <col min="14" max="14" width="1.28515625" customWidth="1"/>
    <col min="15" max="15" width="9.140625" customWidth="1"/>
    <col min="26" max="26" width="10.42578125" customWidth="1"/>
  </cols>
  <sheetData>
    <row r="1" spans="1:26" ht="15.75" thickBot="1" x14ac:dyDescent="0.3">
      <c r="A1" s="412" t="s">
        <v>212</v>
      </c>
      <c r="B1" s="412"/>
      <c r="C1" s="412"/>
      <c r="D1" s="412"/>
      <c r="E1" s="412"/>
      <c r="F1" s="412"/>
      <c r="G1" s="412"/>
      <c r="H1" s="412"/>
    </row>
    <row r="2" spans="1:26" ht="33.75" x14ac:dyDescent="0.25">
      <c r="A2" s="376" t="s">
        <v>118</v>
      </c>
      <c r="B2" s="376"/>
      <c r="C2" s="376"/>
      <c r="D2" s="376"/>
      <c r="E2" s="376"/>
      <c r="F2" s="376"/>
      <c r="H2" s="376" t="s">
        <v>117</v>
      </c>
      <c r="I2" s="376"/>
      <c r="J2" s="376"/>
      <c r="K2" s="376"/>
      <c r="L2" s="376"/>
      <c r="M2" s="376"/>
      <c r="O2" s="376" t="s">
        <v>116</v>
      </c>
      <c r="P2" s="376"/>
      <c r="Q2" s="376"/>
      <c r="R2" s="376"/>
      <c r="S2" s="376"/>
      <c r="T2" s="376"/>
      <c r="V2" s="115"/>
      <c r="W2" s="116" t="s">
        <v>34</v>
      </c>
      <c r="X2" s="117" t="s">
        <v>35</v>
      </c>
      <c r="Y2" s="118" t="s">
        <v>36</v>
      </c>
      <c r="Z2" s="114" t="s">
        <v>167</v>
      </c>
    </row>
    <row r="3" spans="1:26" ht="17.25" customHeight="1" x14ac:dyDescent="0.25">
      <c r="A3" s="361"/>
      <c r="B3" s="361"/>
      <c r="C3" s="361" t="s">
        <v>113</v>
      </c>
      <c r="D3" s="361"/>
      <c r="E3" s="361" t="s">
        <v>2</v>
      </c>
      <c r="F3" s="361"/>
      <c r="H3" s="361"/>
      <c r="I3" s="361"/>
      <c r="J3" s="361" t="s">
        <v>113</v>
      </c>
      <c r="K3" s="361"/>
      <c r="L3" s="361" t="s">
        <v>2</v>
      </c>
      <c r="M3" s="361"/>
      <c r="O3" s="382" t="s">
        <v>129</v>
      </c>
      <c r="P3" s="383"/>
      <c r="Q3" s="386" t="s">
        <v>113</v>
      </c>
      <c r="R3" s="381" t="s">
        <v>23</v>
      </c>
      <c r="S3" s="381" t="s">
        <v>24</v>
      </c>
      <c r="T3" s="377" t="s">
        <v>3</v>
      </c>
      <c r="V3" s="119" t="s">
        <v>164</v>
      </c>
      <c r="W3" s="54">
        <f>COUNTIFS(STATS!A:A,"&gt;="&amp;STATS!BG4,STATS!A:A,"&lt;="&amp;STATS!BH4,STATS!C:C,"BOD")</f>
        <v>1</v>
      </c>
      <c r="X3" s="14">
        <f>COUNTIFS(STATS!A:A,"&gt;="&amp;STATS!BG4,STATS!A:A,"&lt;="&amp;STATS!BH4,STATS!C:C,"BOD",STATS!J:J,"H")</f>
        <v>1</v>
      </c>
      <c r="Y3" s="10">
        <f>COUNTIFS(STATS!A:A,"&gt;="&amp;STATS!BG4,STATS!A:A,"&lt;="&amp;STATS!BH4,STATS!C:C,"BOD",STATS!J:J,"L")</f>
        <v>0</v>
      </c>
      <c r="Z3" s="120">
        <f>SUMIFS(STATS!R:R,STATS!A:A,"&gt;="&amp;STATS!BG4,STATS!A:A,"&lt;="&amp;STATS!BH4,STATS!C:C,"BOD")</f>
        <v>0.1</v>
      </c>
    </row>
    <row r="4" spans="1:26" x14ac:dyDescent="0.25">
      <c r="A4" s="355" t="s">
        <v>19</v>
      </c>
      <c r="B4" s="355"/>
      <c r="C4" s="355">
        <f>D30</f>
        <v>90</v>
      </c>
      <c r="D4" s="355"/>
      <c r="E4" s="355">
        <f>E30</f>
        <v>15697.500000000004</v>
      </c>
      <c r="F4" s="355"/>
      <c r="H4" s="355" t="s">
        <v>19</v>
      </c>
      <c r="I4" s="355"/>
      <c r="J4" s="355">
        <f>D30</f>
        <v>90</v>
      </c>
      <c r="K4" s="355"/>
      <c r="L4" s="355">
        <f>ROUND(E30-E29,0)</f>
        <v>15698</v>
      </c>
      <c r="M4" s="355"/>
      <c r="O4" s="384"/>
      <c r="P4" s="385"/>
      <c r="Q4" s="387"/>
      <c r="R4" s="381"/>
      <c r="S4" s="381"/>
      <c r="T4" s="377"/>
      <c r="V4" s="121" t="s">
        <v>51</v>
      </c>
      <c r="W4" s="54">
        <f>COUNTIFS(STATS!A:A,"&gt;="&amp;STATS!BG5,STATS!A:A,"&lt;="&amp;STATS!BH5,STATS!C:C,"BOD")</f>
        <v>0</v>
      </c>
      <c r="X4" s="14">
        <f>COUNTIFS(STATS!A:A,"&gt;="&amp;STATS!BG5,STATS!A:A,"&lt;="&amp;STATS!BH5,STATS!C:C,"BOD",STATS!J:J,"H")</f>
        <v>0</v>
      </c>
      <c r="Y4" s="10">
        <f>COUNTIFS(STATS!A:A,"&gt;="&amp;STATS!BG5,STATS!A:A,"&lt;="&amp;STATS!BH5,STATS!C:C,"BOD",STATS!J:J,"L")</f>
        <v>0</v>
      </c>
      <c r="Z4" s="120">
        <f>SUMIFS(STATS!R:R,STATS!A:A,"&gt;="&amp;STATS!BG5,STATS!A:A,"&lt;="&amp;STATS!BH5,STATS!C:C,"BOD")</f>
        <v>0</v>
      </c>
    </row>
    <row r="5" spans="1:26" ht="15.75" thickBot="1" x14ac:dyDescent="0.3">
      <c r="A5" s="411" t="s">
        <v>20</v>
      </c>
      <c r="B5" s="411"/>
      <c r="C5" s="370">
        <f>G30</f>
        <v>27</v>
      </c>
      <c r="D5" s="370"/>
      <c r="E5" s="370">
        <f>H30</f>
        <v>34096.100000000006</v>
      </c>
      <c r="F5" s="370"/>
      <c r="H5" s="411" t="s">
        <v>20</v>
      </c>
      <c r="I5" s="411"/>
      <c r="J5" s="370">
        <f>G30</f>
        <v>27</v>
      </c>
      <c r="K5" s="370"/>
      <c r="L5" s="370">
        <f>ROUND(H30-H29,0)</f>
        <v>33833</v>
      </c>
      <c r="M5" s="370"/>
      <c r="O5" s="355" t="s">
        <v>125</v>
      </c>
      <c r="P5" s="355"/>
      <c r="Q5" s="113">
        <f>COUNTIFS( STATS!C:C,"BOD",STATS!F:F,"BOP")</f>
        <v>32</v>
      </c>
      <c r="R5" s="113">
        <f>SUMIFS(STATS!R:R, STATS!C:C,"BOD",STATS!F:F,"BOP",STATS!J:J,"H")</f>
        <v>5267.1</v>
      </c>
      <c r="S5" s="113">
        <f>SUMIFS(STATS!R:R, STATS!C:C,"BOD",STATS!F:F,"BOP",STATS!J:J,"L")</f>
        <v>5927.8</v>
      </c>
      <c r="T5" s="113">
        <f>SUM(R5:S5)</f>
        <v>11194.900000000001</v>
      </c>
      <c r="V5" s="121" t="s">
        <v>37</v>
      </c>
      <c r="W5" s="54">
        <f>COUNTIFS(STATS!A:A,"&gt;="&amp;STATS!BG6,STATS!A:A,"&lt;="&amp;STATS!BH6,STATS!C:C,"BOD")</f>
        <v>2</v>
      </c>
      <c r="X5" s="14">
        <f>COUNTIFS(STATS!A:A,"&gt;="&amp;STATS!BG6,STATS!A:A,"&lt;="&amp;STATS!BH6,STATS!C:C,"BOD",STATS!J:J,"H")</f>
        <v>2</v>
      </c>
      <c r="Y5" s="10">
        <f>COUNTIFS(STATS!A:A,"&gt;="&amp;STATS!BG6,STATS!A:A,"&lt;="&amp;STATS!BH6,STATS!C:C,"BOD",STATS!J:J,"L")</f>
        <v>0</v>
      </c>
      <c r="Z5" s="120">
        <f>SUMIFS(STATS!R:R,STATS!A:A,"&gt;="&amp;STATS!BG6,STATS!A:A,"&lt;="&amp;STATS!BH6,STATS!C:C,"BOD")</f>
        <v>216.99999999999997</v>
      </c>
    </row>
    <row r="6" spans="1:26" x14ac:dyDescent="0.25">
      <c r="A6" s="407" t="s">
        <v>4</v>
      </c>
      <c r="B6" s="407"/>
      <c r="C6" s="400">
        <f>J30</f>
        <v>117</v>
      </c>
      <c r="D6" s="400"/>
      <c r="E6" s="400">
        <f>K30</f>
        <v>49793.599999999991</v>
      </c>
      <c r="F6" s="400"/>
      <c r="H6" s="407" t="s">
        <v>4</v>
      </c>
      <c r="I6" s="407"/>
      <c r="J6" s="400">
        <f>SUM(J4:K5)</f>
        <v>117</v>
      </c>
      <c r="K6" s="400"/>
      <c r="L6" s="400">
        <f>SUM(L4,L5)</f>
        <v>49531</v>
      </c>
      <c r="M6" s="400"/>
      <c r="O6" s="361" t="s">
        <v>126</v>
      </c>
      <c r="P6" s="361"/>
      <c r="Q6" s="98">
        <f>COUNTIFS( STATS!C:C,"BOD",STATS!F:F,"BFO")</f>
        <v>6</v>
      </c>
      <c r="R6" s="98">
        <f>SUMIFS(STATS!R:R, STATS!C:C,"BOD",STATS!F:F,"BFO",STATS!J:J,"H")</f>
        <v>1</v>
      </c>
      <c r="S6" s="98">
        <f>SUMIFS(STATS!R:R, STATS!C:C,"BOD",STATS!F:F,"BFO",STATS!J:J,"L")</f>
        <v>21928.499999999996</v>
      </c>
      <c r="T6" s="98">
        <f>SUM(R6:S6)</f>
        <v>21929.499999999996</v>
      </c>
      <c r="V6" s="121" t="s">
        <v>38</v>
      </c>
      <c r="W6" s="54">
        <f>COUNTIFS(STATS!A:A,"&gt;="&amp;STATS!BG7,STATS!A:A,"&lt;="&amp;STATS!BH7,STATS!C:C,"BOD")</f>
        <v>3</v>
      </c>
      <c r="X6" s="14">
        <f>COUNTIFS(STATS!A:A,"&gt;="&amp;STATS!BG7,STATS!A:A,"&lt;="&amp;STATS!BH7,STATS!C:C,"BOD",STATS!J:J,"H")</f>
        <v>3</v>
      </c>
      <c r="Y6" s="10">
        <f>COUNTIFS(STATS!A:A,"&gt;="&amp;STATS!BG7,STATS!A:A,"&lt;="&amp;STATS!BH7,STATS!C:C,"BOD",STATS!J:J,"L")</f>
        <v>0</v>
      </c>
      <c r="Z6" s="120">
        <f>SUMIFS(STATS!R:R,STATS!A:A,"&gt;="&amp;STATS!BG7,STATS!A:A,"&lt;="&amp;STATS!BH7,STATS!C:C,"BOD")</f>
        <v>1.2000000000000002</v>
      </c>
    </row>
    <row r="7" spans="1:26" x14ac:dyDescent="0.25">
      <c r="O7" s="355" t="s">
        <v>127</v>
      </c>
      <c r="P7" s="355"/>
      <c r="Q7" s="113">
        <f>COUNTIFS( STATS!C:C,"BOD",STATS!F:F,"FRFO")</f>
        <v>50</v>
      </c>
      <c r="R7" s="113">
        <f>SUMIFS(STATS!R:R, STATS!C:C,"BOD",STATS!F:F,"FRFO",STATS!J:J,"H")</f>
        <v>10190.900000000003</v>
      </c>
      <c r="S7" s="113">
        <f>SUMIFS(STATS!R:R, STATS!C:C,"BOD",STATS!F:F,"FRFO",STATS!J:J,"L")</f>
        <v>217</v>
      </c>
      <c r="T7" s="113">
        <f>SUM(R7:S7)</f>
        <v>10407.900000000003</v>
      </c>
      <c r="V7" s="121" t="s">
        <v>39</v>
      </c>
      <c r="W7" s="54">
        <f>COUNTIFS(STATS!A:A,"&gt;="&amp;STATS!BG8,STATS!A:A,"&lt;="&amp;STATS!BH8,STATS!C:C,"BOD")</f>
        <v>9</v>
      </c>
      <c r="X7" s="14">
        <f>COUNTIFS(STATS!A:A,"&gt;="&amp;STATS!BG8,STATS!A:A,"&lt;="&amp;STATS!BH8,STATS!C:C,"BOD",STATS!J:J,"H")</f>
        <v>9</v>
      </c>
      <c r="Y7" s="10">
        <f>COUNTIFS(STATS!A:A,"&gt;="&amp;STATS!BG8,STATS!A:A,"&lt;="&amp;STATS!BH8,STATS!C:C,"BOD",STATS!J:J,"L")</f>
        <v>0</v>
      </c>
      <c r="Z7" s="120">
        <f>SUMIFS(STATS!R:R,STATS!A:A,"&gt;="&amp;STATS!BG8,STATS!A:A,"&lt;="&amp;STATS!BH8,STATS!C:C,"BOD")</f>
        <v>840.6</v>
      </c>
    </row>
    <row r="8" spans="1:26" x14ac:dyDescent="0.25">
      <c r="A8" s="355" t="s">
        <v>63</v>
      </c>
      <c r="B8" s="355"/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O8" s="361" t="s">
        <v>128</v>
      </c>
      <c r="P8" s="361"/>
      <c r="Q8" s="98">
        <f>COUNTIFS( STATS!C:C,"BOD",STATS!F:F,"OFO")</f>
        <v>28</v>
      </c>
      <c r="R8" s="98">
        <f>SUMIFS(STATS!R:R, STATS!C:C,"BOD",STATS!F:F,"OFO",STATS!J:J,"H")</f>
        <v>238.4</v>
      </c>
      <c r="S8" s="98">
        <f>SUMIFS(STATS!R:R, STATS!C:C,"BOD",STATS!F:F,"OFO",STATS!J:J,"L")</f>
        <v>6022.8</v>
      </c>
      <c r="T8" s="98">
        <f>SUM(R8:S8)</f>
        <v>6261.2</v>
      </c>
      <c r="V8" s="121" t="s">
        <v>165</v>
      </c>
      <c r="W8" s="54">
        <f>COUNTIFS(STATS!A:A,"&gt;="&amp;STATS!BG9,STATS!A:A,"&lt;="&amp;STATS!BH9,STATS!C:C,"BOD")</f>
        <v>26</v>
      </c>
      <c r="X8" s="14">
        <f>COUNTIFS(STATS!A:A,"&gt;="&amp;STATS!BG9,STATS!A:A,"&lt;="&amp;STATS!BH9,STATS!C:C,"BOD",STATS!J:J,"H")</f>
        <v>26</v>
      </c>
      <c r="Y8" s="10">
        <f>COUNTIFS(STATS!A:A,"&gt;="&amp;STATS!BG9,STATS!A:A,"&lt;="&amp;STATS!BH9,STATS!C:C,"BOD",STATS!J:J,"L")</f>
        <v>0</v>
      </c>
      <c r="Z8" s="120">
        <f>SUMIFS(STATS!R:R,STATS!A:A,"&gt;="&amp;STATS!BG9,STATS!A:A,"&lt;="&amp;STATS!BH9,STATS!C:C,"BOD")</f>
        <v>1520.75</v>
      </c>
    </row>
    <row r="9" spans="1:26" ht="15.75" thickBot="1" x14ac:dyDescent="0.3">
      <c r="A9" s="408" t="s">
        <v>115</v>
      </c>
      <c r="B9" s="408"/>
      <c r="C9" s="408"/>
      <c r="D9" s="409"/>
      <c r="E9" s="409"/>
      <c r="F9" s="409"/>
      <c r="G9" s="409"/>
      <c r="H9" s="409"/>
      <c r="I9" s="409"/>
      <c r="J9" s="409"/>
      <c r="K9" s="409"/>
      <c r="L9" s="409"/>
      <c r="M9" s="409"/>
      <c r="V9" s="121" t="s">
        <v>166</v>
      </c>
      <c r="W9" s="54">
        <f>COUNTIFS(STATS!A:A,"&gt;="&amp;STATS!BG10,STATS!A:A,"&lt;="&amp;STATS!BH10,STATS!C:C,"BOD")</f>
        <v>40</v>
      </c>
      <c r="X9" s="14">
        <f>COUNTIFS(STATS!A:A,"&gt;="&amp;STATS!BG10,STATS!A:A,"&lt;="&amp;STATS!BH10,STATS!C:C,"BOD",STATS!J:J,"H")</f>
        <v>24</v>
      </c>
      <c r="Y9" s="10">
        <f>COUNTIFS(STATS!A:A,"&gt;="&amp;STATS!BG10,STATS!A:A,"&lt;="&amp;STATS!BH10,STATS!C:C,"BOD",STATS!J:J,"L")</f>
        <v>16</v>
      </c>
      <c r="Z9" s="120">
        <f>SUMIFS(STATS!R:R,STATS!A:A,"&gt;="&amp;STATS!BG10,STATS!A:A,"&lt;="&amp;STATS!BH10,STATS!C:C,"BOD")</f>
        <v>41010.999999999993</v>
      </c>
    </row>
    <row r="10" spans="1:26" x14ac:dyDescent="0.25">
      <c r="A10" s="376"/>
      <c r="B10" s="376"/>
      <c r="C10" s="397"/>
      <c r="D10" s="405" t="s">
        <v>19</v>
      </c>
      <c r="E10" s="400"/>
      <c r="F10" s="406"/>
      <c r="G10" s="405" t="s">
        <v>20</v>
      </c>
      <c r="H10" s="400"/>
      <c r="I10" s="406"/>
      <c r="J10" s="405" t="s">
        <v>4</v>
      </c>
      <c r="K10" s="400"/>
      <c r="L10" s="400"/>
      <c r="M10" s="406"/>
      <c r="O10" s="376" t="s">
        <v>21</v>
      </c>
      <c r="P10" s="376"/>
      <c r="Q10" s="376"/>
      <c r="R10" s="376"/>
      <c r="S10" s="376"/>
      <c r="T10" s="376"/>
      <c r="V10" s="121" t="s">
        <v>40</v>
      </c>
      <c r="W10" s="54">
        <f>COUNTIFS(STATS!A:A,"&gt;="&amp;STATS!BG11,STATS!A:A,"&lt;="&amp;STATS!BH11,STATS!C:C,"BOD")</f>
        <v>22</v>
      </c>
      <c r="X10" s="14">
        <f>COUNTIFS(STATS!A:A,"&gt;="&amp;STATS!BG11,STATS!A:A,"&lt;="&amp;STATS!BH11,STATS!C:C,"BOD",STATS!J:J,"H")</f>
        <v>12</v>
      </c>
      <c r="Y10" s="10">
        <f>COUNTIFS(STATS!A:A,"&gt;="&amp;STATS!BG11,STATS!A:A,"&lt;="&amp;STATS!BH11,STATS!C:C,"BOD",STATS!J:J,"L")</f>
        <v>10</v>
      </c>
      <c r="Z10" s="120">
        <f>SUMIFS(STATS!R:R,STATS!A:A,"&gt;="&amp;STATS!BG11,STATS!A:A,"&lt;="&amp;STATS!BH11,STATS!C:C,"BOD")</f>
        <v>5899.4000000000005</v>
      </c>
    </row>
    <row r="11" spans="1:26" x14ac:dyDescent="0.25">
      <c r="A11" s="368" t="s">
        <v>114</v>
      </c>
      <c r="B11" s="368"/>
      <c r="C11" s="404"/>
      <c r="D11" s="92" t="s">
        <v>113</v>
      </c>
      <c r="E11" s="368" t="s">
        <v>2</v>
      </c>
      <c r="F11" s="410"/>
      <c r="G11" s="92" t="s">
        <v>113</v>
      </c>
      <c r="H11" s="368" t="s">
        <v>2</v>
      </c>
      <c r="I11" s="410"/>
      <c r="J11" s="92" t="s">
        <v>113</v>
      </c>
      <c r="K11" s="368" t="s">
        <v>2</v>
      </c>
      <c r="L11" s="368"/>
      <c r="M11" s="410"/>
      <c r="O11" s="368" t="s">
        <v>12</v>
      </c>
      <c r="P11" s="368"/>
      <c r="Q11" s="368" t="s">
        <v>46</v>
      </c>
      <c r="R11" s="368"/>
      <c r="S11" s="379" t="s">
        <v>130</v>
      </c>
      <c r="T11" s="379"/>
      <c r="V11" s="121" t="s">
        <v>41</v>
      </c>
      <c r="W11" s="54">
        <f>COUNTIFS(STATS!A:A,"&gt;="&amp;STATS!BG12,STATS!A:A,"&lt;="&amp;STATS!BH12,STATS!C:C,"BOD")</f>
        <v>11</v>
      </c>
      <c r="X11" s="14">
        <f>COUNTIFS(STATS!A:A,"&gt;="&amp;STATS!BG12,STATS!A:A,"&lt;="&amp;STATS!BH12,STATS!C:C,"BOD",STATS!J:J,"H")</f>
        <v>10</v>
      </c>
      <c r="Y11" s="10">
        <f>COUNTIFS(STATS!A:A,"&gt;="&amp;STATS!BG12,STATS!A:A,"&lt;="&amp;STATS!BH12,STATS!C:C,"BOD",STATS!J:J,"L")</f>
        <v>1</v>
      </c>
      <c r="Z11" s="120">
        <f>SUMIFS(STATS!R:R,STATS!A:A,"&gt;="&amp;STATS!BG12,STATS!A:A,"&lt;="&amp;STATS!BH12,STATS!C:C,"BOD")</f>
        <v>275.14999999999998</v>
      </c>
    </row>
    <row r="12" spans="1:26" x14ac:dyDescent="0.25">
      <c r="A12" s="397" t="s">
        <v>30</v>
      </c>
      <c r="B12" s="398"/>
      <c r="C12" s="399"/>
      <c r="D12" s="111">
        <f>(COUNTIFS(STATS!C:C,"BOD", STATS!C:C,"BOD",STATS!J:J,"H"))</f>
        <v>90</v>
      </c>
      <c r="E12" s="372">
        <f>SUMIFS(STATS!S:S, STATS!C:C,"BOD",STATS!J:J,"H")</f>
        <v>9902.9000000000015</v>
      </c>
      <c r="F12" s="374"/>
      <c r="G12" s="111">
        <f>COUNTIFS(STATS!C:C,"BOD", STATS!C:C,"BOD",STATS!J:J,"L")</f>
        <v>27</v>
      </c>
      <c r="H12" s="372">
        <f>SUMIFS(STATS!S:S, STATS!C:C,"BOD",STATS!J:J,"L")</f>
        <v>32568.25</v>
      </c>
      <c r="I12" s="374"/>
      <c r="J12" s="111">
        <f>SUM(D12,G12)</f>
        <v>117</v>
      </c>
      <c r="K12" s="372">
        <f>SUM(E12,H12)</f>
        <v>42471.15</v>
      </c>
      <c r="L12" s="373"/>
      <c r="M12" s="374"/>
      <c r="O12" s="355" t="s">
        <v>133</v>
      </c>
      <c r="P12" s="355"/>
      <c r="Q12" s="355">
        <f>COUNTIFS(STATS!C:C,"BOD",STATS!AN:AN,"AGENCY")</f>
        <v>12</v>
      </c>
      <c r="R12" s="378"/>
      <c r="S12" s="380">
        <f>Q12/SUM(Q12:R16)</f>
        <v>0.10256410256410256</v>
      </c>
      <c r="T12" s="380"/>
      <c r="V12" s="121" t="s">
        <v>42</v>
      </c>
      <c r="W12" s="54">
        <f>COUNTIFS(STATS!A:A,"&gt;="&amp;STATS!BG13,STATS!A:A,"&lt;="&amp;STATS!BH13,STATS!C:C,"BOD")</f>
        <v>2</v>
      </c>
      <c r="X12" s="14">
        <f>COUNTIFS(STATS!A:A,"&gt;="&amp;STATS!BG13,STATS!A:A,"&lt;="&amp;STATS!BH13,STATS!C:C,"BOD",STATS!J:J,"H")</f>
        <v>2</v>
      </c>
      <c r="Y12" s="10">
        <f>COUNTIFS(STATS!A:A,"&gt;="&amp;STATS!BG13,STATS!A:A,"&lt;="&amp;STATS!BH13,STATS!C:C,"BOD",STATS!J:J,"L")</f>
        <v>0</v>
      </c>
      <c r="Z12" s="120">
        <f>SUMIFS(STATS!R:R,STATS!A:A,"&gt;="&amp;STATS!BG13,STATS!A:A,"&lt;="&amp;STATS!BH13,STATS!C:C,"BOD")</f>
        <v>28.3</v>
      </c>
    </row>
    <row r="13" spans="1:26" x14ac:dyDescent="0.25">
      <c r="A13" s="395" t="s">
        <v>31</v>
      </c>
      <c r="B13" s="395"/>
      <c r="C13" s="396"/>
      <c r="D13" s="93"/>
      <c r="E13" s="393">
        <f>SUMIFS(STATS!T:T, STATS!C:C,"BOD",STATS!J:J,"H")</f>
        <v>0</v>
      </c>
      <c r="F13" s="394"/>
      <c r="G13" s="93"/>
      <c r="H13" s="393">
        <f>SUMIFS(STATS!T:T, STATS!C:C,"BOD",STATS!J:J,"L")</f>
        <v>0</v>
      </c>
      <c r="I13" s="394"/>
      <c r="J13" s="93">
        <f t="shared" ref="J13:J28" si="0">SUM(D13,G13)</f>
        <v>0</v>
      </c>
      <c r="K13" s="375">
        <f t="shared" ref="K13:K28" si="1">SUM(E13,H13)</f>
        <v>0</v>
      </c>
      <c r="L13" s="375"/>
      <c r="M13" s="357"/>
      <c r="O13" s="361" t="s">
        <v>132</v>
      </c>
      <c r="P13" s="361"/>
      <c r="Q13" s="361">
        <f>COUNTIFS(STATS!C:C,"BOD",STATS!AN:AN,"AIRCRAFT")</f>
        <v>2</v>
      </c>
      <c r="R13" s="361"/>
      <c r="S13" s="380">
        <f>Q13/SUM(Q12:R16)</f>
        <v>1.7094017094017096E-2</v>
      </c>
      <c r="T13" s="380"/>
      <c r="V13" s="121" t="s">
        <v>43</v>
      </c>
      <c r="W13" s="54">
        <f>COUNTIFS(STATS!A:A,"&gt;="&amp;STATS!BG14,STATS!A:A,"&lt;="&amp;STATS!BH14,STATS!C:C,"BOD")</f>
        <v>1</v>
      </c>
      <c r="X13" s="14">
        <f>COUNTIFS(STATS!A:A,"&gt;="&amp;STATS!BG14,STATS!A:A,"&lt;="&amp;STATS!BH14,STATS!C:C,"BOD",STATS!J:J,"H")</f>
        <v>1</v>
      </c>
      <c r="Y13" s="10">
        <f>COUNTIFS(STATS!A:A,"&gt;="&amp;STATS!BG14,STATS!A:A,"&lt;="&amp;STATS!BH14,STATS!C:C,"BOD",STATS!J:J,"L")</f>
        <v>0</v>
      </c>
      <c r="Z13" s="120">
        <f>SUMIFS(STATS!R:R,STATS!A:A,"&gt;="&amp;STATS!BG14,STATS!A:A,"&lt;="&amp;STATS!BH14,STATS!C:C,"BOD")</f>
        <v>0.1</v>
      </c>
    </row>
    <row r="14" spans="1:26" x14ac:dyDescent="0.25">
      <c r="A14" s="397" t="s">
        <v>32</v>
      </c>
      <c r="B14" s="398"/>
      <c r="C14" s="399"/>
      <c r="D14" s="111"/>
      <c r="E14" s="372">
        <f>SUMIFS(STATS!U:U, STATS!C:C,"BOD",STATS!J:J,"H")</f>
        <v>797.7</v>
      </c>
      <c r="F14" s="374"/>
      <c r="G14" s="111"/>
      <c r="H14" s="372">
        <f>SUMIFS(STATS!U:U, STATS!C:C,"BOD",STATS!J:J,"L")</f>
        <v>874.5</v>
      </c>
      <c r="I14" s="374"/>
      <c r="J14" s="111">
        <f t="shared" si="0"/>
        <v>0</v>
      </c>
      <c r="K14" s="372">
        <f t="shared" si="1"/>
        <v>1672.2</v>
      </c>
      <c r="L14" s="373"/>
      <c r="M14" s="374"/>
      <c r="O14" s="355" t="s">
        <v>134</v>
      </c>
      <c r="P14" s="355"/>
      <c r="Q14" s="355">
        <f>COUNTIFS(STATS!C:C,"BOD",STATS!AN:AN,"COUNTY")</f>
        <v>85</v>
      </c>
      <c r="R14" s="355"/>
      <c r="S14" s="380">
        <f>Q14/SUM(Q12:R16)</f>
        <v>0.72649572649572647</v>
      </c>
      <c r="T14" s="380"/>
      <c r="V14" s="121" t="s">
        <v>44</v>
      </c>
      <c r="W14" s="54">
        <f>COUNTIFS(STATS!A:A,"&gt;="&amp;STATS!BG15,STATS!A:A,"&lt;="&amp;STATS!BH15,STATS!C:C,"BOD")</f>
        <v>0</v>
      </c>
      <c r="X14" s="14">
        <f>COUNTIFS(STATS!A:A,"&gt;="&amp;STATS!BG15,STATS!A:A,"&lt;="&amp;STATS!BH15,STATS!C:C,"BOD",STATS!J:J,"H")</f>
        <v>0</v>
      </c>
      <c r="Y14" s="10">
        <f>COUNTIFS(STATS!A:A,"&gt;="&amp;STATS!BG15,STATS!A:A,"&lt;="&amp;STATS!BH15,STATS!C:C,"BOD",STATS!J:J,"L")</f>
        <v>0</v>
      </c>
      <c r="Z14" s="120">
        <f>SUMIFS(STATS!R:R,STATS!A:A,"&gt;="&amp;STATS!BG15,STATS!A:A,"&lt;="&amp;STATS!BH15,STATS!C:C,"BOD")</f>
        <v>0</v>
      </c>
    </row>
    <row r="15" spans="1:26" ht="15.75" thickBot="1" x14ac:dyDescent="0.3">
      <c r="A15" s="395" t="s">
        <v>112</v>
      </c>
      <c r="B15" s="395"/>
      <c r="C15" s="396"/>
      <c r="D15" s="93"/>
      <c r="E15" s="393">
        <f>SUMIFS(STATS!V:V, STATS!C:C,"BOD",STATS!J:J,"H")</f>
        <v>4554.6000000000004</v>
      </c>
      <c r="F15" s="394"/>
      <c r="G15" s="93"/>
      <c r="H15" s="393">
        <f>SUMIFS(STATS!V:V, STATS!C:C,"BOD",STATS!J:J,"L")</f>
        <v>0.25</v>
      </c>
      <c r="I15" s="394"/>
      <c r="J15" s="93">
        <f t="shared" si="0"/>
        <v>0</v>
      </c>
      <c r="K15" s="375">
        <f t="shared" si="1"/>
        <v>4554.8500000000004</v>
      </c>
      <c r="L15" s="375"/>
      <c r="M15" s="357"/>
      <c r="O15" s="361" t="s">
        <v>131</v>
      </c>
      <c r="P15" s="361"/>
      <c r="Q15" s="361">
        <f>COUNTIFS(STATS!C:C,"BOD",STATS!AN:AN,"LOOKOUT")</f>
        <v>2</v>
      </c>
      <c r="R15" s="361"/>
      <c r="S15" s="380">
        <f>Q15/SUM(Q12:R16)</f>
        <v>1.7094017094017096E-2</v>
      </c>
      <c r="T15" s="380"/>
      <c r="V15" s="122" t="s">
        <v>4</v>
      </c>
      <c r="W15" s="123">
        <f t="shared" ref="W15:Y15" si="2">SUM(W3:W14)</f>
        <v>117</v>
      </c>
      <c r="X15" s="124">
        <f t="shared" si="2"/>
        <v>90</v>
      </c>
      <c r="Y15" s="125">
        <f t="shared" si="2"/>
        <v>27</v>
      </c>
      <c r="Z15" s="126">
        <f>SUM(Z3:Z14)</f>
        <v>49793.599999999999</v>
      </c>
    </row>
    <row r="16" spans="1:26" x14ac:dyDescent="0.25">
      <c r="A16" s="397" t="s">
        <v>111</v>
      </c>
      <c r="B16" s="398"/>
      <c r="C16" s="399"/>
      <c r="D16" s="111"/>
      <c r="E16" s="372">
        <f>SUMIFS(STATS!W:W, STATS!C:C,"BOD",STATS!J:J,"H")</f>
        <v>0</v>
      </c>
      <c r="F16" s="374"/>
      <c r="G16" s="111"/>
      <c r="H16" s="372">
        <f>SUMIFS(STATS!W:W, STATS!C:C,"BOD",STATS!J:J,"L")</f>
        <v>0</v>
      </c>
      <c r="I16" s="374"/>
      <c r="J16" s="111">
        <f t="shared" si="0"/>
        <v>0</v>
      </c>
      <c r="K16" s="372">
        <f t="shared" si="1"/>
        <v>0</v>
      </c>
      <c r="L16" s="373"/>
      <c r="M16" s="374"/>
      <c r="O16" s="355" t="s">
        <v>135</v>
      </c>
      <c r="P16" s="355"/>
      <c r="Q16" s="355">
        <f>COUNTIFS(STATS!C:C,"BOD",STATS!AN:AN,"PRIVATE")</f>
        <v>16</v>
      </c>
      <c r="R16" s="355"/>
      <c r="S16" s="380">
        <f>Q16/SUM(Q12:R16)</f>
        <v>0.13675213675213677</v>
      </c>
      <c r="T16" s="380"/>
    </row>
    <row r="17" spans="1:20" x14ac:dyDescent="0.25">
      <c r="A17" s="395" t="s">
        <v>110</v>
      </c>
      <c r="B17" s="395"/>
      <c r="C17" s="396"/>
      <c r="D17" s="93"/>
      <c r="E17" s="393">
        <f>SUMIFS(STATS!X:X, STATS!C:C,"BOD",STATS!J:J,"H")</f>
        <v>18.399999999999999</v>
      </c>
      <c r="F17" s="394"/>
      <c r="G17" s="93"/>
      <c r="H17" s="393">
        <f>SUMIFS(STATS!X:X, STATS!C:C,"BOD",STATS!J:J,"L")</f>
        <v>27.3</v>
      </c>
      <c r="I17" s="394"/>
      <c r="J17" s="93">
        <f t="shared" si="0"/>
        <v>0</v>
      </c>
      <c r="K17" s="375">
        <f t="shared" si="1"/>
        <v>45.7</v>
      </c>
      <c r="L17" s="375"/>
      <c r="M17" s="357"/>
    </row>
    <row r="18" spans="1:20" x14ac:dyDescent="0.25">
      <c r="A18" s="397" t="s">
        <v>109</v>
      </c>
      <c r="B18" s="398"/>
      <c r="C18" s="399"/>
      <c r="D18" s="111"/>
      <c r="E18" s="372">
        <f>SUMIFS(STATS!Y:Y, STATS!C:C,"BOD",STATS!J:J,"H")</f>
        <v>0</v>
      </c>
      <c r="F18" s="374"/>
      <c r="G18" s="111"/>
      <c r="H18" s="372">
        <f>SUMIFS(STATS!Y:Y, STATS!C:C,"BOD",STATS!J:J,"L")</f>
        <v>0</v>
      </c>
      <c r="I18" s="374"/>
      <c r="J18" s="111">
        <f t="shared" si="0"/>
        <v>0</v>
      </c>
      <c r="K18" s="372">
        <f t="shared" si="1"/>
        <v>0</v>
      </c>
      <c r="L18" s="373"/>
      <c r="M18" s="374"/>
      <c r="O18" s="376" t="s">
        <v>136</v>
      </c>
      <c r="P18" s="376"/>
      <c r="Q18" s="376"/>
      <c r="R18" s="376"/>
      <c r="S18" s="376"/>
      <c r="T18" s="376"/>
    </row>
    <row r="19" spans="1:20" x14ac:dyDescent="0.25">
      <c r="A19" s="395" t="s">
        <v>108</v>
      </c>
      <c r="B19" s="395"/>
      <c r="C19" s="396"/>
      <c r="D19" s="93"/>
      <c r="E19" s="393">
        <f>SUMIFS(STATS!Z:Z, STATS!C:C,"BOD",STATS!J:J,"H")</f>
        <v>0</v>
      </c>
      <c r="F19" s="394"/>
      <c r="G19" s="93"/>
      <c r="H19" s="393">
        <f>SUMIFS(STATS!Z:Z, STATS!C:C,"BOD",STATS!J:J,"L")</f>
        <v>0</v>
      </c>
      <c r="I19" s="394"/>
      <c r="J19" s="93">
        <f t="shared" si="0"/>
        <v>0</v>
      </c>
      <c r="K19" s="375">
        <f t="shared" si="1"/>
        <v>0</v>
      </c>
      <c r="L19" s="375"/>
      <c r="M19" s="357"/>
      <c r="O19" s="377" t="s">
        <v>142</v>
      </c>
      <c r="P19" s="377"/>
      <c r="Q19" s="377"/>
      <c r="R19" s="377"/>
      <c r="S19" s="368" t="s">
        <v>155</v>
      </c>
      <c r="T19" s="368"/>
    </row>
    <row r="20" spans="1:20" x14ac:dyDescent="0.25">
      <c r="A20" s="397" t="s">
        <v>107</v>
      </c>
      <c r="B20" s="398"/>
      <c r="C20" s="399"/>
      <c r="D20" s="111"/>
      <c r="E20" s="372">
        <f>SUMIFS(STATS!AA:AA, STATS!C:C,"BOD",STATS!J:J,"H")</f>
        <v>0</v>
      </c>
      <c r="F20" s="374"/>
      <c r="G20" s="111"/>
      <c r="H20" s="372">
        <f>SUMIFS(STATS!AA:AA, STATS!C:C,"BOD",STATS!J:J,"L")</f>
        <v>0</v>
      </c>
      <c r="I20" s="374"/>
      <c r="J20" s="111">
        <f t="shared" si="0"/>
        <v>0</v>
      </c>
      <c r="K20" s="372">
        <f t="shared" si="1"/>
        <v>0</v>
      </c>
      <c r="L20" s="373"/>
      <c r="M20" s="374"/>
      <c r="O20" s="377"/>
      <c r="P20" s="377"/>
      <c r="Q20" s="377"/>
      <c r="R20" s="377"/>
      <c r="S20" s="368"/>
      <c r="T20" s="368"/>
    </row>
    <row r="21" spans="1:20" x14ac:dyDescent="0.25">
      <c r="A21" s="395" t="s">
        <v>106</v>
      </c>
      <c r="B21" s="395"/>
      <c r="C21" s="396"/>
      <c r="D21" s="93"/>
      <c r="E21" s="393">
        <f>SUMIFS(STATS!AB:AB, STATS!C:C,"BOD",STATS!J:J,"H")</f>
        <v>0</v>
      </c>
      <c r="F21" s="394"/>
      <c r="G21" s="93"/>
      <c r="H21" s="393">
        <f>SUMIFS(STATS!AB:AB, STATS!C:C,"BOD",STATS!J:J,"L")</f>
        <v>0</v>
      </c>
      <c r="I21" s="394"/>
      <c r="J21" s="93">
        <f t="shared" si="0"/>
        <v>0</v>
      </c>
      <c r="K21" s="375">
        <f t="shared" si="1"/>
        <v>0</v>
      </c>
      <c r="L21" s="375"/>
      <c r="M21" s="357"/>
      <c r="O21" s="355" t="s">
        <v>141</v>
      </c>
      <c r="P21" s="355"/>
      <c r="Q21" s="355"/>
      <c r="R21" s="355"/>
      <c r="S21" s="355">
        <f>COUNTIFS(STATS!C:C,"BOD",STATS!AU:AU,"Y")</f>
        <v>39</v>
      </c>
      <c r="T21" s="355"/>
    </row>
    <row r="22" spans="1:20" x14ac:dyDescent="0.25">
      <c r="A22" s="397" t="s">
        <v>105</v>
      </c>
      <c r="B22" s="398"/>
      <c r="C22" s="399"/>
      <c r="D22" s="111"/>
      <c r="E22" s="372">
        <f>SUMIFS(STATS!AC:AC, STATS!C:C,"BOD",STATS!J:J,"H")</f>
        <v>0</v>
      </c>
      <c r="F22" s="374"/>
      <c r="G22" s="111"/>
      <c r="H22" s="372">
        <f>SUMIFS(STATS!AC:AC, STATS!C:C,"BOD",STATS!J:J,"L")</f>
        <v>0</v>
      </c>
      <c r="I22" s="374"/>
      <c r="J22" s="111">
        <f t="shared" si="0"/>
        <v>0</v>
      </c>
      <c r="K22" s="372">
        <f t="shared" si="1"/>
        <v>0</v>
      </c>
      <c r="L22" s="373"/>
      <c r="M22" s="374"/>
      <c r="O22" s="361" t="s">
        <v>138</v>
      </c>
      <c r="P22" s="361"/>
      <c r="Q22" s="361"/>
      <c r="R22" s="361"/>
      <c r="S22" s="355">
        <f>COUNTIFS(STATS!C:C,"BOD",STATS!AQ:AQ,"Y")</f>
        <v>11</v>
      </c>
      <c r="T22" s="355"/>
    </row>
    <row r="23" spans="1:20" x14ac:dyDescent="0.25">
      <c r="A23" s="395" t="s">
        <v>104</v>
      </c>
      <c r="B23" s="395"/>
      <c r="C23" s="396"/>
      <c r="D23" s="93"/>
      <c r="E23" s="393">
        <f>SUMIFS(STATS!AD:AD, STATS!C:C,"BOD",STATS!J:J,"H")</f>
        <v>48.5</v>
      </c>
      <c r="F23" s="394"/>
      <c r="G23" s="93"/>
      <c r="H23" s="393">
        <f>SUMIFS(STATS!AD:AD, STATS!C:C,"BOD",STATS!J:J,"L")</f>
        <v>0</v>
      </c>
      <c r="I23" s="394"/>
      <c r="J23" s="93">
        <f t="shared" si="0"/>
        <v>0</v>
      </c>
      <c r="K23" s="375">
        <f t="shared" si="1"/>
        <v>48.5</v>
      </c>
      <c r="L23" s="375"/>
      <c r="M23" s="357"/>
      <c r="O23" s="355" t="s">
        <v>54</v>
      </c>
      <c r="P23" s="355"/>
      <c r="Q23" s="355"/>
      <c r="R23" s="355"/>
      <c r="S23" s="355">
        <f>COUNTIFS(STATS!C:C,"BOD",STATS!AV:AV,"Y")</f>
        <v>12</v>
      </c>
      <c r="T23" s="355"/>
    </row>
    <row r="24" spans="1:20" x14ac:dyDescent="0.25">
      <c r="A24" s="397" t="s">
        <v>103</v>
      </c>
      <c r="B24" s="398"/>
      <c r="C24" s="399"/>
      <c r="D24" s="111"/>
      <c r="E24" s="372">
        <f>SUMIFS(STATS!AE:AE, STATS!C:C,"BOD",STATS!J:J,"H")</f>
        <v>26.200000000000003</v>
      </c>
      <c r="F24" s="374"/>
      <c r="G24" s="111"/>
      <c r="H24" s="372">
        <f>SUMIFS(STATS!AE:AE, STATS!C:C,"BOD",STATS!J:J,"L")</f>
        <v>362.9</v>
      </c>
      <c r="I24" s="374"/>
      <c r="J24" s="111">
        <f t="shared" si="0"/>
        <v>0</v>
      </c>
      <c r="K24" s="372">
        <f t="shared" si="1"/>
        <v>389.09999999999997</v>
      </c>
      <c r="L24" s="373"/>
      <c r="M24" s="374"/>
      <c r="O24" s="361" t="s">
        <v>143</v>
      </c>
      <c r="P24" s="361"/>
      <c r="Q24" s="361"/>
      <c r="R24" s="361"/>
      <c r="S24" s="355">
        <f>COUNTIFS(STATS!C:C,"BOD",STATS!AS:AS,"Y")</f>
        <v>67</v>
      </c>
      <c r="T24" s="355"/>
    </row>
    <row r="25" spans="1:20" x14ac:dyDescent="0.25">
      <c r="A25" s="395" t="s">
        <v>102</v>
      </c>
      <c r="B25" s="395"/>
      <c r="C25" s="396"/>
      <c r="D25" s="93"/>
      <c r="E25" s="393">
        <f>SUMIFS(STATS!AF:AF, STATS!C:C,"BOD",STATS!J:J,"H")</f>
        <v>0.1</v>
      </c>
      <c r="F25" s="394"/>
      <c r="G25" s="93"/>
      <c r="H25" s="393">
        <f>SUMIFS(STATS!AF:AF, STATS!C:C,"BOD",STATS!J:J,"L")</f>
        <v>0</v>
      </c>
      <c r="I25" s="394"/>
      <c r="J25" s="93">
        <f t="shared" si="0"/>
        <v>0</v>
      </c>
      <c r="K25" s="375">
        <f t="shared" si="1"/>
        <v>0.1</v>
      </c>
      <c r="L25" s="375"/>
      <c r="M25" s="357"/>
      <c r="O25" s="355" t="s">
        <v>140</v>
      </c>
      <c r="P25" s="355"/>
      <c r="Q25" s="355"/>
      <c r="R25" s="355"/>
      <c r="S25" s="355">
        <f>COUNTIFS(STATS!C:C,"BOD",STATS!AT:AT,"Y")</f>
        <v>15</v>
      </c>
      <c r="T25" s="355"/>
    </row>
    <row r="26" spans="1:20" x14ac:dyDescent="0.25">
      <c r="A26" s="397" t="s">
        <v>101</v>
      </c>
      <c r="B26" s="398"/>
      <c r="C26" s="399"/>
      <c r="D26" s="111"/>
      <c r="E26" s="372">
        <f>SUMIFS(STATS!AG:AG, STATS!C:C,"BOD",STATS!J:J,"H")</f>
        <v>0</v>
      </c>
      <c r="F26" s="374"/>
      <c r="G26" s="111"/>
      <c r="H26" s="372">
        <f>SUMIFS(STATS!AG:AG, STATS!C:C,"BOD",STATS!J:J,"L")</f>
        <v>0</v>
      </c>
      <c r="I26" s="374"/>
      <c r="J26" s="111">
        <f t="shared" si="0"/>
        <v>0</v>
      </c>
      <c r="K26" s="372">
        <f t="shared" si="1"/>
        <v>0</v>
      </c>
      <c r="L26" s="373"/>
      <c r="M26" s="374"/>
      <c r="O26" s="361" t="s">
        <v>137</v>
      </c>
      <c r="P26" s="361"/>
      <c r="Q26" s="361"/>
      <c r="R26" s="361"/>
      <c r="S26" s="355">
        <f>COUNTIFS(STATS!C:C,"BOD",STATS!AP:AP,"Y")</f>
        <v>27</v>
      </c>
      <c r="T26" s="355"/>
    </row>
    <row r="27" spans="1:20" x14ac:dyDescent="0.25">
      <c r="A27" s="395" t="s">
        <v>100</v>
      </c>
      <c r="B27" s="395"/>
      <c r="C27" s="396"/>
      <c r="D27" s="93"/>
      <c r="E27" s="393">
        <f>SUMIFS(STATS!AH:AH, STATS!C:C,"BOD",STATS!J:J,"H")</f>
        <v>1.7</v>
      </c>
      <c r="F27" s="394"/>
      <c r="G27" s="93"/>
      <c r="H27" s="393">
        <f>SUMIFS(STATS!AH:AH, STATS!C:C,"BOD",STATS!J:J,"L")</f>
        <v>0</v>
      </c>
      <c r="I27" s="394"/>
      <c r="J27" s="93">
        <f t="shared" si="0"/>
        <v>0</v>
      </c>
      <c r="K27" s="375">
        <f t="shared" si="1"/>
        <v>1.7</v>
      </c>
      <c r="L27" s="375"/>
      <c r="M27" s="357"/>
      <c r="O27" s="355" t="s">
        <v>139</v>
      </c>
      <c r="P27" s="355"/>
      <c r="Q27" s="355"/>
      <c r="R27" s="355"/>
      <c r="S27" s="355">
        <f>COUNTIFS(STATS!C:C,"BOD",STATS!AR:AR,"Y")</f>
        <v>5</v>
      </c>
      <c r="T27" s="355"/>
    </row>
    <row r="28" spans="1:20" x14ac:dyDescent="0.25">
      <c r="A28" s="397" t="s">
        <v>99</v>
      </c>
      <c r="B28" s="398"/>
      <c r="C28" s="399"/>
      <c r="D28" s="111"/>
      <c r="E28" s="372">
        <f>SUMIFS(STATS!AI:AI, STATS!C:C,"BOD",STATS!J:J,"H")</f>
        <v>347.4</v>
      </c>
      <c r="F28" s="374"/>
      <c r="G28" s="111"/>
      <c r="H28" s="372">
        <f>SUMIFS(STATS!AI:AI, STATS!C:C,"BOD",STATS!J:J,"L")</f>
        <v>0</v>
      </c>
      <c r="I28" s="374"/>
      <c r="J28" s="111">
        <f t="shared" si="0"/>
        <v>0</v>
      </c>
      <c r="K28" s="372">
        <f t="shared" si="1"/>
        <v>347.4</v>
      </c>
      <c r="L28" s="373"/>
      <c r="M28" s="374"/>
      <c r="O28" s="361" t="s">
        <v>13</v>
      </c>
      <c r="P28" s="361"/>
      <c r="Q28" s="361"/>
      <c r="R28" s="361"/>
      <c r="S28" s="355">
        <f>COUNTIFS(STATS!C:C,"BOD",STATS!AO:AO,"Y")</f>
        <v>41</v>
      </c>
      <c r="T28" s="355"/>
    </row>
    <row r="29" spans="1:20" ht="15.75" thickBot="1" x14ac:dyDescent="0.3">
      <c r="A29" s="402" t="s">
        <v>98</v>
      </c>
      <c r="B29" s="403"/>
      <c r="C29" s="403"/>
      <c r="D29" s="94" t="s">
        <v>22</v>
      </c>
      <c r="E29" s="393">
        <f>SUMIFS(STATS!AJ:AJ, STATS!C:C,"BOD",STATS!J:J,"H")</f>
        <v>0</v>
      </c>
      <c r="F29" s="394"/>
      <c r="G29" s="96" t="s">
        <v>22</v>
      </c>
      <c r="H29" s="393">
        <f>SUMIFS(STATS!AJ:AJ, STATS!C:C,"BOD",STATS!J:J,"L")</f>
        <v>262.89999999999998</v>
      </c>
      <c r="I29" s="394"/>
      <c r="J29" s="96" t="s">
        <v>22</v>
      </c>
      <c r="K29" s="375">
        <f t="shared" ref="K29" si="3">SUM(E29,H29)</f>
        <v>262.89999999999998</v>
      </c>
      <c r="L29" s="375"/>
      <c r="M29" s="357"/>
      <c r="O29" s="369"/>
      <c r="P29" s="370"/>
      <c r="Q29" s="370"/>
      <c r="R29" s="371"/>
      <c r="S29" s="103"/>
      <c r="T29" s="103"/>
    </row>
    <row r="30" spans="1:20" ht="15.75" thickBot="1" x14ac:dyDescent="0.3">
      <c r="A30" s="400" t="s">
        <v>97</v>
      </c>
      <c r="B30" s="400"/>
      <c r="C30" s="401"/>
      <c r="D30" s="95">
        <f>SUM(D12:D28)</f>
        <v>90</v>
      </c>
      <c r="E30" s="391">
        <f>SUM(E12:F29)</f>
        <v>15697.500000000004</v>
      </c>
      <c r="F30" s="392"/>
      <c r="G30" s="97">
        <f>SUM(G12:G28)</f>
        <v>27</v>
      </c>
      <c r="H30" s="391">
        <f>SUM(H12:I29)</f>
        <v>34096.100000000006</v>
      </c>
      <c r="I30" s="392"/>
      <c r="J30" s="97">
        <f>SUM(J12:J28)</f>
        <v>117</v>
      </c>
      <c r="K30" s="391">
        <f>SUM(K12:M29)</f>
        <v>49793.599999999991</v>
      </c>
      <c r="L30" s="391"/>
      <c r="M30" s="392"/>
      <c r="O30" s="362" t="s">
        <v>144</v>
      </c>
      <c r="P30" s="363"/>
      <c r="Q30" s="363"/>
      <c r="R30" s="363"/>
      <c r="S30" s="363"/>
      <c r="T30" s="364"/>
    </row>
    <row r="31" spans="1:20" ht="4.5" customHeight="1" x14ac:dyDescent="0.25">
      <c r="O31" s="365"/>
      <c r="P31" s="366"/>
      <c r="Q31" s="366"/>
      <c r="R31" s="366"/>
      <c r="S31" s="366"/>
      <c r="T31" s="367"/>
    </row>
    <row r="32" spans="1:20" x14ac:dyDescent="0.25">
      <c r="E32" s="390" t="s">
        <v>96</v>
      </c>
      <c r="F32" s="390"/>
      <c r="G32" s="390"/>
      <c r="H32" s="390"/>
      <c r="I32" s="390"/>
      <c r="J32" s="109">
        <f>COUNTIFS(STATS!C:C,"OTHER",STATS!D:D,"BOD")</f>
        <v>2</v>
      </c>
      <c r="K32" s="355">
        <f>STATS!S4-K12</f>
        <v>1208.099999999984</v>
      </c>
      <c r="L32" s="355"/>
      <c r="M32" s="355"/>
      <c r="O32" s="368" t="s">
        <v>145</v>
      </c>
      <c r="P32" s="368"/>
      <c r="Q32" s="99" t="s">
        <v>113</v>
      </c>
      <c r="R32" s="368" t="s">
        <v>145</v>
      </c>
      <c r="S32" s="368"/>
      <c r="T32" s="99" t="s">
        <v>113</v>
      </c>
    </row>
    <row r="33" spans="5:20" x14ac:dyDescent="0.25">
      <c r="E33" s="361" t="s">
        <v>95</v>
      </c>
      <c r="F33" s="361"/>
      <c r="G33" s="361"/>
      <c r="H33" s="361"/>
      <c r="I33" s="361"/>
      <c r="J33" s="101">
        <f>STATS!AK4</f>
        <v>6</v>
      </c>
      <c r="K33" s="389" t="s">
        <v>154</v>
      </c>
      <c r="L33" s="361"/>
      <c r="M33" s="361"/>
      <c r="O33" s="355" t="s">
        <v>146</v>
      </c>
      <c r="P33" s="355"/>
      <c r="Q33" s="113">
        <f>COUNTIFS(STATS!C:C,"BOD",STATS!AW:AW,"A")</f>
        <v>33</v>
      </c>
      <c r="R33" s="355" t="s">
        <v>150</v>
      </c>
      <c r="S33" s="355"/>
      <c r="T33" s="113">
        <f>COUNTIFS(STATS!C:C,"BOD",STATS!AW:AW,"E")</f>
        <v>8</v>
      </c>
    </row>
    <row r="34" spans="5:20" x14ac:dyDescent="0.25">
      <c r="E34" s="388" t="s">
        <v>94</v>
      </c>
      <c r="F34" s="388"/>
      <c r="G34" s="388"/>
      <c r="H34" s="388"/>
      <c r="I34" s="388"/>
      <c r="J34" s="112">
        <f>RURALASSIST!AA4</f>
        <v>15</v>
      </c>
      <c r="K34" s="388">
        <f>SUMIF(RURALASSIST!AA:AA,"X",RURALASSIST!M:M)</f>
        <v>2746.6</v>
      </c>
      <c r="L34" s="388"/>
      <c r="M34" s="388"/>
      <c r="O34" s="361" t="s">
        <v>147</v>
      </c>
      <c r="P34" s="361"/>
      <c r="Q34" s="98">
        <f>COUNTIFS(STATS!C:C,"BOD",STATS!AW:AW,"B")</f>
        <v>41</v>
      </c>
      <c r="R34" s="361" t="s">
        <v>151</v>
      </c>
      <c r="S34" s="361"/>
      <c r="T34" s="98">
        <f>COUNTIFS(STATS!C:C,"BOD",STATS!AW:AW,"F")</f>
        <v>2</v>
      </c>
    </row>
    <row r="35" spans="5:20" x14ac:dyDescent="0.25">
      <c r="E35" s="357" t="s">
        <v>162</v>
      </c>
      <c r="F35" s="358"/>
      <c r="G35" s="358"/>
      <c r="H35" s="358"/>
      <c r="I35" s="359"/>
      <c r="J35" s="110">
        <f>COUNTIFS(FALSEALARMS!C:C,"BOD")</f>
        <v>17</v>
      </c>
      <c r="K35" s="360" t="s">
        <v>154</v>
      </c>
      <c r="L35" s="358"/>
      <c r="M35" s="359"/>
      <c r="O35" s="355" t="s">
        <v>148</v>
      </c>
      <c r="P35" s="355"/>
      <c r="Q35" s="113">
        <f>COUNTIFS(STATS!C:C,"BOD",STATS!AW:AW,"C")</f>
        <v>22</v>
      </c>
      <c r="R35" s="355" t="s">
        <v>152</v>
      </c>
      <c r="S35" s="355"/>
      <c r="T35" s="113">
        <f>COUNTIFS(STATS!C:C,"BOD",STATS!AW:AW,"G")</f>
        <v>3</v>
      </c>
    </row>
    <row r="36" spans="5:20" x14ac:dyDescent="0.25">
      <c r="E36" s="355" t="s">
        <v>205</v>
      </c>
      <c r="F36" s="355"/>
      <c r="G36" s="355"/>
      <c r="H36" s="355"/>
      <c r="I36" s="355"/>
      <c r="J36" s="113">
        <f>COUNTIFS(NONSTAT!C:C,"BOD")</f>
        <v>16</v>
      </c>
      <c r="K36" s="356" t="s">
        <v>154</v>
      </c>
      <c r="L36" s="355"/>
      <c r="M36" s="355"/>
      <c r="O36" s="361" t="s">
        <v>149</v>
      </c>
      <c r="P36" s="361"/>
      <c r="Q36" s="98">
        <f>COUNTIFS(STATS!C:C,"BOD",STATS!AW:AW,"D")</f>
        <v>8</v>
      </c>
      <c r="R36" s="361"/>
      <c r="S36" s="361"/>
      <c r="T36" s="98"/>
    </row>
  </sheetData>
  <sortState xmlns:xlrd2="http://schemas.microsoft.com/office/spreadsheetml/2017/richdata2" ref="P29:S36">
    <sortCondition ref="P19"/>
  </sortState>
  <mergeCells count="183">
    <mergeCell ref="A1:H1"/>
    <mergeCell ref="A2:F2"/>
    <mergeCell ref="C3:D3"/>
    <mergeCell ref="E3:F3"/>
    <mergeCell ref="A4:B4"/>
    <mergeCell ref="A3:B3"/>
    <mergeCell ref="H2:M2"/>
    <mergeCell ref="H3:I3"/>
    <mergeCell ref="J3:K3"/>
    <mergeCell ref="A5:B5"/>
    <mergeCell ref="A6:B6"/>
    <mergeCell ref="E6:F6"/>
    <mergeCell ref="E5:F5"/>
    <mergeCell ref="E4:F4"/>
    <mergeCell ref="C6:D6"/>
    <mergeCell ref="C5:D5"/>
    <mergeCell ref="C4:D4"/>
    <mergeCell ref="L3:M3"/>
    <mergeCell ref="H4:I4"/>
    <mergeCell ref="J4:K4"/>
    <mergeCell ref="L4:M4"/>
    <mergeCell ref="H5:I5"/>
    <mergeCell ref="J5:K5"/>
    <mergeCell ref="L5:M5"/>
    <mergeCell ref="A11:C11"/>
    <mergeCell ref="A17:C17"/>
    <mergeCell ref="A16:C16"/>
    <mergeCell ref="J10:M10"/>
    <mergeCell ref="G10:I10"/>
    <mergeCell ref="D10:F10"/>
    <mergeCell ref="A10:C10"/>
    <mergeCell ref="H6:I6"/>
    <mergeCell ref="J6:K6"/>
    <mergeCell ref="L6:M6"/>
    <mergeCell ref="A8:M8"/>
    <mergeCell ref="A9:M9"/>
    <mergeCell ref="H12:I12"/>
    <mergeCell ref="H11:I11"/>
    <mergeCell ref="E11:F11"/>
    <mergeCell ref="H14:I14"/>
    <mergeCell ref="K11:M11"/>
    <mergeCell ref="E14:F14"/>
    <mergeCell ref="E13:F13"/>
    <mergeCell ref="E12:F12"/>
    <mergeCell ref="E17:F17"/>
    <mergeCell ref="E16:F16"/>
    <mergeCell ref="E15:F15"/>
    <mergeCell ref="A30:C30"/>
    <mergeCell ref="A28:C28"/>
    <mergeCell ref="A27:C27"/>
    <mergeCell ref="A26:C26"/>
    <mergeCell ref="A25:C25"/>
    <mergeCell ref="A24:C24"/>
    <mergeCell ref="A29:C29"/>
    <mergeCell ref="A12:C12"/>
    <mergeCell ref="A23:C23"/>
    <mergeCell ref="A22:C22"/>
    <mergeCell ref="A21:C21"/>
    <mergeCell ref="A20:C20"/>
    <mergeCell ref="A19:C19"/>
    <mergeCell ref="A18:C18"/>
    <mergeCell ref="K18:M18"/>
    <mergeCell ref="K17:M17"/>
    <mergeCell ref="K16:M16"/>
    <mergeCell ref="A15:C15"/>
    <mergeCell ref="A14:C14"/>
    <mergeCell ref="A13:C13"/>
    <mergeCell ref="H18:I18"/>
    <mergeCell ref="H13:I13"/>
    <mergeCell ref="K15:M15"/>
    <mergeCell ref="E21:F21"/>
    <mergeCell ref="H30:I30"/>
    <mergeCell ref="H28:I28"/>
    <mergeCell ref="H27:I27"/>
    <mergeCell ref="H26:I26"/>
    <mergeCell ref="H25:I25"/>
    <mergeCell ref="H24:I24"/>
    <mergeCell ref="H16:I16"/>
    <mergeCell ref="H15:I15"/>
    <mergeCell ref="H21:I21"/>
    <mergeCell ref="H20:I20"/>
    <mergeCell ref="H19:I19"/>
    <mergeCell ref="H17:I17"/>
    <mergeCell ref="E30:F30"/>
    <mergeCell ref="E28:F28"/>
    <mergeCell ref="E27:F27"/>
    <mergeCell ref="E26:F26"/>
    <mergeCell ref="E25:F25"/>
    <mergeCell ref="E24:F24"/>
    <mergeCell ref="E23:F23"/>
    <mergeCell ref="E22:F22"/>
    <mergeCell ref="H23:I23"/>
    <mergeCell ref="H22:I22"/>
    <mergeCell ref="O2:T2"/>
    <mergeCell ref="K34:M34"/>
    <mergeCell ref="K33:M33"/>
    <mergeCell ref="K32:M32"/>
    <mergeCell ref="E32:I32"/>
    <mergeCell ref="E33:I33"/>
    <mergeCell ref="E34:I34"/>
    <mergeCell ref="K14:M14"/>
    <mergeCell ref="K13:M13"/>
    <mergeCell ref="K12:M12"/>
    <mergeCell ref="K30:M30"/>
    <mergeCell ref="K28:M28"/>
    <mergeCell ref="K27:M27"/>
    <mergeCell ref="K26:M26"/>
    <mergeCell ref="K25:M25"/>
    <mergeCell ref="E20:F20"/>
    <mergeCell ref="E19:F19"/>
    <mergeCell ref="E18:F18"/>
    <mergeCell ref="K21:M21"/>
    <mergeCell ref="K20:M20"/>
    <mergeCell ref="K19:M19"/>
    <mergeCell ref="H29:I29"/>
    <mergeCell ref="E29:F29"/>
    <mergeCell ref="K29:M29"/>
    <mergeCell ref="R3:R4"/>
    <mergeCell ref="S3:S4"/>
    <mergeCell ref="T3:T4"/>
    <mergeCell ref="O5:P5"/>
    <mergeCell ref="O6:P6"/>
    <mergeCell ref="O7:P7"/>
    <mergeCell ref="O8:P8"/>
    <mergeCell ref="O10:T10"/>
    <mergeCell ref="O11:P11"/>
    <mergeCell ref="O3:P4"/>
    <mergeCell ref="Q3:Q4"/>
    <mergeCell ref="O18:T18"/>
    <mergeCell ref="O19:R20"/>
    <mergeCell ref="S19:T20"/>
    <mergeCell ref="S21:T21"/>
    <mergeCell ref="O16:P16"/>
    <mergeCell ref="Q11:R11"/>
    <mergeCell ref="Q12:R12"/>
    <mergeCell ref="Q13:R13"/>
    <mergeCell ref="Q14:R14"/>
    <mergeCell ref="Q15:R15"/>
    <mergeCell ref="S11:T11"/>
    <mergeCell ref="S12:T12"/>
    <mergeCell ref="S13:T13"/>
    <mergeCell ref="S14:T14"/>
    <mergeCell ref="S15:T15"/>
    <mergeCell ref="S16:T16"/>
    <mergeCell ref="Q16:R16"/>
    <mergeCell ref="O12:P12"/>
    <mergeCell ref="O13:P13"/>
    <mergeCell ref="O14:P14"/>
    <mergeCell ref="O15:P15"/>
    <mergeCell ref="K24:M24"/>
    <mergeCell ref="K23:M23"/>
    <mergeCell ref="O21:R21"/>
    <mergeCell ref="O24:R24"/>
    <mergeCell ref="O22:R22"/>
    <mergeCell ref="O23:R23"/>
    <mergeCell ref="O25:R25"/>
    <mergeCell ref="O26:R26"/>
    <mergeCell ref="O28:R28"/>
    <mergeCell ref="K22:M22"/>
    <mergeCell ref="E36:I36"/>
    <mergeCell ref="K36:M36"/>
    <mergeCell ref="E35:I35"/>
    <mergeCell ref="K35:M35"/>
    <mergeCell ref="R35:S35"/>
    <mergeCell ref="R36:S36"/>
    <mergeCell ref="O30:T31"/>
    <mergeCell ref="S22:T22"/>
    <mergeCell ref="S23:T23"/>
    <mergeCell ref="S24:T24"/>
    <mergeCell ref="S25:T25"/>
    <mergeCell ref="S26:T26"/>
    <mergeCell ref="S27:T27"/>
    <mergeCell ref="S28:T28"/>
    <mergeCell ref="O27:R27"/>
    <mergeCell ref="O32:P32"/>
    <mergeCell ref="R32:S32"/>
    <mergeCell ref="O33:P33"/>
    <mergeCell ref="O34:P34"/>
    <mergeCell ref="O35:P35"/>
    <mergeCell ref="O36:P36"/>
    <mergeCell ref="R33:S33"/>
    <mergeCell ref="R34:S34"/>
    <mergeCell ref="O29:R29"/>
  </mergeCells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79998168889431442"/>
  </sheetPr>
  <dimension ref="A1:AA36"/>
  <sheetViews>
    <sheetView zoomScaleNormal="100" workbookViewId="0">
      <selection activeCell="J39" sqref="J39"/>
    </sheetView>
  </sheetViews>
  <sheetFormatPr defaultRowHeight="15" x14ac:dyDescent="0.25"/>
  <cols>
    <col min="14" max="14" width="1.28515625" customWidth="1"/>
    <col min="15" max="15" width="9.140625" customWidth="1"/>
    <col min="27" max="27" width="10" customWidth="1"/>
  </cols>
  <sheetData>
    <row r="1" spans="1:27" ht="15.75" thickBot="1" x14ac:dyDescent="0.3">
      <c r="A1" s="417" t="s">
        <v>211</v>
      </c>
      <c r="B1" s="417"/>
      <c r="C1" s="417"/>
      <c r="D1" s="417"/>
      <c r="E1" s="417"/>
      <c r="F1" s="417"/>
      <c r="G1" s="417"/>
      <c r="H1" s="417"/>
    </row>
    <row r="2" spans="1:27" ht="33.75" x14ac:dyDescent="0.25">
      <c r="A2" s="355" t="s">
        <v>122</v>
      </c>
      <c r="B2" s="355"/>
      <c r="C2" s="355"/>
      <c r="D2" s="355"/>
      <c r="E2" s="355"/>
      <c r="F2" s="355"/>
      <c r="H2" s="355" t="s">
        <v>117</v>
      </c>
      <c r="I2" s="355"/>
      <c r="J2" s="355"/>
      <c r="K2" s="355"/>
      <c r="L2" s="355"/>
      <c r="M2" s="355"/>
      <c r="O2" s="376" t="s">
        <v>156</v>
      </c>
      <c r="P2" s="376"/>
      <c r="Q2" s="376"/>
      <c r="R2" s="376"/>
      <c r="S2" s="376"/>
      <c r="T2" s="376"/>
      <c r="W2" s="115"/>
      <c r="X2" s="116" t="s">
        <v>34</v>
      </c>
      <c r="Y2" s="117" t="s">
        <v>35</v>
      </c>
      <c r="Z2" s="132" t="s">
        <v>36</v>
      </c>
      <c r="AA2" s="130" t="s">
        <v>168</v>
      </c>
    </row>
    <row r="3" spans="1:27" ht="15" customHeight="1" x14ac:dyDescent="0.25">
      <c r="A3" s="361"/>
      <c r="B3" s="361"/>
      <c r="C3" s="361" t="s">
        <v>113</v>
      </c>
      <c r="D3" s="361"/>
      <c r="E3" s="361" t="s">
        <v>2</v>
      </c>
      <c r="F3" s="361"/>
      <c r="H3" s="361"/>
      <c r="I3" s="361"/>
      <c r="J3" s="361" t="s">
        <v>113</v>
      </c>
      <c r="K3" s="361"/>
      <c r="L3" s="361" t="s">
        <v>2</v>
      </c>
      <c r="M3" s="361"/>
      <c r="O3" s="382" t="s">
        <v>129</v>
      </c>
      <c r="P3" s="383"/>
      <c r="Q3" s="386" t="s">
        <v>113</v>
      </c>
      <c r="R3" s="381" t="s">
        <v>23</v>
      </c>
      <c r="S3" s="381" t="s">
        <v>24</v>
      </c>
      <c r="T3" s="377" t="s">
        <v>3</v>
      </c>
      <c r="W3" s="119" t="s">
        <v>164</v>
      </c>
      <c r="X3" s="54">
        <f>COUNTIFS(STATS!A:A,"&gt;="&amp;STATS!BG4,STATS!A:A,"&lt;="&amp;STATS!BH4,STATS!C:C,"BOF")</f>
        <v>0</v>
      </c>
      <c r="Y3" s="14">
        <f>COUNTIFS(STATS!A:A,"&gt;="&amp;STATS!BG4,STATS!A:A,"&lt;="&amp;STATS!BH4,STATS!C:C,"BOF",STATS!J:J,"H")</f>
        <v>0</v>
      </c>
      <c r="Z3" s="11">
        <f>COUNTIFS(STATS!A:A,"&gt;="&amp;STATS!BG4,STATS!A:A,"&lt;="&amp;STATS!BH4,STATS!C:C,"BOF",STATS!J:J,"L")</f>
        <v>0</v>
      </c>
      <c r="AA3" s="131">
        <f>SUMIFS(STATS!R:R,STATS!A:A,"&gt;="&amp;STATS!BG4,STATS!A:A,"&lt;="&amp;STATS!BH4,STATS!C:C,"BOF")</f>
        <v>0</v>
      </c>
    </row>
    <row r="4" spans="1:27" x14ac:dyDescent="0.25">
      <c r="A4" s="355" t="s">
        <v>19</v>
      </c>
      <c r="B4" s="355"/>
      <c r="C4" s="355">
        <f>D30</f>
        <v>6</v>
      </c>
      <c r="D4" s="355"/>
      <c r="E4" s="355">
        <f>E30</f>
        <v>2.5000000000000004</v>
      </c>
      <c r="F4" s="355"/>
      <c r="H4" s="355" t="s">
        <v>19</v>
      </c>
      <c r="I4" s="355"/>
      <c r="J4" s="355">
        <f>D30</f>
        <v>6</v>
      </c>
      <c r="K4" s="355"/>
      <c r="L4" s="355">
        <f>ROUND(E30-E29,0)</f>
        <v>3</v>
      </c>
      <c r="M4" s="355"/>
      <c r="O4" s="384"/>
      <c r="P4" s="385"/>
      <c r="Q4" s="387"/>
      <c r="R4" s="381"/>
      <c r="S4" s="381"/>
      <c r="T4" s="377"/>
      <c r="W4" s="121" t="s">
        <v>51</v>
      </c>
      <c r="X4" s="54">
        <f>COUNTIFS(STATS!A:A,"&gt;="&amp;STATS!BG5,STATS!A:A,"&lt;="&amp;STATS!BH5,STATS!C:C,"BOF")</f>
        <v>0</v>
      </c>
      <c r="Y4" s="14">
        <f>COUNTIFS(STATS!A:A,"&gt;="&amp;STATS!BG5,STATS!A:A,"&lt;="&amp;STATS!BH5,STATS!C:C,"BOF",STATS!J:J,"H")</f>
        <v>0</v>
      </c>
      <c r="Z4" s="11">
        <f>COUNTIFS(STATS!A:A,"&gt;="&amp;STATS!BG5,STATS!A:A,"&lt;="&amp;STATS!BH5,STATS!C:C,"BOF",STATS!J:J,"L")</f>
        <v>0</v>
      </c>
      <c r="AA4" s="131">
        <f>SUMIFS(STATS!R:R,STATS!A:A,"&gt;="&amp;STATS!BG5,STATS!A:A,"&lt;="&amp;STATS!BH5,STATS!C:C,"BOF")</f>
        <v>0</v>
      </c>
    </row>
    <row r="5" spans="1:27" ht="15.75" thickBot="1" x14ac:dyDescent="0.3">
      <c r="A5" s="411" t="s">
        <v>20</v>
      </c>
      <c r="B5" s="411"/>
      <c r="C5" s="370">
        <f>G30</f>
        <v>47</v>
      </c>
      <c r="D5" s="370"/>
      <c r="E5" s="370">
        <f>H30</f>
        <v>2922.3499999999995</v>
      </c>
      <c r="F5" s="370"/>
      <c r="H5" s="411" t="s">
        <v>20</v>
      </c>
      <c r="I5" s="411"/>
      <c r="J5" s="370">
        <f>G30</f>
        <v>47</v>
      </c>
      <c r="K5" s="370"/>
      <c r="L5" s="370">
        <f>ROUND(H30-H29,0)</f>
        <v>1915</v>
      </c>
      <c r="M5" s="370"/>
      <c r="O5" s="390" t="s">
        <v>158</v>
      </c>
      <c r="P5" s="390"/>
      <c r="Q5" s="113">
        <f>COUNTIFS( STATS!C:C,"BOF",STATS!F:F,"D1")</f>
        <v>6</v>
      </c>
      <c r="R5" s="113">
        <f>SUMIFS(STATS!R:R, STATS!C:C,"BOF",STATS!F:F,"D1",STATS!J:J,"H")</f>
        <v>0.30000000000000004</v>
      </c>
      <c r="S5" s="113">
        <f>SUMIFS(STATS!R:R, STATS!C:C,"BOF",STATS!F:F,"D1",STATS!J:J,"L")</f>
        <v>90.1</v>
      </c>
      <c r="T5" s="113">
        <f>SUM(R5:S5)</f>
        <v>90.399999999999991</v>
      </c>
      <c r="W5" s="121" t="s">
        <v>37</v>
      </c>
      <c r="X5" s="54">
        <f>COUNTIFS(STATS!A:A,"&gt;="&amp;STATS!BG6,STATS!A:A,"&lt;="&amp;STATS!BH6,STATS!C:C,"BOF")</f>
        <v>0</v>
      </c>
      <c r="Y5" s="14">
        <f>COUNTIFS(STATS!A:A,"&gt;="&amp;STATS!BG6,STATS!A:A,"&lt;="&amp;STATS!BH6,STATS!C:C,"BOF",STATS!J:J,"H")</f>
        <v>0</v>
      </c>
      <c r="Z5" s="11">
        <f>COUNTIFS(STATS!A:A,"&gt;="&amp;STATS!BG6,STATS!A:A,"&lt;="&amp;STATS!BH6,STATS!C:C,"BOF",STATS!J:J,"L")</f>
        <v>0</v>
      </c>
      <c r="AA5" s="131">
        <f>SUMIFS(STATS!R:R,STATS!A:A,"&gt;="&amp;STATS!BG6,STATS!A:A,"&lt;="&amp;STATS!BH6,STATS!C:C,"BOF")</f>
        <v>0</v>
      </c>
    </row>
    <row r="6" spans="1:27" x14ac:dyDescent="0.25">
      <c r="A6" s="407" t="s">
        <v>4</v>
      </c>
      <c r="B6" s="407"/>
      <c r="C6" s="400">
        <f>J30</f>
        <v>53</v>
      </c>
      <c r="D6" s="400"/>
      <c r="E6" s="400">
        <f>K30</f>
        <v>2924.8499999999995</v>
      </c>
      <c r="F6" s="400"/>
      <c r="H6" s="407" t="s">
        <v>4</v>
      </c>
      <c r="I6" s="407"/>
      <c r="J6" s="400">
        <f>SUM(J4:K5)</f>
        <v>53</v>
      </c>
      <c r="K6" s="400"/>
      <c r="L6" s="400">
        <f>SUM(L4,L5)</f>
        <v>1918</v>
      </c>
      <c r="M6" s="400"/>
      <c r="O6" s="415" t="s">
        <v>157</v>
      </c>
      <c r="P6" s="415"/>
      <c r="Q6" s="98">
        <f>COUNTIFS( STATS!C:C,"BOF",STATS!F:F,"D3")</f>
        <v>8</v>
      </c>
      <c r="R6" s="98">
        <f>SUMIFS(STATS!R:R, STATS!C:C,"BOF",STATS!F:F,"D3",STATS!J:J,"H")</f>
        <v>0</v>
      </c>
      <c r="S6" s="98">
        <f>SUMIFS(STATS!R:R, STATS!C:C,"BOF",STATS!F:F,"D3",STATS!J:J,"L")</f>
        <v>4.25</v>
      </c>
      <c r="T6" s="98">
        <f>SUM(R6:S6)</f>
        <v>4.25</v>
      </c>
      <c r="W6" s="121" t="s">
        <v>38</v>
      </c>
      <c r="X6" s="54">
        <f>COUNTIFS(STATS!A:A,"&gt;="&amp;STATS!BG7,STATS!A:A,"&lt;="&amp;STATS!BH7,STATS!C:C,"BOF")</f>
        <v>0</v>
      </c>
      <c r="Y6" s="14">
        <f>COUNTIFS(STATS!A:A,"&gt;="&amp;STATS!BG7,STATS!A:A,"&lt;="&amp;STATS!BH7,STATS!C:C,"BOF",STATS!J:J,"H")</f>
        <v>0</v>
      </c>
      <c r="Z6" s="11">
        <f>COUNTIFS(STATS!A:A,"&gt;="&amp;STATS!BG7,STATS!A:A,"&lt;="&amp;STATS!BH7,STATS!C:C,"BOF",STATS!J:J,"L")</f>
        <v>0</v>
      </c>
      <c r="AA6" s="131">
        <f>SUMIFS(STATS!R:R,STATS!A:A,"&gt;="&amp;STATS!BG7,STATS!A:A,"&lt;="&amp;STATS!BH7,STATS!C:C,"BOF")</f>
        <v>0</v>
      </c>
    </row>
    <row r="7" spans="1:27" x14ac:dyDescent="0.25">
      <c r="O7" s="390" t="s">
        <v>159</v>
      </c>
      <c r="P7" s="390"/>
      <c r="Q7" s="113">
        <f>COUNTIFS( STATS!C:C,"BOF",STATS!F:F,"D4")</f>
        <v>17</v>
      </c>
      <c r="R7" s="113">
        <f>SUMIFS(STATS!R:R, STATS!C:C,"BOF",STATS!F:F,"D4",STATS!J:J,"H")</f>
        <v>0</v>
      </c>
      <c r="S7" s="113">
        <f>SUMIFS(STATS!R:R, STATS!C:C,"BOF",STATS!F:F,"D4",STATS!J:J,"L")</f>
        <v>2808.95</v>
      </c>
      <c r="T7" s="113">
        <f>SUM(R7:S7)</f>
        <v>2808.95</v>
      </c>
      <c r="W7" s="121" t="s">
        <v>39</v>
      </c>
      <c r="X7" s="54">
        <f>COUNTIFS(STATS!A:A,"&gt;="&amp;STATS!BG8,STATS!A:A,"&lt;="&amp;STATS!BH8,STATS!C:C,"BOF")</f>
        <v>0</v>
      </c>
      <c r="Y7" s="14">
        <f>COUNTIFS(STATS!A:A,"&gt;="&amp;STATS!BG8,STATS!A:A,"&lt;="&amp;STATS!BH8,STATS!C:C,"BOF",STATS!J:J,"H")</f>
        <v>0</v>
      </c>
      <c r="Z7" s="11">
        <f>COUNTIFS(STATS!A:A,"&gt;="&amp;STATS!BG8,STATS!A:A,"&lt;="&amp;STATS!BH8,STATS!C:C,"BOF",STATS!J:J,"L")</f>
        <v>0</v>
      </c>
      <c r="AA7" s="131">
        <f>SUMIFS(STATS!R:R,STATS!A:A,"&gt;="&amp;STATS!BG8,STATS!A:A,"&lt;="&amp;STATS!BH8,STATS!C:C,"BOF")</f>
        <v>0</v>
      </c>
    </row>
    <row r="8" spans="1:27" x14ac:dyDescent="0.25">
      <c r="A8" s="355" t="s">
        <v>65</v>
      </c>
      <c r="B8" s="355"/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O8" s="415" t="s">
        <v>160</v>
      </c>
      <c r="P8" s="415"/>
      <c r="Q8" s="98">
        <f>COUNTIFS( STATS!C:C,"BOF",STATS!F:F,"D5")</f>
        <v>11</v>
      </c>
      <c r="R8" s="98">
        <f>SUMIFS(STATS!R:R, STATS!C:C,"BOF",STATS!F:F,"D5",STATS!J:J,"H")</f>
        <v>0.1</v>
      </c>
      <c r="S8" s="98">
        <f>SUMIFS(STATS!R:R, STATS!C:C,"BOF",STATS!F:F,"D5",STATS!J:J,"L")</f>
        <v>0.99999999999999989</v>
      </c>
      <c r="T8" s="98">
        <f>SUM(R8:S8)</f>
        <v>1.0999999999999999</v>
      </c>
      <c r="W8" s="121" t="s">
        <v>165</v>
      </c>
      <c r="X8" s="54">
        <f>COUNTIFS(STATS!A:A,"&gt;="&amp;STATS!BG9,STATS!A:A,"&lt;="&amp;STATS!BH9,STATS!C:C,"BOF")</f>
        <v>7</v>
      </c>
      <c r="Y8" s="14">
        <f>COUNTIFS(STATS!A:A,"&gt;="&amp;STATS!BG9,STATS!A:A,"&lt;="&amp;STATS!BH9,STATS!C:C,"BOF",STATS!J:J,"H")</f>
        <v>2</v>
      </c>
      <c r="Z8" s="11">
        <f>COUNTIFS(STATS!A:A,"&gt;="&amp;STATS!BG9,STATS!A:A,"&lt;="&amp;STATS!BH9,STATS!C:C,"BOF",STATS!J:J,"L")</f>
        <v>5</v>
      </c>
      <c r="AA8" s="131">
        <f>SUMIFS(STATS!R:R,STATS!A:A,"&gt;="&amp;STATS!BG9,STATS!A:A,"&lt;="&amp;STATS!BH9,STATS!C:C,"BOF")</f>
        <v>0.7</v>
      </c>
    </row>
    <row r="9" spans="1:27" ht="15.75" thickBot="1" x14ac:dyDescent="0.3">
      <c r="A9" s="408" t="s">
        <v>115</v>
      </c>
      <c r="B9" s="408"/>
      <c r="C9" s="408"/>
      <c r="D9" s="409"/>
      <c r="E9" s="409"/>
      <c r="F9" s="409"/>
      <c r="G9" s="409"/>
      <c r="H9" s="409"/>
      <c r="I9" s="409"/>
      <c r="J9" s="409"/>
      <c r="K9" s="409"/>
      <c r="L9" s="409"/>
      <c r="M9" s="409"/>
      <c r="O9" s="390" t="s">
        <v>161</v>
      </c>
      <c r="P9" s="390"/>
      <c r="Q9" s="113">
        <f>COUNTIFS( STATS!C:C,"BOF",STATS!F:F,"D6")</f>
        <v>11</v>
      </c>
      <c r="R9" s="113">
        <f>SUMIFS(STATS!R:R, STATS!C:C,"BOF",STATS!F:F,"D6O",STATS!J:J,"H")</f>
        <v>0</v>
      </c>
      <c r="S9" s="113">
        <f>SUMIFS(STATS!R:R, STATS!C:C,"BOF",STATS!F:F,"D6",STATS!J:J,"L")</f>
        <v>18.05</v>
      </c>
      <c r="T9" s="113">
        <f>SUM(R9:S9)</f>
        <v>18.05</v>
      </c>
      <c r="W9" s="121" t="s">
        <v>166</v>
      </c>
      <c r="X9" s="54">
        <f>COUNTIFS(STATS!A:A,"&gt;="&amp;STATS!BG10,STATS!A:A,"&lt;="&amp;STATS!BH10,STATS!C:C,"BOF")</f>
        <v>21</v>
      </c>
      <c r="Y9" s="14">
        <f>COUNTIFS(STATS!A:A,"&gt;="&amp;STATS!BG10,STATS!A:A,"&lt;="&amp;STATS!BH10,STATS!C:C,"BOF",STATS!J:J,"H")</f>
        <v>1</v>
      </c>
      <c r="Z9" s="11">
        <f>COUNTIFS(STATS!A:A,"&gt;="&amp;STATS!BG10,STATS!A:A,"&lt;="&amp;STATS!BH10,STATS!C:C,"BOF",STATS!J:J,"L")</f>
        <v>20</v>
      </c>
      <c r="AA9" s="131">
        <f>SUMIFS(STATS!R:R,STATS!A:A,"&gt;="&amp;STATS!BG10,STATS!A:A,"&lt;="&amp;STATS!BH10,STATS!C:C,"BOF")</f>
        <v>99.149999999999977</v>
      </c>
    </row>
    <row r="10" spans="1:27" x14ac:dyDescent="0.25">
      <c r="A10" s="376"/>
      <c r="B10" s="376"/>
      <c r="C10" s="397"/>
      <c r="D10" s="405" t="s">
        <v>19</v>
      </c>
      <c r="E10" s="400"/>
      <c r="F10" s="406"/>
      <c r="G10" s="405" t="s">
        <v>20</v>
      </c>
      <c r="H10" s="400"/>
      <c r="I10" s="406"/>
      <c r="J10" s="405" t="s">
        <v>4</v>
      </c>
      <c r="K10" s="400"/>
      <c r="L10" s="400"/>
      <c r="M10" s="406"/>
      <c r="W10" s="121" t="s">
        <v>40</v>
      </c>
      <c r="X10" s="54">
        <f>COUNTIFS(STATS!A:A,"&gt;="&amp;STATS!BG11,STATS!A:A,"&lt;="&amp;STATS!BH11,STATS!C:C,"BOF")</f>
        <v>20</v>
      </c>
      <c r="Y10" s="14">
        <f>COUNTIFS(STATS!A:A,"&gt;="&amp;STATS!BG11,STATS!A:A,"&lt;="&amp;STATS!BH11,STATS!C:C,"BOF",STATS!J:J,"H")</f>
        <v>2</v>
      </c>
      <c r="Z10" s="11">
        <f>COUNTIFS(STATS!A:A,"&gt;="&amp;STATS!BG11,STATS!A:A,"&lt;="&amp;STATS!BH11,STATS!C:C,"BOF",STATS!J:J,"L")</f>
        <v>18</v>
      </c>
      <c r="AA10" s="131">
        <f>SUMIFS(STATS!R:R,STATS!A:A,"&gt;="&amp;STATS!BG11,STATS!A:A,"&lt;="&amp;STATS!BH11,STATS!C:C,"BOF")</f>
        <v>2822.6</v>
      </c>
    </row>
    <row r="11" spans="1:27" x14ac:dyDescent="0.25">
      <c r="A11" s="368" t="s">
        <v>114</v>
      </c>
      <c r="B11" s="368"/>
      <c r="C11" s="404"/>
      <c r="D11" s="92" t="s">
        <v>113</v>
      </c>
      <c r="E11" s="368" t="s">
        <v>2</v>
      </c>
      <c r="F11" s="410"/>
      <c r="G11" s="92" t="s">
        <v>113</v>
      </c>
      <c r="H11" s="368" t="s">
        <v>2</v>
      </c>
      <c r="I11" s="410"/>
      <c r="J11" s="92" t="s">
        <v>113</v>
      </c>
      <c r="K11" s="368" t="s">
        <v>2</v>
      </c>
      <c r="L11" s="368"/>
      <c r="M11" s="410"/>
      <c r="O11" s="376" t="s">
        <v>21</v>
      </c>
      <c r="P11" s="376"/>
      <c r="Q11" s="376"/>
      <c r="R11" s="376"/>
      <c r="S11" s="376"/>
      <c r="T11" s="376"/>
      <c r="W11" s="121" t="s">
        <v>41</v>
      </c>
      <c r="X11" s="54">
        <f>COUNTIFS(STATS!A:A,"&gt;="&amp;STATS!BG12,STATS!A:A,"&lt;="&amp;STATS!BH12,STATS!C:C,"BOF")</f>
        <v>4</v>
      </c>
      <c r="Y11" s="14">
        <f>COUNTIFS(STATS!A:A,"&gt;="&amp;STATS!BG12,STATS!A:A,"&lt;="&amp;STATS!BH12,STATS!C:C,"BOF",STATS!J:J,"H")</f>
        <v>0</v>
      </c>
      <c r="Z11" s="11">
        <f>COUNTIFS(STATS!A:A,"&gt;="&amp;STATS!BG12,STATS!A:A,"&lt;="&amp;STATS!BH12,STATS!C:C,"BOF",STATS!J:J,"L")</f>
        <v>4</v>
      </c>
      <c r="AA11" s="131">
        <f>SUMIFS(STATS!R:R,STATS!A:A,"&gt;="&amp;STATS!BG12,STATS!A:A,"&lt;="&amp;STATS!BH12,STATS!C:C,"BOF")</f>
        <v>2.3000000000000003</v>
      </c>
    </row>
    <row r="12" spans="1:27" x14ac:dyDescent="0.25">
      <c r="A12" s="376" t="s">
        <v>31</v>
      </c>
      <c r="B12" s="376"/>
      <c r="C12" s="397"/>
      <c r="D12" s="111">
        <f>COUNTIFS(STATS!C:C,"BOF", STATS!C:C,"BOF",STATS!J:J,"H")</f>
        <v>6</v>
      </c>
      <c r="E12" s="372">
        <f>SUMIFS(STATS!T:T, STATS!C:C,"BOF",STATS!J:J,"H")</f>
        <v>0.2</v>
      </c>
      <c r="F12" s="374"/>
      <c r="G12" s="111">
        <f>COUNTIFS(STATS!C:C,"BOF", STATS!C:C,"BOF",STATS!J:J,"L")</f>
        <v>47</v>
      </c>
      <c r="H12" s="372">
        <f>SUMIFS(STATS!T:T, STATS!C:C,"BOF",STATS!J:J,"L")</f>
        <v>1912.4499999999996</v>
      </c>
      <c r="I12" s="374"/>
      <c r="J12" s="111">
        <f>SUM(D12,G12)</f>
        <v>53</v>
      </c>
      <c r="K12" s="355">
        <f>SUM(E12,H12)</f>
        <v>1912.6499999999996</v>
      </c>
      <c r="L12" s="355"/>
      <c r="M12" s="416"/>
      <c r="O12" s="368" t="s">
        <v>12</v>
      </c>
      <c r="P12" s="368"/>
      <c r="Q12" s="368" t="s">
        <v>46</v>
      </c>
      <c r="R12" s="368"/>
      <c r="S12" s="379" t="s">
        <v>130</v>
      </c>
      <c r="T12" s="379"/>
      <c r="W12" s="121" t="s">
        <v>42</v>
      </c>
      <c r="X12" s="54">
        <f>COUNTIFS(STATS!A:A,"&gt;="&amp;STATS!BG13,STATS!A:A,"&lt;="&amp;STATS!BH13,STATS!C:C,"BOF")</f>
        <v>1</v>
      </c>
      <c r="Y12" s="14">
        <f>COUNTIFS(STATS!A:A,"&gt;="&amp;STATS!BG13,STATS!A:A,"&lt;="&amp;STATS!BH13,STATS!C:C,"BOF",STATS!J:J,"H")</f>
        <v>1</v>
      </c>
      <c r="Z12" s="11">
        <f>COUNTIFS(STATS!A:A,"&gt;="&amp;STATS!BG13,STATS!A:A,"&lt;="&amp;STATS!BH13,STATS!C:C,"BOF",STATS!J:J,"L")</f>
        <v>0</v>
      </c>
      <c r="AA12" s="131">
        <f>SUMIFS(STATS!R:R,STATS!A:A,"&gt;="&amp;STATS!BG13,STATS!A:A,"&lt;="&amp;STATS!BH13,STATS!C:C,"BOF")</f>
        <v>0.1</v>
      </c>
    </row>
    <row r="13" spans="1:27" x14ac:dyDescent="0.25">
      <c r="A13" s="395" t="s">
        <v>30</v>
      </c>
      <c r="B13" s="395"/>
      <c r="C13" s="396"/>
      <c r="D13" s="93"/>
      <c r="E13" s="393">
        <f>SUMIFS(STATS!S:S, STATS!C:C,"BOF",STATS!J:J,"H")</f>
        <v>0</v>
      </c>
      <c r="F13" s="394"/>
      <c r="G13" s="93"/>
      <c r="H13" s="393">
        <f>SUMIFS(STATS!S:S, STATS!C:C,"BOF",STATS!J:J,"L")</f>
        <v>0</v>
      </c>
      <c r="I13" s="394"/>
      <c r="J13" s="93">
        <f t="shared" ref="J13:K28" si="0">SUM(D13,G13)</f>
        <v>0</v>
      </c>
      <c r="K13" s="375">
        <f t="shared" si="0"/>
        <v>0</v>
      </c>
      <c r="L13" s="375"/>
      <c r="M13" s="357"/>
      <c r="O13" s="355" t="s">
        <v>133</v>
      </c>
      <c r="P13" s="355"/>
      <c r="Q13" s="355">
        <f>COUNTIFS(STATS!C:C,"BOF",STATS!AN:AN,"AGENCY")</f>
        <v>19</v>
      </c>
      <c r="R13" s="355"/>
      <c r="S13" s="380">
        <f>Q13/SUM(Q13:R17)</f>
        <v>0.35849056603773582</v>
      </c>
      <c r="T13" s="380"/>
      <c r="W13" s="121" t="s">
        <v>43</v>
      </c>
      <c r="X13" s="54">
        <f>COUNTIFS(STATS!A:A,"&gt;="&amp;STATS!BG14,STATS!A:A,"&lt;="&amp;STATS!BH14,STATS!C:C,"BOF")</f>
        <v>0</v>
      </c>
      <c r="Y13" s="14">
        <f>COUNTIFS(STATS!A:A,"&gt;="&amp;STATS!BG14,STATS!A:A,"&lt;="&amp;STATS!BH14,STATS!C:C,"BOF",STATS!J:J,"H")</f>
        <v>0</v>
      </c>
      <c r="Z13" s="11">
        <f>COUNTIFS(STATS!A:A,"&gt;="&amp;STATS!BG14,STATS!A:A,"&lt;="&amp;STATS!BH14,STATS!C:C,"BOF",STATS!J:J,"L")</f>
        <v>0</v>
      </c>
      <c r="AA13" s="131">
        <f>SUMIFS(STATS!R:R,STATS!A:A,"&gt;="&amp;STATS!BG14,STATS!A:A,"&lt;="&amp;STATS!BH14,STATS!C:C,"BOF")</f>
        <v>0</v>
      </c>
    </row>
    <row r="14" spans="1:27" x14ac:dyDescent="0.25">
      <c r="A14" s="376" t="s">
        <v>32</v>
      </c>
      <c r="B14" s="376"/>
      <c r="C14" s="397"/>
      <c r="D14" s="111"/>
      <c r="E14" s="372">
        <f>SUMIFS(STATS!U:U, STATS!C:C,"BOF",STATS!J:J,"H")</f>
        <v>0</v>
      </c>
      <c r="F14" s="374"/>
      <c r="G14" s="111"/>
      <c r="H14" s="372">
        <f>SUMIFS(STATS!U:U, STATS!C:C,"BOF",STATS!J:J,"L")</f>
        <v>0</v>
      </c>
      <c r="I14" s="374"/>
      <c r="J14" s="111">
        <f t="shared" si="0"/>
        <v>0</v>
      </c>
      <c r="K14" s="355">
        <f t="shared" si="0"/>
        <v>0</v>
      </c>
      <c r="L14" s="355"/>
      <c r="M14" s="416"/>
      <c r="O14" s="361" t="s">
        <v>132</v>
      </c>
      <c r="P14" s="361"/>
      <c r="Q14" s="361">
        <f>COUNTIFS(STATS!C:C,"BOF",STATS!AN:AN,"AIRCRAFT")</f>
        <v>8</v>
      </c>
      <c r="R14" s="361"/>
      <c r="S14" s="380">
        <f>Q14/SUM(Q13:R17)</f>
        <v>0.15094339622641509</v>
      </c>
      <c r="T14" s="380"/>
      <c r="W14" s="121" t="s">
        <v>44</v>
      </c>
      <c r="X14" s="54">
        <f>COUNTIFS(STATS!A:A,"&gt;="&amp;STATS!BG15,STATS!A:A,"&lt;="&amp;STATS!BH15,STATS!C:C,"BOF")</f>
        <v>0</v>
      </c>
      <c r="Y14" s="14">
        <f>COUNTIFS(STATS!A:A,"&gt;="&amp;STATS!BG15,STATS!A:A,"&lt;="&amp;STATS!BH15,STATS!C:C,"BOF",STATS!J:J,"H")</f>
        <v>0</v>
      </c>
      <c r="Z14" s="11">
        <f>COUNTIFS(STATS!A:A,"&gt;="&amp;STATS!BG15,STATS!A:A,"&lt;="&amp;STATS!BH15,STATS!C:C,"BOF",STATS!J:J,"L")</f>
        <v>0</v>
      </c>
      <c r="AA14" s="131">
        <f>SUMIFS(STATS!R:R,STATS!A:A,"&gt;="&amp;STATS!BG15,STATS!A:A,"&lt;="&amp;STATS!BH15,STATS!C:C,"BOF")</f>
        <v>0</v>
      </c>
    </row>
    <row r="15" spans="1:27" ht="15.75" thickBot="1" x14ac:dyDescent="0.3">
      <c r="A15" s="395" t="s">
        <v>112</v>
      </c>
      <c r="B15" s="395"/>
      <c r="C15" s="396"/>
      <c r="D15" s="93"/>
      <c r="E15" s="393">
        <f>SUMIFS(STATS!V:V, STATS!C:C,"BOF",STATS!J:J,"H")</f>
        <v>0</v>
      </c>
      <c r="F15" s="394"/>
      <c r="G15" s="93"/>
      <c r="H15" s="393">
        <f>SUMIFS(STATS!V:V, STATS!C:C,"BOF",STATS!J:J,"L")</f>
        <v>0</v>
      </c>
      <c r="I15" s="394"/>
      <c r="J15" s="93">
        <f t="shared" si="0"/>
        <v>0</v>
      </c>
      <c r="K15" s="375">
        <f t="shared" si="0"/>
        <v>0</v>
      </c>
      <c r="L15" s="375"/>
      <c r="M15" s="357"/>
      <c r="O15" s="355" t="s">
        <v>134</v>
      </c>
      <c r="P15" s="355"/>
      <c r="Q15" s="355">
        <f>COUNTIFS(STATS!C:C,"BOF",STATS!AN:AN,"COUNTY")</f>
        <v>8</v>
      </c>
      <c r="R15" s="355"/>
      <c r="S15" s="380">
        <f>Q15/SUM(Q13:R17)</f>
        <v>0.15094339622641509</v>
      </c>
      <c r="T15" s="380"/>
      <c r="W15" s="122" t="s">
        <v>4</v>
      </c>
      <c r="X15" s="123">
        <f>SUM(X3:X14)</f>
        <v>53</v>
      </c>
      <c r="Y15" s="124">
        <f>SUM(Y3:Y14)</f>
        <v>6</v>
      </c>
      <c r="Z15" s="129">
        <f>SUM(Z3:Z14)</f>
        <v>47</v>
      </c>
      <c r="AA15" s="125">
        <f t="shared" ref="AA15" si="1">SUM(AA3:AA14)</f>
        <v>2924.85</v>
      </c>
    </row>
    <row r="16" spans="1:27" x14ac:dyDescent="0.25">
      <c r="A16" s="376" t="s">
        <v>111</v>
      </c>
      <c r="B16" s="376"/>
      <c r="C16" s="397"/>
      <c r="D16" s="111"/>
      <c r="E16" s="372">
        <f>SUMIFS(STATS!W:W, STATS!C:C,"BOF",STATS!J:J,"H")</f>
        <v>0</v>
      </c>
      <c r="F16" s="374"/>
      <c r="G16" s="111"/>
      <c r="H16" s="372">
        <f>SUMIFS(STATS!W:W, STATS!C:C,"BOF",STATS!J:J,"L")</f>
        <v>0</v>
      </c>
      <c r="I16" s="374"/>
      <c r="J16" s="111">
        <f t="shared" si="0"/>
        <v>0</v>
      </c>
      <c r="K16" s="355">
        <f t="shared" si="0"/>
        <v>0</v>
      </c>
      <c r="L16" s="355"/>
      <c r="M16" s="416"/>
      <c r="O16" s="361" t="s">
        <v>131</v>
      </c>
      <c r="P16" s="361"/>
      <c r="Q16" s="361">
        <f>COUNTIFS(STATS!C:C,"BOF",STATS!AN:AN,"LOOKOUT")</f>
        <v>10</v>
      </c>
      <c r="R16" s="361"/>
      <c r="S16" s="380">
        <f>Q16/SUM(Q13:R17)</f>
        <v>0.18867924528301888</v>
      </c>
      <c r="T16" s="380"/>
    </row>
    <row r="17" spans="1:20" x14ac:dyDescent="0.25">
      <c r="A17" s="395" t="s">
        <v>110</v>
      </c>
      <c r="B17" s="395"/>
      <c r="C17" s="396"/>
      <c r="D17" s="93"/>
      <c r="E17" s="393">
        <f>SUMIFS(STATS!X:X, STATS!C:C,"BOF",STATS!J:J,"H")</f>
        <v>0</v>
      </c>
      <c r="F17" s="394"/>
      <c r="G17" s="93"/>
      <c r="H17" s="393">
        <f>SUMIFS(STATS!X:X, STATS!C:C,"BOF",STATS!J:J,"L")</f>
        <v>0</v>
      </c>
      <c r="I17" s="394"/>
      <c r="J17" s="93">
        <f t="shared" si="0"/>
        <v>0</v>
      </c>
      <c r="K17" s="375">
        <f t="shared" si="0"/>
        <v>0</v>
      </c>
      <c r="L17" s="375"/>
      <c r="M17" s="357"/>
      <c r="O17" s="355" t="s">
        <v>135</v>
      </c>
      <c r="P17" s="355"/>
      <c r="Q17" s="355">
        <f>COUNTIFS(STATS!C:C,"BOF",STATS!AN:AN,"PRIVATE")</f>
        <v>8</v>
      </c>
      <c r="R17" s="355"/>
      <c r="S17" s="380">
        <f>Q17/SUM(Q13:R17)</f>
        <v>0.15094339622641509</v>
      </c>
      <c r="T17" s="380"/>
    </row>
    <row r="18" spans="1:20" x14ac:dyDescent="0.25">
      <c r="A18" s="376" t="s">
        <v>109</v>
      </c>
      <c r="B18" s="376"/>
      <c r="C18" s="397"/>
      <c r="D18" s="111"/>
      <c r="E18" s="372">
        <f>SUMIFS(STATS!Y:Y, STATS!C:C,"BOF",STATS!J:J,"H")</f>
        <v>0</v>
      </c>
      <c r="F18" s="374"/>
      <c r="G18" s="111"/>
      <c r="H18" s="372">
        <f>SUMIFS(STATS!Y:Y, STATS!C:C,"BOF",STATS!J:J,"L")</f>
        <v>0</v>
      </c>
      <c r="I18" s="374"/>
      <c r="J18" s="111">
        <f t="shared" si="0"/>
        <v>0</v>
      </c>
      <c r="K18" s="355">
        <f t="shared" si="0"/>
        <v>0</v>
      </c>
      <c r="L18" s="355"/>
      <c r="M18" s="416"/>
    </row>
    <row r="19" spans="1:20" x14ac:dyDescent="0.25">
      <c r="A19" s="395" t="s">
        <v>108</v>
      </c>
      <c r="B19" s="395"/>
      <c r="C19" s="396"/>
      <c r="D19" s="93"/>
      <c r="E19" s="393">
        <f>SUMIFS(STATS!Z:Z, STATS!C:C,"BOF",STATS!J:J,"H")</f>
        <v>0</v>
      </c>
      <c r="F19" s="394"/>
      <c r="G19" s="93"/>
      <c r="H19" s="393">
        <f>SUMIFS(STATS!Z:Z, STATS!C:C,"BOF",STATS!J:J,"L")</f>
        <v>0</v>
      </c>
      <c r="I19" s="394"/>
      <c r="J19" s="93">
        <f t="shared" si="0"/>
        <v>0</v>
      </c>
      <c r="K19" s="375">
        <f t="shared" si="0"/>
        <v>0</v>
      </c>
      <c r="L19" s="375"/>
      <c r="M19" s="357"/>
      <c r="O19" s="376" t="s">
        <v>136</v>
      </c>
      <c r="P19" s="376"/>
      <c r="Q19" s="376"/>
      <c r="R19" s="376"/>
      <c r="S19" s="376"/>
      <c r="T19" s="376"/>
    </row>
    <row r="20" spans="1:20" ht="15" customHeight="1" x14ac:dyDescent="0.25">
      <c r="A20" s="376" t="s">
        <v>107</v>
      </c>
      <c r="B20" s="376"/>
      <c r="C20" s="397"/>
      <c r="D20" s="111"/>
      <c r="E20" s="372">
        <f>SUMIFS(STATS!AA:AA, STATS!C:C,"BOFD",STATS!J:J,"H")</f>
        <v>0</v>
      </c>
      <c r="F20" s="374"/>
      <c r="G20" s="111"/>
      <c r="H20" s="372">
        <f>SUMIFS(STATS!AA:AA, STATS!C:C,"BOF",STATS!J:J,"L")</f>
        <v>0</v>
      </c>
      <c r="I20" s="374"/>
      <c r="J20" s="111">
        <f t="shared" si="0"/>
        <v>0</v>
      </c>
      <c r="K20" s="355">
        <f t="shared" si="0"/>
        <v>0</v>
      </c>
      <c r="L20" s="355"/>
      <c r="M20" s="416"/>
      <c r="O20" s="377" t="s">
        <v>142</v>
      </c>
      <c r="P20" s="377"/>
      <c r="Q20" s="377"/>
      <c r="R20" s="377"/>
      <c r="S20" s="368" t="s">
        <v>155</v>
      </c>
      <c r="T20" s="368"/>
    </row>
    <row r="21" spans="1:20" x14ac:dyDescent="0.25">
      <c r="A21" s="395" t="s">
        <v>106</v>
      </c>
      <c r="B21" s="395"/>
      <c r="C21" s="396"/>
      <c r="D21" s="93"/>
      <c r="E21" s="393">
        <f>SUMIFS(STATS!AB:AB, STATS!C:C,"BOF",STATS!J:J,"H")</f>
        <v>0</v>
      </c>
      <c r="F21" s="394"/>
      <c r="G21" s="93"/>
      <c r="H21" s="393">
        <f>SUMIFS(STATS!AB:AB, STATS!C:C,"BOF",STATS!J:J,"L")</f>
        <v>0</v>
      </c>
      <c r="I21" s="394"/>
      <c r="J21" s="93">
        <f t="shared" si="0"/>
        <v>0</v>
      </c>
      <c r="K21" s="375">
        <f t="shared" si="0"/>
        <v>0</v>
      </c>
      <c r="L21" s="375"/>
      <c r="M21" s="357"/>
      <c r="O21" s="377"/>
      <c r="P21" s="377"/>
      <c r="Q21" s="377"/>
      <c r="R21" s="377"/>
      <c r="S21" s="368"/>
      <c r="T21" s="368"/>
    </row>
    <row r="22" spans="1:20" x14ac:dyDescent="0.25">
      <c r="A22" s="376" t="s">
        <v>105</v>
      </c>
      <c r="B22" s="376"/>
      <c r="C22" s="397"/>
      <c r="D22" s="111"/>
      <c r="E22" s="372">
        <f>SUMIFS(STATS!AC:AC, STATS!C:C,"BOF",STATS!J:J,"H")</f>
        <v>0</v>
      </c>
      <c r="F22" s="374"/>
      <c r="G22" s="111"/>
      <c r="H22" s="372">
        <f>SUMIFS(STATS!AC:AC, STATS!C:C,"BOF",STATS!J:J,"L")</f>
        <v>0</v>
      </c>
      <c r="I22" s="374"/>
      <c r="J22" s="111">
        <f t="shared" si="0"/>
        <v>0</v>
      </c>
      <c r="K22" s="355">
        <f t="shared" si="0"/>
        <v>0</v>
      </c>
      <c r="L22" s="355"/>
      <c r="M22" s="416"/>
      <c r="O22" s="355" t="s">
        <v>181</v>
      </c>
      <c r="P22" s="355"/>
      <c r="Q22" s="355"/>
      <c r="R22" s="355"/>
      <c r="S22" s="355">
        <f>STATS!AX4</f>
        <v>2</v>
      </c>
      <c r="T22" s="355"/>
    </row>
    <row r="23" spans="1:20" x14ac:dyDescent="0.25">
      <c r="A23" s="395" t="s">
        <v>104</v>
      </c>
      <c r="B23" s="395"/>
      <c r="C23" s="396"/>
      <c r="D23" s="93"/>
      <c r="E23" s="393">
        <f>SUMIFS(STATS!AD:AD, STATS!C:C,"BOF",STATS!J:J,"H")</f>
        <v>0</v>
      </c>
      <c r="F23" s="394"/>
      <c r="G23" s="93"/>
      <c r="H23" s="393">
        <f>SUMIFS(STATS!AD:AD, STATS!C:C,"BOF",STATS!J:J,"L")</f>
        <v>2.8</v>
      </c>
      <c r="I23" s="394"/>
      <c r="J23" s="93">
        <f t="shared" si="0"/>
        <v>0</v>
      </c>
      <c r="K23" s="375">
        <f t="shared" si="0"/>
        <v>2.8</v>
      </c>
      <c r="L23" s="375"/>
      <c r="M23" s="357"/>
      <c r="O23" s="361" t="s">
        <v>143</v>
      </c>
      <c r="P23" s="361"/>
      <c r="Q23" s="361"/>
      <c r="R23" s="361"/>
      <c r="S23" s="414">
        <f>COUNTIFS(STATS!C:C,"BOF",STATS!AS:AS,"Y")</f>
        <v>5</v>
      </c>
      <c r="T23" s="414"/>
    </row>
    <row r="24" spans="1:20" x14ac:dyDescent="0.25">
      <c r="A24" s="376" t="s">
        <v>103</v>
      </c>
      <c r="B24" s="376"/>
      <c r="C24" s="397"/>
      <c r="D24" s="111"/>
      <c r="E24" s="372">
        <f>SUMIFS(STATS!AE:AE, STATS!C:C,"BOF",STATS!J:J,"H")</f>
        <v>0</v>
      </c>
      <c r="F24" s="374"/>
      <c r="G24" s="111"/>
      <c r="H24" s="372">
        <f>SUMIFS(STATS!AE:AE, STATS!C:C,"BOF",STATS!J:J,"L")</f>
        <v>0</v>
      </c>
      <c r="I24" s="374"/>
      <c r="J24" s="111">
        <f t="shared" si="0"/>
        <v>0</v>
      </c>
      <c r="K24" s="355">
        <f t="shared" si="0"/>
        <v>0</v>
      </c>
      <c r="L24" s="355"/>
      <c r="M24" s="416"/>
      <c r="O24" s="355" t="s">
        <v>13</v>
      </c>
      <c r="P24" s="355"/>
      <c r="Q24" s="355"/>
      <c r="R24" s="355"/>
      <c r="S24" s="355">
        <f>COUNTIFS(STATS!C:C,"BOF",STATS!AO:AO,"Y")</f>
        <v>9</v>
      </c>
      <c r="T24" s="355"/>
    </row>
    <row r="25" spans="1:20" x14ac:dyDescent="0.25">
      <c r="A25" s="395" t="s">
        <v>102</v>
      </c>
      <c r="B25" s="395"/>
      <c r="C25" s="396"/>
      <c r="D25" s="93"/>
      <c r="E25" s="393">
        <f>SUMIFS(STATS!AF:AF, STATS!C:C,"BOF",STATS!J:J,"H")</f>
        <v>0</v>
      </c>
      <c r="F25" s="394"/>
      <c r="G25" s="93"/>
      <c r="H25" s="393">
        <f>SUMIFS(STATS!AF:AF, STATS!C:C,"BOF",STATS!J:J,"L")</f>
        <v>0</v>
      </c>
      <c r="I25" s="394"/>
      <c r="J25" s="93">
        <f t="shared" si="0"/>
        <v>0</v>
      </c>
      <c r="K25" s="375">
        <f t="shared" si="0"/>
        <v>0</v>
      </c>
      <c r="L25" s="375"/>
      <c r="M25" s="357"/>
      <c r="Q25" s="104"/>
      <c r="R25" s="104"/>
      <c r="S25" s="105"/>
      <c r="T25" s="105"/>
    </row>
    <row r="26" spans="1:20" x14ac:dyDescent="0.25">
      <c r="A26" s="376" t="s">
        <v>101</v>
      </c>
      <c r="B26" s="376"/>
      <c r="C26" s="397"/>
      <c r="D26" s="111"/>
      <c r="E26" s="372">
        <f>SUMIFS(STATS!AG:AG, STATS!C:C,"BOF",STATS!J:J,"H")</f>
        <v>0</v>
      </c>
      <c r="F26" s="374"/>
      <c r="G26" s="111"/>
      <c r="H26" s="372">
        <f>SUMIFS(STATS!AG:AG, STATS!C:C,"BOF",STATS!J:J,"L")</f>
        <v>0</v>
      </c>
      <c r="I26" s="374"/>
      <c r="J26" s="111">
        <f t="shared" si="0"/>
        <v>0</v>
      </c>
      <c r="K26" s="355">
        <f t="shared" si="0"/>
        <v>0</v>
      </c>
      <c r="L26" s="355"/>
      <c r="M26" s="416"/>
    </row>
    <row r="27" spans="1:20" x14ac:dyDescent="0.25">
      <c r="A27" s="395" t="s">
        <v>100</v>
      </c>
      <c r="B27" s="395"/>
      <c r="C27" s="396"/>
      <c r="D27" s="93"/>
      <c r="E27" s="393">
        <f>SUMIFS(STATS!AH:AH, STATS!C:C,"BOF",STATS!J:J,"H")</f>
        <v>0</v>
      </c>
      <c r="F27" s="394"/>
      <c r="G27" s="93"/>
      <c r="H27" s="393">
        <f>SUMIFS(STATS!AH:AH, STATS!C:C,"BOF",STATS!J:J,"L")</f>
        <v>0</v>
      </c>
      <c r="I27" s="394"/>
      <c r="J27" s="93">
        <f t="shared" si="0"/>
        <v>0</v>
      </c>
      <c r="K27" s="375">
        <f t="shared" si="0"/>
        <v>0</v>
      </c>
      <c r="L27" s="375"/>
      <c r="M27" s="357"/>
    </row>
    <row r="28" spans="1:20" x14ac:dyDescent="0.25">
      <c r="A28" s="376" t="s">
        <v>99</v>
      </c>
      <c r="B28" s="376"/>
      <c r="C28" s="397"/>
      <c r="D28" s="111"/>
      <c r="E28" s="372">
        <f>SUMIFS(STATS!AI:AI, STATS!C:C,"BOF",STATS!J:J,"H")</f>
        <v>2.3000000000000003</v>
      </c>
      <c r="F28" s="374"/>
      <c r="G28" s="111"/>
      <c r="H28" s="372">
        <f>SUMIFS(STATS!AI:AI, STATS!C:C,"BOF",STATS!J:J,"L")</f>
        <v>0.1</v>
      </c>
      <c r="I28" s="374"/>
      <c r="J28" s="111">
        <f t="shared" si="0"/>
        <v>0</v>
      </c>
      <c r="K28" s="355">
        <f t="shared" si="0"/>
        <v>2.4000000000000004</v>
      </c>
      <c r="L28" s="355"/>
      <c r="M28" s="416"/>
    </row>
    <row r="29" spans="1:20" ht="15.75" thickBot="1" x14ac:dyDescent="0.3">
      <c r="A29" s="402" t="s">
        <v>98</v>
      </c>
      <c r="B29" s="403"/>
      <c r="C29" s="403"/>
      <c r="D29" s="94" t="s">
        <v>22</v>
      </c>
      <c r="E29" s="393">
        <f>SUMIFS(STATS!AJ:AJ, STATS!C:C,"BOF",STATS!J:J,"H")</f>
        <v>0</v>
      </c>
      <c r="F29" s="394"/>
      <c r="G29" s="96" t="s">
        <v>22</v>
      </c>
      <c r="H29" s="393">
        <f>SUMIFS(STATS!AJ:AJ, STATS!C:C,"BOF",STATS!J:J,"L")</f>
        <v>1007</v>
      </c>
      <c r="I29" s="394"/>
      <c r="J29" s="96" t="s">
        <v>22</v>
      </c>
      <c r="K29" s="375">
        <f t="shared" ref="K29" si="2">SUM(E29,H29)</f>
        <v>1007</v>
      </c>
      <c r="L29" s="375"/>
      <c r="M29" s="357"/>
    </row>
    <row r="30" spans="1:20" ht="15.75" thickBot="1" x14ac:dyDescent="0.3">
      <c r="A30" s="400" t="s">
        <v>97</v>
      </c>
      <c r="B30" s="400"/>
      <c r="C30" s="401"/>
      <c r="D30" s="95">
        <f>SUM(D12:D28)</f>
        <v>6</v>
      </c>
      <c r="E30" s="391">
        <f>SUM(E12:F29)</f>
        <v>2.5000000000000004</v>
      </c>
      <c r="F30" s="392"/>
      <c r="G30" s="97">
        <f>SUM(G12:G28)</f>
        <v>47</v>
      </c>
      <c r="H30" s="391">
        <f>SUM(H12:I29)</f>
        <v>2922.3499999999995</v>
      </c>
      <c r="I30" s="392"/>
      <c r="J30" s="97">
        <f>SUM(J12:J28)</f>
        <v>53</v>
      </c>
      <c r="K30" s="391">
        <f>SUM(K12:M29)</f>
        <v>2924.8499999999995</v>
      </c>
      <c r="L30" s="391"/>
      <c r="M30" s="392"/>
      <c r="O30" s="362" t="s">
        <v>144</v>
      </c>
      <c r="P30" s="363"/>
      <c r="Q30" s="363"/>
      <c r="R30" s="363"/>
      <c r="S30" s="363"/>
      <c r="T30" s="364"/>
    </row>
    <row r="31" spans="1:20" ht="8.25" customHeight="1" x14ac:dyDescent="0.25">
      <c r="O31" s="365"/>
      <c r="P31" s="366"/>
      <c r="Q31" s="366"/>
      <c r="R31" s="366"/>
      <c r="S31" s="366"/>
      <c r="T31" s="367"/>
    </row>
    <row r="32" spans="1:20" x14ac:dyDescent="0.25">
      <c r="E32" s="390" t="s">
        <v>123</v>
      </c>
      <c r="F32" s="390"/>
      <c r="G32" s="390"/>
      <c r="H32" s="390"/>
      <c r="I32" s="390"/>
      <c r="J32" s="113">
        <f>COUNTIFS(STATS!C:C,"OTHER",STATS!D:D,"BOF")</f>
        <v>0</v>
      </c>
      <c r="K32" s="355">
        <f>STATS!T4-K12</f>
        <v>29.0499999999995</v>
      </c>
      <c r="L32" s="355"/>
      <c r="M32" s="355"/>
      <c r="O32" s="368" t="s">
        <v>145</v>
      </c>
      <c r="P32" s="368"/>
      <c r="Q32" s="99" t="s">
        <v>113</v>
      </c>
      <c r="R32" s="368" t="s">
        <v>145</v>
      </c>
      <c r="S32" s="368"/>
      <c r="T32" s="99" t="s">
        <v>113</v>
      </c>
    </row>
    <row r="33" spans="5:20" x14ac:dyDescent="0.25">
      <c r="E33" s="361" t="s">
        <v>95</v>
      </c>
      <c r="F33" s="361"/>
      <c r="G33" s="361"/>
      <c r="H33" s="361"/>
      <c r="I33" s="361"/>
      <c r="J33" s="98">
        <f>STATS!AL4</f>
        <v>34</v>
      </c>
      <c r="K33" s="389" t="s">
        <v>154</v>
      </c>
      <c r="L33" s="361"/>
      <c r="M33" s="361"/>
      <c r="O33" s="355" t="s">
        <v>146</v>
      </c>
      <c r="P33" s="355"/>
      <c r="Q33" s="113">
        <f>COUNTIFS(STATS!C:C,"BOF",STATS!AW:AW,"A")</f>
        <v>37</v>
      </c>
      <c r="R33" s="355" t="s">
        <v>150</v>
      </c>
      <c r="S33" s="355"/>
      <c r="T33" s="113">
        <f>COUNTIFS(STATS!C:C,"BOF",STATS!AW:AW,"E")</f>
        <v>0</v>
      </c>
    </row>
    <row r="34" spans="5:20" x14ac:dyDescent="0.25">
      <c r="E34" s="355" t="s">
        <v>94</v>
      </c>
      <c r="F34" s="355"/>
      <c r="G34" s="355"/>
      <c r="H34" s="355"/>
      <c r="I34" s="355"/>
      <c r="J34" s="113">
        <f>RURALASSIST!AB4</f>
        <v>4</v>
      </c>
      <c r="K34" s="355">
        <f>SUMIF(RURALASSIST!AB:AB,"X",RURALASSIST!M:M)</f>
        <v>465.1</v>
      </c>
      <c r="L34" s="355"/>
      <c r="M34" s="355"/>
      <c r="O34" s="361" t="s">
        <v>147</v>
      </c>
      <c r="P34" s="361"/>
      <c r="Q34" s="98">
        <f>COUNTIFS(STATS!C:C,"BOF",STATS!AW:AW,"B")</f>
        <v>13</v>
      </c>
      <c r="R34" s="361" t="s">
        <v>151</v>
      </c>
      <c r="S34" s="361"/>
      <c r="T34" s="98">
        <f>COUNTIFS(STATS!C:C,"BOF",STATS!AW:AW,"F")</f>
        <v>1</v>
      </c>
    </row>
    <row r="35" spans="5:20" x14ac:dyDescent="0.25">
      <c r="E35" s="361" t="s">
        <v>162</v>
      </c>
      <c r="F35" s="361"/>
      <c r="G35" s="361"/>
      <c r="H35" s="361"/>
      <c r="I35" s="361"/>
      <c r="J35" s="102">
        <f>COUNTIFS(FALSEALARMS!C:C,"BOF")</f>
        <v>12</v>
      </c>
      <c r="K35" s="413" t="s">
        <v>154</v>
      </c>
      <c r="L35" s="375"/>
      <c r="M35" s="375"/>
      <c r="O35" s="355" t="s">
        <v>148</v>
      </c>
      <c r="P35" s="355"/>
      <c r="Q35" s="113">
        <f>COUNTIFS(STATS!C:C,"BOF",STATS!AW:AW,"C")</f>
        <v>2</v>
      </c>
      <c r="R35" s="355" t="s">
        <v>152</v>
      </c>
      <c r="S35" s="355"/>
      <c r="T35" s="113">
        <f>COUNTIFS(STATS!C:C,"BOF",STATS!AW:AW,"G")</f>
        <v>0</v>
      </c>
    </row>
    <row r="36" spans="5:20" x14ac:dyDescent="0.25">
      <c r="E36" s="355" t="s">
        <v>205</v>
      </c>
      <c r="F36" s="355"/>
      <c r="G36" s="355"/>
      <c r="H36" s="355"/>
      <c r="I36" s="355"/>
      <c r="J36" s="113">
        <f>COUNTIFS(NONSTAT!C:C,"BOF")</f>
        <v>5</v>
      </c>
      <c r="K36" s="356" t="s">
        <v>154</v>
      </c>
      <c r="L36" s="355"/>
      <c r="M36" s="355"/>
      <c r="O36" s="361" t="s">
        <v>149</v>
      </c>
      <c r="P36" s="361"/>
      <c r="Q36" s="98">
        <f>COUNTIFS(STATS!C:C,"BOF",STATS!AW:AW,"D")</f>
        <v>0</v>
      </c>
      <c r="R36" s="361"/>
      <c r="S36" s="361"/>
      <c r="T36" s="98"/>
    </row>
  </sheetData>
  <mergeCells count="173">
    <mergeCell ref="O2:T2"/>
    <mergeCell ref="A3:B3"/>
    <mergeCell ref="C3:D3"/>
    <mergeCell ref="E3:F3"/>
    <mergeCell ref="H3:I3"/>
    <mergeCell ref="J3:K3"/>
    <mergeCell ref="L3:M3"/>
    <mergeCell ref="A4:B4"/>
    <mergeCell ref="C4:D4"/>
    <mergeCell ref="E4:F4"/>
    <mergeCell ref="H4:I4"/>
    <mergeCell ref="J4:K4"/>
    <mergeCell ref="L4:M4"/>
    <mergeCell ref="R3:R4"/>
    <mergeCell ref="S3:S4"/>
    <mergeCell ref="T3:T4"/>
    <mergeCell ref="A1:H1"/>
    <mergeCell ref="A2:F2"/>
    <mergeCell ref="H2:M2"/>
    <mergeCell ref="A6:B6"/>
    <mergeCell ref="C6:D6"/>
    <mergeCell ref="E6:F6"/>
    <mergeCell ref="H6:I6"/>
    <mergeCell ref="J6:K6"/>
    <mergeCell ref="L6:M6"/>
    <mergeCell ref="A5:B5"/>
    <mergeCell ref="C5:D5"/>
    <mergeCell ref="E5:F5"/>
    <mergeCell ref="H5:I5"/>
    <mergeCell ref="J5:K5"/>
    <mergeCell ref="L5:M5"/>
    <mergeCell ref="A11:C11"/>
    <mergeCell ref="E11:F11"/>
    <mergeCell ref="H11:I11"/>
    <mergeCell ref="K11:M11"/>
    <mergeCell ref="A12:C12"/>
    <mergeCell ref="E12:F12"/>
    <mergeCell ref="H12:I12"/>
    <mergeCell ref="K12:M12"/>
    <mergeCell ref="A8:M8"/>
    <mergeCell ref="A9:M9"/>
    <mergeCell ref="A10:C10"/>
    <mergeCell ref="D10:F10"/>
    <mergeCell ref="G10:I10"/>
    <mergeCell ref="J10:M10"/>
    <mergeCell ref="A15:C15"/>
    <mergeCell ref="E15:F15"/>
    <mergeCell ref="H15:I15"/>
    <mergeCell ref="K15:M15"/>
    <mergeCell ref="A16:C16"/>
    <mergeCell ref="E16:F16"/>
    <mergeCell ref="H16:I16"/>
    <mergeCell ref="K16:M16"/>
    <mergeCell ref="A13:C13"/>
    <mergeCell ref="E13:F13"/>
    <mergeCell ref="H13:I13"/>
    <mergeCell ref="K13:M13"/>
    <mergeCell ref="A14:C14"/>
    <mergeCell ref="E14:F14"/>
    <mergeCell ref="H14:I14"/>
    <mergeCell ref="K14:M14"/>
    <mergeCell ref="A19:C19"/>
    <mergeCell ref="E19:F19"/>
    <mergeCell ref="H19:I19"/>
    <mergeCell ref="K19:M19"/>
    <mergeCell ref="A20:C20"/>
    <mergeCell ref="E20:F20"/>
    <mergeCell ref="H20:I20"/>
    <mergeCell ref="K20:M20"/>
    <mergeCell ref="A17:C17"/>
    <mergeCell ref="E17:F17"/>
    <mergeCell ref="H17:I17"/>
    <mergeCell ref="K17:M17"/>
    <mergeCell ref="A18:C18"/>
    <mergeCell ref="E18:F18"/>
    <mergeCell ref="H18:I18"/>
    <mergeCell ref="K18:M18"/>
    <mergeCell ref="A23:C23"/>
    <mergeCell ref="E23:F23"/>
    <mergeCell ref="H23:I23"/>
    <mergeCell ref="K23:M23"/>
    <mergeCell ref="A24:C24"/>
    <mergeCell ref="E24:F24"/>
    <mergeCell ref="H24:I24"/>
    <mergeCell ref="K24:M24"/>
    <mergeCell ref="A21:C21"/>
    <mergeCell ref="E21:F21"/>
    <mergeCell ref="H21:I21"/>
    <mergeCell ref="K21:M21"/>
    <mergeCell ref="A22:C22"/>
    <mergeCell ref="E22:F22"/>
    <mergeCell ref="H22:I22"/>
    <mergeCell ref="K22:M22"/>
    <mergeCell ref="A27:C27"/>
    <mergeCell ref="E27:F27"/>
    <mergeCell ref="H27:I27"/>
    <mergeCell ref="K27:M27"/>
    <mergeCell ref="A28:C28"/>
    <mergeCell ref="E28:F28"/>
    <mergeCell ref="H28:I28"/>
    <mergeCell ref="K28:M28"/>
    <mergeCell ref="A25:C25"/>
    <mergeCell ref="E25:F25"/>
    <mergeCell ref="H25:I25"/>
    <mergeCell ref="K25:M25"/>
    <mergeCell ref="A26:C26"/>
    <mergeCell ref="E26:F26"/>
    <mergeCell ref="H26:I26"/>
    <mergeCell ref="K26:M26"/>
    <mergeCell ref="E32:I32"/>
    <mergeCell ref="K32:M32"/>
    <mergeCell ref="E33:I33"/>
    <mergeCell ref="K33:M33"/>
    <mergeCell ref="E34:I34"/>
    <mergeCell ref="K34:M34"/>
    <mergeCell ref="A29:C29"/>
    <mergeCell ref="E29:F29"/>
    <mergeCell ref="H29:I29"/>
    <mergeCell ref="K29:M29"/>
    <mergeCell ref="A30:C30"/>
    <mergeCell ref="E30:F30"/>
    <mergeCell ref="H30:I30"/>
    <mergeCell ref="K30:M30"/>
    <mergeCell ref="O5:P5"/>
    <mergeCell ref="O6:P6"/>
    <mergeCell ref="O7:P7"/>
    <mergeCell ref="O8:P8"/>
    <mergeCell ref="O9:P9"/>
    <mergeCell ref="O11:T11"/>
    <mergeCell ref="O12:P12"/>
    <mergeCell ref="Q12:R12"/>
    <mergeCell ref="S12:T12"/>
    <mergeCell ref="Q16:R16"/>
    <mergeCell ref="S16:T16"/>
    <mergeCell ref="O17:P17"/>
    <mergeCell ref="Q17:R17"/>
    <mergeCell ref="S17:T17"/>
    <mergeCell ref="O19:T19"/>
    <mergeCell ref="O20:R21"/>
    <mergeCell ref="S20:T21"/>
    <mergeCell ref="O13:P13"/>
    <mergeCell ref="Q13:R13"/>
    <mergeCell ref="S13:T13"/>
    <mergeCell ref="O14:P14"/>
    <mergeCell ref="Q14:R14"/>
    <mergeCell ref="S14:T14"/>
    <mergeCell ref="O15:P15"/>
    <mergeCell ref="Q15:R15"/>
    <mergeCell ref="S15:T15"/>
    <mergeCell ref="E36:I36"/>
    <mergeCell ref="K36:M36"/>
    <mergeCell ref="O34:P34"/>
    <mergeCell ref="R34:S34"/>
    <mergeCell ref="O35:P35"/>
    <mergeCell ref="R35:S35"/>
    <mergeCell ref="O36:P36"/>
    <mergeCell ref="R36:S36"/>
    <mergeCell ref="O3:P4"/>
    <mergeCell ref="Q3:Q4"/>
    <mergeCell ref="E35:I35"/>
    <mergeCell ref="K35:M35"/>
    <mergeCell ref="O32:P32"/>
    <mergeCell ref="R32:S32"/>
    <mergeCell ref="O33:P33"/>
    <mergeCell ref="R33:S33"/>
    <mergeCell ref="O30:T31"/>
    <mergeCell ref="O24:R24"/>
    <mergeCell ref="S24:T24"/>
    <mergeCell ref="O22:R22"/>
    <mergeCell ref="S22:T22"/>
    <mergeCell ref="O23:R23"/>
    <mergeCell ref="S23:T23"/>
    <mergeCell ref="O16:P16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79998168889431442"/>
  </sheetPr>
  <dimension ref="A1:AA36"/>
  <sheetViews>
    <sheetView zoomScaleNormal="100" workbookViewId="0">
      <selection activeCell="H30" sqref="H30:I30"/>
    </sheetView>
  </sheetViews>
  <sheetFormatPr defaultRowHeight="15" x14ac:dyDescent="0.25"/>
  <cols>
    <col min="14" max="14" width="1.28515625" customWidth="1"/>
    <col min="15" max="15" width="9.140625" customWidth="1"/>
    <col min="27" max="27" width="10.5703125" customWidth="1"/>
  </cols>
  <sheetData>
    <row r="1" spans="1:27" ht="15.75" thickBot="1" x14ac:dyDescent="0.3">
      <c r="A1" s="419" t="s">
        <v>210</v>
      </c>
      <c r="B1" s="419"/>
      <c r="C1" s="419"/>
      <c r="D1" s="419"/>
      <c r="E1" s="419"/>
      <c r="F1" s="419"/>
      <c r="G1" s="419"/>
      <c r="H1" s="419"/>
    </row>
    <row r="2" spans="1:27" ht="33.75" x14ac:dyDescent="0.25">
      <c r="A2" s="355" t="s">
        <v>124</v>
      </c>
      <c r="B2" s="355"/>
      <c r="C2" s="355"/>
      <c r="D2" s="355"/>
      <c r="E2" s="355"/>
      <c r="F2" s="355"/>
      <c r="H2" s="355" t="s">
        <v>117</v>
      </c>
      <c r="I2" s="355"/>
      <c r="J2" s="355"/>
      <c r="K2" s="355"/>
      <c r="L2" s="355"/>
      <c r="M2" s="355"/>
      <c r="O2" s="376" t="s">
        <v>21</v>
      </c>
      <c r="P2" s="376"/>
      <c r="Q2" s="376"/>
      <c r="R2" s="376"/>
      <c r="S2" s="376"/>
      <c r="T2" s="376"/>
      <c r="W2" s="115"/>
      <c r="X2" s="116" t="s">
        <v>34</v>
      </c>
      <c r="Y2" s="117" t="s">
        <v>35</v>
      </c>
      <c r="Z2" s="118" t="s">
        <v>36</v>
      </c>
      <c r="AA2" s="127" t="s">
        <v>169</v>
      </c>
    </row>
    <row r="3" spans="1:27" x14ac:dyDescent="0.25">
      <c r="A3" s="361"/>
      <c r="B3" s="361"/>
      <c r="C3" s="361" t="s">
        <v>113</v>
      </c>
      <c r="D3" s="361"/>
      <c r="E3" s="361" t="s">
        <v>2</v>
      </c>
      <c r="F3" s="361"/>
      <c r="H3" s="361"/>
      <c r="I3" s="361"/>
      <c r="J3" s="361" t="s">
        <v>113</v>
      </c>
      <c r="K3" s="361"/>
      <c r="L3" s="361" t="s">
        <v>2</v>
      </c>
      <c r="M3" s="361"/>
      <c r="O3" s="368" t="s">
        <v>12</v>
      </c>
      <c r="P3" s="368"/>
      <c r="Q3" s="368" t="s">
        <v>46</v>
      </c>
      <c r="R3" s="368"/>
      <c r="S3" s="379" t="s">
        <v>130</v>
      </c>
      <c r="T3" s="379"/>
      <c r="W3" s="119" t="s">
        <v>164</v>
      </c>
      <c r="X3" s="54">
        <f>COUNTIFS(STATS!A:A,"&gt;="&amp;STATS!BG4,STATS!A:A,"&lt;="&amp;STATS!BH4,STATS!C:C,"SWS")</f>
        <v>0</v>
      </c>
      <c r="Y3" s="14">
        <f>COUNTIFS(STATS!A:A,"&gt;="&amp;STATS!BG4,STATS!A:A,"&lt;="&amp;STATS!BH4,STATS!C:C,"SWS",STATS!J:J,"H")</f>
        <v>0</v>
      </c>
      <c r="Z3" s="10">
        <f>COUNTIFS(STATS!A:A,"&gt;="&amp;STATS!BG4,STATS!A:A,"&lt;="&amp;STATS!BH4,STATS!C:C,"SWS",STATS!J:J,"L")</f>
        <v>0</v>
      </c>
      <c r="AA3" s="128">
        <f>SUMIFS(STATS!R:R,STATS!A:A,"&gt;="&amp;STATS!BG4,STATS!A:A,"&lt;="&amp;STATS!BH4,STATS!C:C,"SWS")</f>
        <v>0</v>
      </c>
    </row>
    <row r="4" spans="1:27" x14ac:dyDescent="0.25">
      <c r="A4" s="355" t="s">
        <v>19</v>
      </c>
      <c r="B4" s="355"/>
      <c r="C4" s="355">
        <f>D30</f>
        <v>18</v>
      </c>
      <c r="D4" s="355"/>
      <c r="E4" s="355">
        <f>E30</f>
        <v>195.2</v>
      </c>
      <c r="F4" s="355"/>
      <c r="H4" s="355" t="s">
        <v>19</v>
      </c>
      <c r="I4" s="355"/>
      <c r="J4" s="355">
        <f>D30</f>
        <v>18</v>
      </c>
      <c r="K4" s="355"/>
      <c r="L4" s="355">
        <f>ROUND(E4,0)</f>
        <v>195</v>
      </c>
      <c r="M4" s="355"/>
      <c r="O4" s="355" t="s">
        <v>133</v>
      </c>
      <c r="P4" s="355"/>
      <c r="Q4" s="355">
        <f>COUNTIFS(STATS!C:C,"SWS",STATS!AN:AN,"AGENCY")</f>
        <v>10</v>
      </c>
      <c r="R4" s="355"/>
      <c r="S4" s="380">
        <f>Q4/SUM(Q4:R8)</f>
        <v>0.25</v>
      </c>
      <c r="T4" s="380"/>
      <c r="W4" s="121" t="s">
        <v>51</v>
      </c>
      <c r="X4" s="54">
        <f>COUNTIFS(STATS!A:A,"&gt;="&amp;STATS!BG5,STATS!A:A,"&lt;="&amp;STATS!BH5,STATS!C:C,"SWS")</f>
        <v>0</v>
      </c>
      <c r="Y4" s="14">
        <f>COUNTIFS(STATS!A:A,"&gt;="&amp;STATS!BG5,STATS!A:A,"&lt;="&amp;STATS!BH5,STATS!C:C,"SWS",STATS!J:J,"H")</f>
        <v>0</v>
      </c>
      <c r="Z4" s="10">
        <f>COUNTIFS(STATS!A:A,"&gt;="&amp;STATS!BG5,STATS!A:A,"&lt;="&amp;STATS!BH5,STATS!C:C,"SWS",STATS!J:J,"L")</f>
        <v>0</v>
      </c>
      <c r="AA4" s="128">
        <f>SUMIFS(STATS!R:R,STATS!A:A,"&gt;="&amp;STATS!BG5,STATS!A:A,"&lt;="&amp;STATS!BH5,STATS!C:C,"SWS")</f>
        <v>0</v>
      </c>
    </row>
    <row r="5" spans="1:27" ht="15.75" thickBot="1" x14ac:dyDescent="0.3">
      <c r="A5" s="411" t="s">
        <v>20</v>
      </c>
      <c r="B5" s="411"/>
      <c r="C5" s="422">
        <f>G30</f>
        <v>23</v>
      </c>
      <c r="D5" s="422"/>
      <c r="E5" s="370">
        <f>H30</f>
        <v>184.24999999999997</v>
      </c>
      <c r="F5" s="370"/>
      <c r="H5" s="411" t="s">
        <v>20</v>
      </c>
      <c r="I5" s="411"/>
      <c r="J5" s="370">
        <f>G30</f>
        <v>23</v>
      </c>
      <c r="K5" s="370"/>
      <c r="L5" s="370">
        <f>ROUND(E5,0)</f>
        <v>184</v>
      </c>
      <c r="M5" s="370"/>
      <c r="O5" s="361" t="s">
        <v>132</v>
      </c>
      <c r="P5" s="361"/>
      <c r="Q5" s="361">
        <f>COUNTIFS(STATS!C:C,"SWS",STATS!AN:AN,"AIRCRAFT")</f>
        <v>0</v>
      </c>
      <c r="R5" s="361"/>
      <c r="S5" s="418">
        <f>Q5/SUM(Q4:R8)</f>
        <v>0</v>
      </c>
      <c r="T5" s="418"/>
      <c r="W5" s="121" t="s">
        <v>37</v>
      </c>
      <c r="X5" s="54">
        <f>COUNTIFS(STATS!A:A,"&gt;="&amp;STATS!BG6,STATS!A:A,"&lt;="&amp;STATS!BH6,STATS!C:C,"SWS")</f>
        <v>2</v>
      </c>
      <c r="Y5" s="14">
        <f>COUNTIFS(STATS!A:A,"&gt;="&amp;STATS!BG6,STATS!A:A,"&lt;="&amp;STATS!BH6,STATS!C:C,"SWS",STATS!J:J,"H")</f>
        <v>2</v>
      </c>
      <c r="Z5" s="10">
        <f>COUNTIFS(STATS!A:A,"&gt;="&amp;STATS!BG6,STATS!A:A,"&lt;="&amp;STATS!BH6,STATS!C:C,"SWS",STATS!J:J,"L")</f>
        <v>0</v>
      </c>
      <c r="AA5" s="128">
        <f>SUMIFS(STATS!R:R,STATS!A:A,"&gt;="&amp;STATS!BG6,STATS!A:A,"&lt;="&amp;STATS!BH6,STATS!C:C,"SWS")</f>
        <v>9.5</v>
      </c>
    </row>
    <row r="6" spans="1:27" x14ac:dyDescent="0.25">
      <c r="A6" s="420" t="s">
        <v>4</v>
      </c>
      <c r="B6" s="420"/>
      <c r="C6" s="421">
        <f>J30</f>
        <v>41</v>
      </c>
      <c r="D6" s="421"/>
      <c r="E6" s="421">
        <f>K30</f>
        <v>379.45000000000005</v>
      </c>
      <c r="F6" s="421"/>
      <c r="H6" s="420" t="s">
        <v>4</v>
      </c>
      <c r="I6" s="420"/>
      <c r="J6" s="421">
        <f>SUM(J4:K5)</f>
        <v>41</v>
      </c>
      <c r="K6" s="421"/>
      <c r="L6" s="421">
        <f>SUM(L4,L5)</f>
        <v>379</v>
      </c>
      <c r="M6" s="421"/>
      <c r="O6" s="355" t="s">
        <v>134</v>
      </c>
      <c r="P6" s="355"/>
      <c r="Q6" s="355">
        <f>COUNTIFS(STATS!C:C,"SWS",STATS!AN:AN,"COUNTY")</f>
        <v>26</v>
      </c>
      <c r="R6" s="355"/>
      <c r="S6" s="380">
        <f>Q6/SUM(Q4:R8)</f>
        <v>0.65</v>
      </c>
      <c r="T6" s="380"/>
      <c r="W6" s="121" t="s">
        <v>38</v>
      </c>
      <c r="X6" s="54">
        <f>COUNTIFS(STATS!A:A,"&gt;="&amp;STATS!BG7,STATS!A:A,"&lt;="&amp;STATS!BH7,STATS!C:C,"SWS")</f>
        <v>2</v>
      </c>
      <c r="Y6" s="14">
        <f>COUNTIFS(STATS!A:A,"&gt;="&amp;STATS!BG7,STATS!A:A,"&lt;="&amp;STATS!BH7,STATS!C:C,"SWS",STATS!J:J,"H")</f>
        <v>2</v>
      </c>
      <c r="Z6" s="10">
        <f>COUNTIFS(STATS!A:A,"&gt;="&amp;STATS!BG7,STATS!A:A,"&lt;="&amp;STATS!BH7,STATS!C:C,"SWS",STATS!J:J,"L")</f>
        <v>0</v>
      </c>
      <c r="AA6" s="128">
        <f>SUMIFS(STATS!R:R,STATS!A:A,"&gt;="&amp;STATS!BG7,STATS!A:A,"&lt;="&amp;STATS!BH7,STATS!C:C,"SWS")</f>
        <v>0.85</v>
      </c>
    </row>
    <row r="7" spans="1:27" x14ac:dyDescent="0.25">
      <c r="O7" s="361" t="s">
        <v>131</v>
      </c>
      <c r="P7" s="361"/>
      <c r="Q7" s="361">
        <f>COUNTIFS(STATS!C:C,"SWS",STATS!AN:AN,"LOOKOUT")</f>
        <v>0</v>
      </c>
      <c r="R7" s="361"/>
      <c r="S7" s="418">
        <f>Q7/SUM(Q4:R8)</f>
        <v>0</v>
      </c>
      <c r="T7" s="418"/>
      <c r="W7" s="121" t="s">
        <v>39</v>
      </c>
      <c r="X7" s="54">
        <f>COUNTIFS(STATS!A:A,"&gt;="&amp;STATS!BG8,STATS!A:A,"&lt;="&amp;STATS!BH8,STATS!C:C,"SWS")</f>
        <v>2</v>
      </c>
      <c r="Y7" s="14">
        <f>COUNTIFS(STATS!A:A,"&gt;="&amp;STATS!BG8,STATS!A:A,"&lt;="&amp;STATS!BH8,STATS!C:C,"SWS",STATS!J:J,"H")</f>
        <v>2</v>
      </c>
      <c r="Z7" s="10">
        <f>COUNTIFS(STATS!A:A,"&gt;="&amp;STATS!BG8,STATS!A:A,"&lt;="&amp;STATS!BH8,STATS!C:C,"SWS",STATS!J:J,"L")</f>
        <v>0</v>
      </c>
      <c r="AA7" s="128">
        <f>SUMIFS(STATS!R:R,STATS!A:A,"&gt;="&amp;STATS!BG8,STATS!A:A,"&lt;="&amp;STATS!BH8,STATS!C:C,"SWS")</f>
        <v>1.9</v>
      </c>
    </row>
    <row r="8" spans="1:27" x14ac:dyDescent="0.25">
      <c r="A8" s="355" t="s">
        <v>120</v>
      </c>
      <c r="B8" s="355"/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O8" s="355" t="s">
        <v>135</v>
      </c>
      <c r="P8" s="355"/>
      <c r="Q8" s="355">
        <f>COUNTIFS(STATS!C:C,"SWS",STATS!AN:AN,"PRIVATE")</f>
        <v>4</v>
      </c>
      <c r="R8" s="355"/>
      <c r="S8" s="380">
        <f>Q8/SUM(Q4:R8)</f>
        <v>0.1</v>
      </c>
      <c r="T8" s="380"/>
      <c r="W8" s="121" t="s">
        <v>165</v>
      </c>
      <c r="X8" s="54">
        <f>COUNTIFS(STATS!A:A,"&gt;="&amp;STATS!BG9,STATS!A:A,"&lt;="&amp;STATS!BH9,STATS!C:C,"SWS")</f>
        <v>6</v>
      </c>
      <c r="Y8" s="14">
        <f>COUNTIFS(STATS!A:A,"&gt;="&amp;STATS!BG9,STATS!A:A,"&lt;="&amp;STATS!BH9,STATS!C:C,"SWS",STATS!J:J,"H")</f>
        <v>4</v>
      </c>
      <c r="Z8" s="10">
        <f>COUNTIFS(STATS!A:A,"&gt;="&amp;STATS!BG9,STATS!A:A,"&lt;="&amp;STATS!BH9,STATS!C:C,"SWS",STATS!J:J,"L")</f>
        <v>2</v>
      </c>
      <c r="AA8" s="128">
        <f>SUMIFS(STATS!R:R,STATS!A:A,"&gt;="&amp;STATS!BG9,STATS!A:A,"&lt;="&amp;STATS!BH9,STATS!C:C,"SWS")</f>
        <v>122.65</v>
      </c>
    </row>
    <row r="9" spans="1:27" ht="15.75" thickBot="1" x14ac:dyDescent="0.3">
      <c r="A9" s="408" t="s">
        <v>115</v>
      </c>
      <c r="B9" s="408"/>
      <c r="C9" s="408"/>
      <c r="D9" s="409"/>
      <c r="E9" s="409"/>
      <c r="F9" s="409"/>
      <c r="G9" s="409"/>
      <c r="H9" s="409"/>
      <c r="I9" s="409"/>
      <c r="J9" s="409"/>
      <c r="K9" s="409"/>
      <c r="L9" s="409"/>
      <c r="M9" s="409"/>
      <c r="W9" s="121" t="s">
        <v>166</v>
      </c>
      <c r="X9" s="54">
        <f>COUNTIFS(STATS!A:A,"&gt;="&amp;STATS!BG10,STATS!A:A,"&lt;="&amp;STATS!BH10,STATS!C:C,"SWS")</f>
        <v>10</v>
      </c>
      <c r="Y9" s="14">
        <f>COUNTIFS(STATS!A:A,"&gt;="&amp;STATS!BG10,STATS!A:A,"&lt;="&amp;STATS!BH10,STATS!C:C,"SWS",STATS!J:J,"H")</f>
        <v>2</v>
      </c>
      <c r="Z9" s="10">
        <f>COUNTIFS(STATS!A:A,"&gt;="&amp;STATS!BG10,STATS!A:A,"&lt;="&amp;STATS!BH10,STATS!C:C,"SWS",STATS!J:J,"L")</f>
        <v>8</v>
      </c>
      <c r="AA9" s="128">
        <f>SUMIFS(STATS!R:R,STATS!A:A,"&gt;="&amp;STATS!BG10,STATS!A:A,"&lt;="&amp;STATS!BH10,STATS!C:C,"SWS")</f>
        <v>174.64999999999998</v>
      </c>
    </row>
    <row r="10" spans="1:27" x14ac:dyDescent="0.25">
      <c r="A10" s="376"/>
      <c r="B10" s="376"/>
      <c r="C10" s="397"/>
      <c r="D10" s="405" t="s">
        <v>19</v>
      </c>
      <c r="E10" s="400"/>
      <c r="F10" s="406"/>
      <c r="G10" s="405" t="s">
        <v>20</v>
      </c>
      <c r="H10" s="400"/>
      <c r="I10" s="406"/>
      <c r="J10" s="405" t="s">
        <v>4</v>
      </c>
      <c r="K10" s="400"/>
      <c r="L10" s="400"/>
      <c r="M10" s="406"/>
      <c r="O10" s="376" t="s">
        <v>136</v>
      </c>
      <c r="P10" s="376"/>
      <c r="Q10" s="376"/>
      <c r="R10" s="376"/>
      <c r="S10" s="376"/>
      <c r="T10" s="376"/>
      <c r="W10" s="121" t="s">
        <v>40</v>
      </c>
      <c r="X10" s="54">
        <f>COUNTIFS(STATS!A:A,"&gt;="&amp;STATS!BG11,STATS!A:A,"&lt;="&amp;STATS!BH11,STATS!C:C,"SWS")</f>
        <v>15</v>
      </c>
      <c r="Y10" s="14">
        <f>COUNTIFS(STATS!A:A,"&gt;="&amp;STATS!BG11,STATS!A:A,"&lt;="&amp;STATS!BH11,STATS!C:C,"SWS",STATS!J:J,"H")</f>
        <v>4</v>
      </c>
      <c r="Z10" s="10">
        <f>COUNTIFS(STATS!A:A,"&gt;="&amp;STATS!BG11,STATS!A:A,"&lt;="&amp;STATS!BH11,STATS!C:C,"SWS",STATS!J:J,"L")</f>
        <v>11</v>
      </c>
      <c r="AA10" s="128">
        <f>SUMIFS(STATS!R:R,STATS!A:A,"&gt;="&amp;STATS!BG11,STATS!A:A,"&lt;="&amp;STATS!BH11,STATS!C:C,"SWS")</f>
        <v>69.349999999999994</v>
      </c>
    </row>
    <row r="11" spans="1:27" ht="15" customHeight="1" x14ac:dyDescent="0.25">
      <c r="A11" s="368" t="s">
        <v>114</v>
      </c>
      <c r="B11" s="368"/>
      <c r="C11" s="404"/>
      <c r="D11" s="92" t="s">
        <v>113</v>
      </c>
      <c r="E11" s="368" t="s">
        <v>2</v>
      </c>
      <c r="F11" s="410"/>
      <c r="G11" s="92" t="s">
        <v>113</v>
      </c>
      <c r="H11" s="368" t="s">
        <v>2</v>
      </c>
      <c r="I11" s="410"/>
      <c r="J11" s="92" t="s">
        <v>113</v>
      </c>
      <c r="K11" s="368" t="s">
        <v>2</v>
      </c>
      <c r="L11" s="368"/>
      <c r="M11" s="410"/>
      <c r="O11" s="377" t="s">
        <v>142</v>
      </c>
      <c r="P11" s="377"/>
      <c r="Q11" s="377"/>
      <c r="R11" s="377"/>
      <c r="S11" s="368" t="s">
        <v>155</v>
      </c>
      <c r="T11" s="368"/>
      <c r="W11" s="121" t="s">
        <v>41</v>
      </c>
      <c r="X11" s="54">
        <f>COUNTIFS(STATS!A:A,"&gt;="&amp;STATS!BG12,STATS!A:A,"&lt;="&amp;STATS!BH12,STATS!C:C,"SWS")</f>
        <v>1</v>
      </c>
      <c r="Y11" s="14">
        <f>COUNTIFS(STATS!A:A,"&gt;="&amp;STATS!BG12,STATS!A:A,"&lt;="&amp;STATS!BH12,STATS!C:C,"SWS",STATS!J:J,"H")</f>
        <v>0</v>
      </c>
      <c r="Z11" s="10">
        <f>COUNTIFS(STATS!A:A,"&gt;="&amp;STATS!BG12,STATS!A:A,"&lt;="&amp;STATS!BH12,STATS!C:C,"SWS",STATS!J:J,"L")</f>
        <v>1</v>
      </c>
      <c r="AA11" s="128">
        <f>SUMIFS(STATS!R:R,STATS!A:A,"&gt;="&amp;STATS!BG12,STATS!A:A,"&lt;="&amp;STATS!BH12,STATS!C:C,"SWS")</f>
        <v>0.1</v>
      </c>
    </row>
    <row r="12" spans="1:27" x14ac:dyDescent="0.25">
      <c r="A12" s="376" t="s">
        <v>119</v>
      </c>
      <c r="B12" s="376"/>
      <c r="C12" s="397"/>
      <c r="D12" s="111">
        <f>(COUNTIFS(STATS!C:C,"SWS", STATS!C:C,"SWS",STATS!J:J,"H"))</f>
        <v>18</v>
      </c>
      <c r="E12" s="372">
        <f>SUMIFS(STATS!U:U, STATS!C:C,"SWS",STATS!J:J,"H")</f>
        <v>124.05000000000001</v>
      </c>
      <c r="F12" s="374"/>
      <c r="G12" s="111">
        <f>COUNTIFS(STATS!C:C,"SWS", STATS!C:C,"SWS",STATS!J:J,"L")</f>
        <v>23</v>
      </c>
      <c r="H12" s="372">
        <f>SUMIFS(STATS!U:U, STATS!C:C,"SWS",STATS!J:J,"L")</f>
        <v>5</v>
      </c>
      <c r="I12" s="374"/>
      <c r="J12" s="111">
        <f>SUM(D12,G12)</f>
        <v>41</v>
      </c>
      <c r="K12" s="355">
        <f>SUM(E12,H12)</f>
        <v>129.05000000000001</v>
      </c>
      <c r="L12" s="355"/>
      <c r="M12" s="416"/>
      <c r="O12" s="377"/>
      <c r="P12" s="377"/>
      <c r="Q12" s="377"/>
      <c r="R12" s="377"/>
      <c r="S12" s="368"/>
      <c r="T12" s="368"/>
      <c r="W12" s="121" t="s">
        <v>42</v>
      </c>
      <c r="X12" s="54">
        <f>COUNTIFS(STATS!A:A,"&gt;="&amp;STATS!BG13,STATS!A:A,"&lt;="&amp;STATS!BH13,STATS!C:C,"SWS")</f>
        <v>2</v>
      </c>
      <c r="Y12" s="14">
        <f>COUNTIFS(STATS!A:A,"&gt;="&amp;STATS!BG13,STATS!A:A,"&lt;="&amp;STATS!BH13,STATS!C:C,"SWS",STATS!J:J,"H")</f>
        <v>1</v>
      </c>
      <c r="Z12" s="10">
        <f>COUNTIFS(STATS!A:A,"&gt;="&amp;STATS!BG13,STATS!A:A,"&lt;="&amp;STATS!BH13,STATS!C:C,"SWS",STATS!J:J,"L")</f>
        <v>1</v>
      </c>
      <c r="AA12" s="128">
        <f>SUMIFS(STATS!R:R,STATS!A:A,"&gt;="&amp;STATS!BG13,STATS!A:A,"&lt;="&amp;STATS!BH13,STATS!C:C,"SWS")</f>
        <v>0.35</v>
      </c>
    </row>
    <row r="13" spans="1:27" x14ac:dyDescent="0.25">
      <c r="A13" s="395" t="s">
        <v>31</v>
      </c>
      <c r="B13" s="395"/>
      <c r="C13" s="396"/>
      <c r="D13" s="93"/>
      <c r="E13" s="393">
        <f>SUMIFS(STATS!T:T, STATS!C:C,"SWS",STATS!J:J,"H")</f>
        <v>0.6</v>
      </c>
      <c r="F13" s="394"/>
      <c r="G13" s="93"/>
      <c r="H13" s="393">
        <f>SUMIFS(STATS!T:T, STATS!C:C,"SWS",STATS!J:J,"L")</f>
        <v>28.450000000000006</v>
      </c>
      <c r="I13" s="394"/>
      <c r="J13" s="93">
        <f t="shared" ref="J13:K28" si="0">SUM(D13,G13)</f>
        <v>0</v>
      </c>
      <c r="K13" s="375">
        <f t="shared" si="0"/>
        <v>29.050000000000008</v>
      </c>
      <c r="L13" s="375"/>
      <c r="M13" s="357"/>
      <c r="O13" s="355" t="s">
        <v>54</v>
      </c>
      <c r="P13" s="355"/>
      <c r="Q13" s="355"/>
      <c r="R13" s="355"/>
      <c r="S13" s="355">
        <f>COUNTIFS(STATS!C:C,"SWS",STATS!AV:AV,"Y")</f>
        <v>1</v>
      </c>
      <c r="T13" s="355"/>
      <c r="W13" s="121" t="s">
        <v>43</v>
      </c>
      <c r="X13" s="54">
        <f>COUNTIFS(STATS!A:A,"&gt;="&amp;STATS!BG14,STATS!A:A,"&lt;="&amp;STATS!BH14,STATS!C:C,"SWS")</f>
        <v>1</v>
      </c>
      <c r="Y13" s="14">
        <f>COUNTIFS(STATS!A:A,"&gt;="&amp;STATS!BG14,STATS!A:A,"&lt;="&amp;STATS!BH14,STATS!C:C,"SWS",STATS!J:J,"H")</f>
        <v>1</v>
      </c>
      <c r="Z13" s="10">
        <f>COUNTIFS(STATS!A:A,"&gt;="&amp;STATS!BG14,STATS!A:A,"&lt;="&amp;STATS!BH14,STATS!C:C,"SWS",STATS!J:J,"L")</f>
        <v>0</v>
      </c>
      <c r="AA13" s="128">
        <f>SUMIFS(STATS!R:R,STATS!A:A,"&gt;="&amp;STATS!BG14,STATS!A:A,"&lt;="&amp;STATS!BH14,STATS!C:C,"SWS")</f>
        <v>0.1</v>
      </c>
    </row>
    <row r="14" spans="1:27" x14ac:dyDescent="0.25">
      <c r="A14" s="376" t="s">
        <v>30</v>
      </c>
      <c r="B14" s="376"/>
      <c r="C14" s="397"/>
      <c r="D14" s="111"/>
      <c r="E14" s="372">
        <f>SUMIFS(STATS!S:S, STATS!C:C,"SWS",STATS!J:J,"H")</f>
        <v>0</v>
      </c>
      <c r="F14" s="374"/>
      <c r="G14" s="111"/>
      <c r="H14" s="372">
        <f>SUMIFS(STATS!S:S, STATS!C:C,"SWS",STATS!J:J,"L")</f>
        <v>6</v>
      </c>
      <c r="I14" s="374"/>
      <c r="J14" s="111">
        <f t="shared" si="0"/>
        <v>0</v>
      </c>
      <c r="K14" s="355">
        <f t="shared" si="0"/>
        <v>6</v>
      </c>
      <c r="L14" s="355"/>
      <c r="M14" s="416"/>
      <c r="O14" s="361" t="s">
        <v>143</v>
      </c>
      <c r="P14" s="361"/>
      <c r="Q14" s="361"/>
      <c r="R14" s="361"/>
      <c r="S14" s="414">
        <f>COUNTIFS(STATS!C:C,"SWS",STATS!AS:AS,"Y")</f>
        <v>21</v>
      </c>
      <c r="T14" s="414"/>
      <c r="W14" s="121" t="s">
        <v>44</v>
      </c>
      <c r="X14" s="54">
        <f>COUNTIFS(STATS!A:A,"&gt;="&amp;STATS!BG15,STATS!A:A,"&lt;="&amp;STATS!BH15,STATS!C:C,"SWS")</f>
        <v>0</v>
      </c>
      <c r="Y14" s="14">
        <f>COUNTIFS(STATS!A:A,"&gt;="&amp;STATS!BG15,STATS!A:A,"&lt;="&amp;STATS!BH15,STATS!C:C,"SWS",STATS!J:J,"H")</f>
        <v>0</v>
      </c>
      <c r="Z14" s="10">
        <f>COUNTIFS(STATS!A:A,"&gt;="&amp;STATS!BG15,STATS!A:A,"&lt;="&amp;STATS!BH15,STATS!C:C,"SWS",STATS!J:J,"L")</f>
        <v>0</v>
      </c>
      <c r="AA14" s="128">
        <f>SUMIFS(STATS!R:R,STATS!A:A,"&gt;="&amp;STATS!BG15,STATS!A:A,"&lt;="&amp;STATS!BH15,STATS!C:C,"SWS")</f>
        <v>0</v>
      </c>
    </row>
    <row r="15" spans="1:27" ht="15.75" thickBot="1" x14ac:dyDescent="0.3">
      <c r="A15" s="395" t="s">
        <v>112</v>
      </c>
      <c r="B15" s="395"/>
      <c r="C15" s="396"/>
      <c r="D15" s="93"/>
      <c r="E15" s="393">
        <f>SUMIFS(STATS!V:V, STATS!C:C,"SWS",STATS!J:J,"H")</f>
        <v>0</v>
      </c>
      <c r="F15" s="394"/>
      <c r="G15" s="93"/>
      <c r="H15" s="393">
        <f>SUMIFS(STATS!V:V, STATS!C:C,"SWS",STATS!J:J,"L")</f>
        <v>0</v>
      </c>
      <c r="I15" s="394"/>
      <c r="J15" s="93">
        <f t="shared" si="0"/>
        <v>0</v>
      </c>
      <c r="K15" s="375">
        <f t="shared" si="0"/>
        <v>0</v>
      </c>
      <c r="L15" s="375"/>
      <c r="M15" s="357"/>
      <c r="O15" s="355" t="s">
        <v>13</v>
      </c>
      <c r="P15" s="355"/>
      <c r="Q15" s="355"/>
      <c r="R15" s="355"/>
      <c r="S15" s="355">
        <f>COUNTIFS(STATS!C:C,"SWS",STATS!AO:AO,"Y")</f>
        <v>22</v>
      </c>
      <c r="T15" s="355"/>
      <c r="W15" s="122" t="s">
        <v>4</v>
      </c>
      <c r="X15" s="192">
        <f>SUM(X3:X14)</f>
        <v>41</v>
      </c>
      <c r="Y15" s="124">
        <f>SUM(Y3:Y14)</f>
        <v>18</v>
      </c>
      <c r="Z15" s="125">
        <f>SUM(Z3:Z14)</f>
        <v>23</v>
      </c>
      <c r="AA15" s="133">
        <f>SUM(AA3:AA14)</f>
        <v>379.45000000000005</v>
      </c>
    </row>
    <row r="16" spans="1:27" x14ac:dyDescent="0.25">
      <c r="A16" s="376" t="s">
        <v>111</v>
      </c>
      <c r="B16" s="376"/>
      <c r="C16" s="397"/>
      <c r="D16" s="111"/>
      <c r="E16" s="372">
        <f>SUMIFS(STATS!W:W, STATS!C:C,"SWS",STATS!J:J,"H")</f>
        <v>0</v>
      </c>
      <c r="F16" s="374"/>
      <c r="G16" s="111"/>
      <c r="H16" s="372">
        <f>SUMIFS(STATS!W:W, STATS!C:C,"SWS",STATS!J:J,"L")</f>
        <v>140.19999999999999</v>
      </c>
      <c r="I16" s="374"/>
      <c r="J16" s="111">
        <f t="shared" si="0"/>
        <v>0</v>
      </c>
      <c r="K16" s="355">
        <f t="shared" si="0"/>
        <v>140.19999999999999</v>
      </c>
      <c r="L16" s="355"/>
      <c r="M16" s="416"/>
    </row>
    <row r="17" spans="1:20" x14ac:dyDescent="0.25">
      <c r="A17" s="395" t="s">
        <v>110</v>
      </c>
      <c r="B17" s="395"/>
      <c r="C17" s="396"/>
      <c r="D17" s="93"/>
      <c r="E17" s="393">
        <f>SUMIFS(STATS!X:X, STATS!C:C,"SWS",STATS!J:J,"H")</f>
        <v>0</v>
      </c>
      <c r="F17" s="394"/>
      <c r="G17" s="93"/>
      <c r="H17" s="393">
        <f>SUMIFS(STATS!X:X, STATS!C:C,"SWS",STATS!J:J,"L")</f>
        <v>0</v>
      </c>
      <c r="I17" s="394"/>
      <c r="J17" s="93">
        <f t="shared" si="0"/>
        <v>0</v>
      </c>
      <c r="K17" s="375">
        <f t="shared" si="0"/>
        <v>0</v>
      </c>
      <c r="L17" s="375"/>
      <c r="M17" s="357"/>
      <c r="O17" s="362" t="s">
        <v>144</v>
      </c>
      <c r="P17" s="363"/>
      <c r="Q17" s="363"/>
      <c r="R17" s="363"/>
      <c r="S17" s="363"/>
      <c r="T17" s="364"/>
    </row>
    <row r="18" spans="1:20" x14ac:dyDescent="0.25">
      <c r="A18" s="376" t="s">
        <v>109</v>
      </c>
      <c r="B18" s="376"/>
      <c r="C18" s="397"/>
      <c r="D18" s="111"/>
      <c r="E18" s="372">
        <f>SUMIFS(STATS!Y:Y, STATS!C:C,"SWS",STATS!J:J,"H")</f>
        <v>0</v>
      </c>
      <c r="F18" s="374"/>
      <c r="G18" s="111"/>
      <c r="H18" s="372">
        <f>SUMIFS(STATS!Y:Y, STATS!C:C,"SWS",STATS!J:J,"L")</f>
        <v>0.1</v>
      </c>
      <c r="I18" s="374"/>
      <c r="J18" s="111">
        <f t="shared" si="0"/>
        <v>0</v>
      </c>
      <c r="K18" s="355">
        <f t="shared" si="0"/>
        <v>0.1</v>
      </c>
      <c r="L18" s="355"/>
      <c r="M18" s="416"/>
      <c r="O18" s="365"/>
      <c r="P18" s="366"/>
      <c r="Q18" s="366"/>
      <c r="R18" s="366"/>
      <c r="S18" s="366"/>
      <c r="T18" s="367"/>
    </row>
    <row r="19" spans="1:20" x14ac:dyDescent="0.25">
      <c r="A19" s="395" t="s">
        <v>108</v>
      </c>
      <c r="B19" s="395"/>
      <c r="C19" s="396"/>
      <c r="D19" s="93"/>
      <c r="E19" s="393">
        <f>SUMIFS(STATS!Z:Z, STATS!C:C,"SWS",STATS!J:J,"H")</f>
        <v>0</v>
      </c>
      <c r="F19" s="394"/>
      <c r="G19" s="93"/>
      <c r="H19" s="393">
        <f>SUMIFS(STATS!Z:Z, STATS!C:C,"SWS",STATS!J:J,"L")</f>
        <v>0</v>
      </c>
      <c r="I19" s="394"/>
      <c r="J19" s="93">
        <f t="shared" si="0"/>
        <v>0</v>
      </c>
      <c r="K19" s="375">
        <f t="shared" si="0"/>
        <v>0</v>
      </c>
      <c r="L19" s="375"/>
      <c r="M19" s="357"/>
      <c r="O19" s="368" t="s">
        <v>145</v>
      </c>
      <c r="P19" s="368"/>
      <c r="Q19" s="99" t="s">
        <v>113</v>
      </c>
      <c r="R19" s="368" t="s">
        <v>145</v>
      </c>
      <c r="S19" s="368"/>
      <c r="T19" s="99" t="s">
        <v>113</v>
      </c>
    </row>
    <row r="20" spans="1:20" x14ac:dyDescent="0.25">
      <c r="A20" s="376" t="s">
        <v>107</v>
      </c>
      <c r="B20" s="376"/>
      <c r="C20" s="397"/>
      <c r="D20" s="111"/>
      <c r="E20" s="372">
        <f>SUMIFS(STATS!AA:AA, STATS!C:C,"SWS",STATS!J:J,"H")</f>
        <v>0</v>
      </c>
      <c r="F20" s="374"/>
      <c r="G20" s="111"/>
      <c r="H20" s="372">
        <f>SUMIFS(STATS!AA:AA, STATS!C:C,"SWS",STATS!J:J,"L")</f>
        <v>0</v>
      </c>
      <c r="I20" s="374"/>
      <c r="J20" s="111">
        <f t="shared" si="0"/>
        <v>0</v>
      </c>
      <c r="K20" s="355">
        <f t="shared" si="0"/>
        <v>0</v>
      </c>
      <c r="L20" s="355"/>
      <c r="M20" s="416"/>
      <c r="O20" s="355" t="s">
        <v>146</v>
      </c>
      <c r="P20" s="355"/>
      <c r="Q20" s="113">
        <f>COUNTIFS(STATS!C:C,"SWS",STATS!AW:AW,"A")</f>
        <v>18</v>
      </c>
      <c r="R20" s="355" t="s">
        <v>150</v>
      </c>
      <c r="S20" s="355"/>
      <c r="T20" s="113">
        <f>COUNTIFS(STATS!C:C,"SWS",STATS!AW:AW,"E")</f>
        <v>0</v>
      </c>
    </row>
    <row r="21" spans="1:20" x14ac:dyDescent="0.25">
      <c r="A21" s="395" t="s">
        <v>106</v>
      </c>
      <c r="B21" s="395"/>
      <c r="C21" s="396"/>
      <c r="D21" s="93"/>
      <c r="E21" s="393">
        <f>SUMIFS(STATS!AB:AB, STATS!C:C,"SWS",STATS!J:J,"H")</f>
        <v>69.55</v>
      </c>
      <c r="F21" s="394"/>
      <c r="G21" s="93"/>
      <c r="H21" s="393">
        <f>SUMIFS(STATS!AB:AB, STATS!C:C,"SWS",STATS!J:J,"L")</f>
        <v>4.5</v>
      </c>
      <c r="I21" s="394"/>
      <c r="J21" s="93">
        <f t="shared" si="0"/>
        <v>0</v>
      </c>
      <c r="K21" s="375">
        <f t="shared" si="0"/>
        <v>74.05</v>
      </c>
      <c r="L21" s="375"/>
      <c r="M21" s="357"/>
      <c r="O21" s="361" t="s">
        <v>147</v>
      </c>
      <c r="P21" s="361"/>
      <c r="Q21" s="98">
        <f>COUNTIFS(STATS!C:C,"SWS",STATS!AW:AW,"B")</f>
        <v>19</v>
      </c>
      <c r="R21" s="361" t="s">
        <v>151</v>
      </c>
      <c r="S21" s="361"/>
      <c r="T21" s="98">
        <f>COUNTIFS(STATS!C:C,"SWS",STATS!AW:AW,"F")</f>
        <v>0</v>
      </c>
    </row>
    <row r="22" spans="1:20" x14ac:dyDescent="0.25">
      <c r="A22" s="376" t="s">
        <v>105</v>
      </c>
      <c r="B22" s="376"/>
      <c r="C22" s="397"/>
      <c r="D22" s="111"/>
      <c r="E22" s="372">
        <f>SUMIFS(STATS!AC:AC, STATS!C:C,"SWS",STATS!J:J,"H")</f>
        <v>0</v>
      </c>
      <c r="F22" s="374"/>
      <c r="G22" s="111"/>
      <c r="H22" s="372">
        <f>SUMIFS(STATS!AC:AC, STATS!C:C,"SWS",STATS!J:J,"L")</f>
        <v>0</v>
      </c>
      <c r="I22" s="374"/>
      <c r="J22" s="111">
        <f t="shared" si="0"/>
        <v>0</v>
      </c>
      <c r="K22" s="355">
        <f t="shared" si="0"/>
        <v>0</v>
      </c>
      <c r="L22" s="355"/>
      <c r="M22" s="416"/>
      <c r="O22" s="355" t="s">
        <v>148</v>
      </c>
      <c r="P22" s="355"/>
      <c r="Q22" s="113">
        <f>COUNTIFS(STATS!C:C,"SWS",STATS!AW:AW,"C")</f>
        <v>2</v>
      </c>
      <c r="R22" s="355" t="s">
        <v>152</v>
      </c>
      <c r="S22" s="355"/>
      <c r="T22" s="113">
        <f>COUNTIFS(STATS!C:C,"SWS",STATS!AW:AW,"G")</f>
        <v>0</v>
      </c>
    </row>
    <row r="23" spans="1:20" x14ac:dyDescent="0.25">
      <c r="A23" s="395" t="s">
        <v>104</v>
      </c>
      <c r="B23" s="395"/>
      <c r="C23" s="396"/>
      <c r="D23" s="93"/>
      <c r="E23" s="393">
        <f>SUMIFS(STATS!AD:AD, STATS!C:C,"SWS",STATS!J:J,"H")</f>
        <v>0</v>
      </c>
      <c r="F23" s="394"/>
      <c r="G23" s="93"/>
      <c r="H23" s="393">
        <f>SUMIFS(STATS!AD:AD, STATS!C:C,"SWS",STATS!J:J,"L")</f>
        <v>0</v>
      </c>
      <c r="I23" s="394"/>
      <c r="J23" s="93">
        <f t="shared" si="0"/>
        <v>0</v>
      </c>
      <c r="K23" s="375">
        <f t="shared" si="0"/>
        <v>0</v>
      </c>
      <c r="L23" s="375"/>
      <c r="M23" s="357"/>
      <c r="O23" s="361" t="s">
        <v>149</v>
      </c>
      <c r="P23" s="361"/>
      <c r="Q23" s="98">
        <f>COUNTIFS(STATS!C:C,"SWS",STATS!AW:AW,"D")</f>
        <v>2</v>
      </c>
      <c r="R23" s="361"/>
      <c r="S23" s="361"/>
      <c r="T23" s="98"/>
    </row>
    <row r="24" spans="1:20" x14ac:dyDescent="0.25">
      <c r="A24" s="376" t="s">
        <v>103</v>
      </c>
      <c r="B24" s="376"/>
      <c r="C24" s="397"/>
      <c r="D24" s="111"/>
      <c r="E24" s="372">
        <f>SUMIFS(STATS!AE:AE, STATS!C:C,"SWS",STATS!J:J,"H")</f>
        <v>1</v>
      </c>
      <c r="F24" s="374"/>
      <c r="G24" s="111"/>
      <c r="H24" s="372">
        <f>SUMIFS(STATS!AE:AE, STATS!C:C,"SWS",STATS!J:J,"L")</f>
        <v>0</v>
      </c>
      <c r="I24" s="374"/>
      <c r="J24" s="111">
        <f t="shared" si="0"/>
        <v>0</v>
      </c>
      <c r="K24" s="355">
        <f t="shared" si="0"/>
        <v>1</v>
      </c>
      <c r="L24" s="355"/>
      <c r="M24" s="416"/>
    </row>
    <row r="25" spans="1:20" x14ac:dyDescent="0.25">
      <c r="A25" s="395" t="s">
        <v>102</v>
      </c>
      <c r="B25" s="395"/>
      <c r="C25" s="396"/>
      <c r="D25" s="93"/>
      <c r="E25" s="393">
        <f>SUMIFS(STATS!AF:AF, STATS!C:C,"SWS",STATS!J:J,"H")</f>
        <v>0</v>
      </c>
      <c r="F25" s="394"/>
      <c r="G25" s="93"/>
      <c r="H25" s="393">
        <f>SUMIFS(STATS!AF:AF, STATS!C:C,"SWS",STATS!J:J,"L")</f>
        <v>0</v>
      </c>
      <c r="I25" s="394"/>
      <c r="J25" s="93">
        <f t="shared" si="0"/>
        <v>0</v>
      </c>
      <c r="K25" s="375">
        <f t="shared" si="0"/>
        <v>0</v>
      </c>
      <c r="L25" s="375"/>
      <c r="M25" s="357"/>
    </row>
    <row r="26" spans="1:20" x14ac:dyDescent="0.25">
      <c r="A26" s="376" t="s">
        <v>101</v>
      </c>
      <c r="B26" s="376"/>
      <c r="C26" s="397"/>
      <c r="D26" s="111"/>
      <c r="E26" s="372">
        <f>SUMIFS(STATS!AG:AG, STATS!C:C,"SWS",STATS!J:J,"H")</f>
        <v>0</v>
      </c>
      <c r="F26" s="374"/>
      <c r="G26" s="111"/>
      <c r="H26" s="372">
        <f>SUMIFS(STATS!AG:AG, STATS!C:C,"SWS",STATS!J:J,"L")</f>
        <v>0</v>
      </c>
      <c r="I26" s="374"/>
      <c r="J26" s="111">
        <f t="shared" si="0"/>
        <v>0</v>
      </c>
      <c r="K26" s="355">
        <f t="shared" si="0"/>
        <v>0</v>
      </c>
      <c r="L26" s="355"/>
      <c r="M26" s="416"/>
    </row>
    <row r="27" spans="1:20" x14ac:dyDescent="0.25">
      <c r="A27" s="395" t="s">
        <v>100</v>
      </c>
      <c r="B27" s="395"/>
      <c r="C27" s="396"/>
      <c r="D27" s="93"/>
      <c r="E27" s="393">
        <f>SUMIFS(STATS!AH:AH, STATS!C:C,"SWS",STATS!J:J,"H")</f>
        <v>0</v>
      </c>
      <c r="F27" s="394"/>
      <c r="G27" s="93"/>
      <c r="H27" s="393">
        <f>SUMIFS(STATS!AH:AH, STATS!C:C,"SWS",STATS!J:J,"L")</f>
        <v>0</v>
      </c>
      <c r="I27" s="394"/>
      <c r="J27" s="93">
        <f t="shared" si="0"/>
        <v>0</v>
      </c>
      <c r="K27" s="375">
        <f t="shared" si="0"/>
        <v>0</v>
      </c>
      <c r="L27" s="375"/>
      <c r="M27" s="357"/>
    </row>
    <row r="28" spans="1:20" x14ac:dyDescent="0.25">
      <c r="A28" s="376" t="s">
        <v>99</v>
      </c>
      <c r="B28" s="376"/>
      <c r="C28" s="397"/>
      <c r="D28" s="111"/>
      <c r="E28" s="372">
        <f>SUMIFS(STATS!AI:AI, STATS!C:C,"SWS",STATS!J:J,"H")</f>
        <v>0</v>
      </c>
      <c r="F28" s="374"/>
      <c r="G28" s="111"/>
      <c r="H28" s="372">
        <f>SUMIFS(STATS!AI:AI, STATS!C:C,"SWS",STATS!J:J,"L")</f>
        <v>0</v>
      </c>
      <c r="I28" s="374"/>
      <c r="J28" s="111">
        <f t="shared" si="0"/>
        <v>0</v>
      </c>
      <c r="K28" s="355">
        <f t="shared" si="0"/>
        <v>0</v>
      </c>
      <c r="L28" s="355"/>
      <c r="M28" s="416"/>
    </row>
    <row r="29" spans="1:20" ht="15.75" thickBot="1" x14ac:dyDescent="0.3">
      <c r="A29" s="402" t="s">
        <v>98</v>
      </c>
      <c r="B29" s="403"/>
      <c r="C29" s="403"/>
      <c r="D29" s="94" t="s">
        <v>22</v>
      </c>
      <c r="E29" s="393">
        <f>SUMIFS(STATS!AJ:AJ, STATS!C:C,"SWS",STATS!J:J,"H")</f>
        <v>0</v>
      </c>
      <c r="F29" s="394"/>
      <c r="G29" s="96" t="s">
        <v>22</v>
      </c>
      <c r="H29" s="393">
        <f>SUMIFS(STATS!AJ:AJ, STATS!C:C,"SWS",STATS!J:J,"L")</f>
        <v>0</v>
      </c>
      <c r="I29" s="394"/>
      <c r="J29" s="96" t="s">
        <v>22</v>
      </c>
      <c r="K29" s="375">
        <f t="shared" ref="K29" si="1">SUM(E29,H29)</f>
        <v>0</v>
      </c>
      <c r="L29" s="375"/>
      <c r="M29" s="357"/>
    </row>
    <row r="30" spans="1:20" ht="15.75" thickBot="1" x14ac:dyDescent="0.3">
      <c r="A30" s="400" t="s">
        <v>97</v>
      </c>
      <c r="B30" s="400"/>
      <c r="C30" s="401"/>
      <c r="D30" s="95">
        <f>SUM(D12:D28)</f>
        <v>18</v>
      </c>
      <c r="E30" s="391">
        <f>SUM(E12:F29)</f>
        <v>195.2</v>
      </c>
      <c r="F30" s="392"/>
      <c r="G30" s="97">
        <f>SUM(G12:G28)</f>
        <v>23</v>
      </c>
      <c r="H30" s="391">
        <f>SUM(H12:I29)</f>
        <v>184.24999999999997</v>
      </c>
      <c r="I30" s="392"/>
      <c r="J30" s="97">
        <f>SUM(J12:J28)</f>
        <v>41</v>
      </c>
      <c r="K30" s="391">
        <f>SUM(K12:M29)</f>
        <v>379.45000000000005</v>
      </c>
      <c r="L30" s="391"/>
      <c r="M30" s="392"/>
    </row>
    <row r="31" spans="1:20" ht="8.25" customHeight="1" x14ac:dyDescent="0.25"/>
    <row r="32" spans="1:20" x14ac:dyDescent="0.25">
      <c r="E32" s="390" t="s">
        <v>121</v>
      </c>
      <c r="F32" s="390"/>
      <c r="G32" s="390"/>
      <c r="H32" s="390"/>
      <c r="I32" s="390"/>
      <c r="J32" s="113">
        <f>COUNTIFS(STATS!C:C,"OTHER",STATS!D:D,"SWS")</f>
        <v>0</v>
      </c>
      <c r="K32" s="355">
        <f>STATS!U4-K12</f>
        <v>2256.6</v>
      </c>
      <c r="L32" s="355"/>
      <c r="M32" s="355"/>
    </row>
    <row r="33" spans="5:13" x14ac:dyDescent="0.25">
      <c r="E33" s="361" t="s">
        <v>153</v>
      </c>
      <c r="F33" s="361"/>
      <c r="G33" s="361"/>
      <c r="H33" s="361"/>
      <c r="I33" s="361"/>
      <c r="J33" s="98">
        <f>STATS!AM4</f>
        <v>9</v>
      </c>
      <c r="K33" s="389" t="s">
        <v>154</v>
      </c>
      <c r="L33" s="361"/>
      <c r="M33" s="361"/>
    </row>
    <row r="34" spans="5:13" x14ac:dyDescent="0.25">
      <c r="E34" s="355" t="s">
        <v>94</v>
      </c>
      <c r="F34" s="355"/>
      <c r="G34" s="355"/>
      <c r="H34" s="355"/>
      <c r="I34" s="355"/>
      <c r="J34" s="113">
        <f>RURALASSIST!AC4</f>
        <v>4</v>
      </c>
      <c r="K34" s="355">
        <f>SUMIF(RURALASSIST!AC:AC,"X",RURALASSIST!M:M)</f>
        <v>391</v>
      </c>
      <c r="L34" s="355"/>
      <c r="M34" s="355"/>
    </row>
    <row r="35" spans="5:13" x14ac:dyDescent="0.25">
      <c r="E35" s="361" t="s">
        <v>162</v>
      </c>
      <c r="F35" s="361"/>
      <c r="G35" s="361"/>
      <c r="H35" s="361"/>
      <c r="I35" s="361"/>
      <c r="J35" s="98">
        <f>COUNTIFS(FALSEALARMS!C:C,"SWS")</f>
        <v>3</v>
      </c>
      <c r="K35" s="389" t="s">
        <v>154</v>
      </c>
      <c r="L35" s="361"/>
      <c r="M35" s="361"/>
    </row>
    <row r="36" spans="5:13" x14ac:dyDescent="0.25">
      <c r="E36" s="355" t="s">
        <v>205</v>
      </c>
      <c r="F36" s="355"/>
      <c r="G36" s="355"/>
      <c r="H36" s="355"/>
      <c r="I36" s="355"/>
      <c r="J36" s="113">
        <f>COUNTIFS(NONSTAT!C:C,"SWS")</f>
        <v>6</v>
      </c>
      <c r="K36" s="356" t="s">
        <v>154</v>
      </c>
      <c r="L36" s="355"/>
      <c r="M36" s="355"/>
    </row>
  </sheetData>
  <mergeCells count="162">
    <mergeCell ref="O2:T2"/>
    <mergeCell ref="A3:B3"/>
    <mergeCell ref="C3:D3"/>
    <mergeCell ref="E3:F3"/>
    <mergeCell ref="H3:I3"/>
    <mergeCell ref="J3:K3"/>
    <mergeCell ref="L3:M3"/>
    <mergeCell ref="A4:B4"/>
    <mergeCell ref="C4:D4"/>
    <mergeCell ref="E4:F4"/>
    <mergeCell ref="H4:I4"/>
    <mergeCell ref="J4:K4"/>
    <mergeCell ref="L4:M4"/>
    <mergeCell ref="O4:P4"/>
    <mergeCell ref="Q4:R4"/>
    <mergeCell ref="S4:T4"/>
    <mergeCell ref="O3:P3"/>
    <mergeCell ref="Q3:R3"/>
    <mergeCell ref="S3:T3"/>
    <mergeCell ref="A11:C11"/>
    <mergeCell ref="E11:F11"/>
    <mergeCell ref="H11:I11"/>
    <mergeCell ref="K11:M11"/>
    <mergeCell ref="A12:C12"/>
    <mergeCell ref="E12:F12"/>
    <mergeCell ref="H12:I12"/>
    <mergeCell ref="K12:M12"/>
    <mergeCell ref="A1:H1"/>
    <mergeCell ref="A2:F2"/>
    <mergeCell ref="H2:M2"/>
    <mergeCell ref="A6:B6"/>
    <mergeCell ref="C6:D6"/>
    <mergeCell ref="E6:F6"/>
    <mergeCell ref="H6:I6"/>
    <mergeCell ref="J6:K6"/>
    <mergeCell ref="L6:M6"/>
    <mergeCell ref="A5:B5"/>
    <mergeCell ref="C5:D5"/>
    <mergeCell ref="E5:F5"/>
    <mergeCell ref="H5:I5"/>
    <mergeCell ref="J5:K5"/>
    <mergeCell ref="L5:M5"/>
    <mergeCell ref="A8:M8"/>
    <mergeCell ref="E15:F15"/>
    <mergeCell ref="H15:I15"/>
    <mergeCell ref="K15:M15"/>
    <mergeCell ref="A16:C16"/>
    <mergeCell ref="E16:F16"/>
    <mergeCell ref="H16:I16"/>
    <mergeCell ref="K16:M16"/>
    <mergeCell ref="A13:C13"/>
    <mergeCell ref="E13:F13"/>
    <mergeCell ref="H13:I13"/>
    <mergeCell ref="K13:M13"/>
    <mergeCell ref="A14:C14"/>
    <mergeCell ref="E14:F14"/>
    <mergeCell ref="H14:I14"/>
    <mergeCell ref="K14:M14"/>
    <mergeCell ref="A21:C21"/>
    <mergeCell ref="E21:F21"/>
    <mergeCell ref="H21:I21"/>
    <mergeCell ref="K21:M21"/>
    <mergeCell ref="A22:C22"/>
    <mergeCell ref="E22:F22"/>
    <mergeCell ref="H22:I22"/>
    <mergeCell ref="K22:M22"/>
    <mergeCell ref="A19:C19"/>
    <mergeCell ref="E19:F19"/>
    <mergeCell ref="H19:I19"/>
    <mergeCell ref="K19:M19"/>
    <mergeCell ref="A20:C20"/>
    <mergeCell ref="E20:F20"/>
    <mergeCell ref="H20:I20"/>
    <mergeCell ref="K20:M20"/>
    <mergeCell ref="A25:C25"/>
    <mergeCell ref="E25:F25"/>
    <mergeCell ref="H25:I25"/>
    <mergeCell ref="K25:M25"/>
    <mergeCell ref="A26:C26"/>
    <mergeCell ref="E26:F26"/>
    <mergeCell ref="H26:I26"/>
    <mergeCell ref="K26:M26"/>
    <mergeCell ref="A23:C23"/>
    <mergeCell ref="E23:F23"/>
    <mergeCell ref="H23:I23"/>
    <mergeCell ref="K23:M23"/>
    <mergeCell ref="A24:C24"/>
    <mergeCell ref="E24:F24"/>
    <mergeCell ref="H24:I24"/>
    <mergeCell ref="K24:M24"/>
    <mergeCell ref="A29:C29"/>
    <mergeCell ref="E29:F29"/>
    <mergeCell ref="H29:I29"/>
    <mergeCell ref="K29:M29"/>
    <mergeCell ref="A30:C30"/>
    <mergeCell ref="E30:F30"/>
    <mergeCell ref="H30:I30"/>
    <mergeCell ref="K30:M30"/>
    <mergeCell ref="A27:C27"/>
    <mergeCell ref="E27:F27"/>
    <mergeCell ref="H27:I27"/>
    <mergeCell ref="K27:M27"/>
    <mergeCell ref="A28:C28"/>
    <mergeCell ref="E28:F28"/>
    <mergeCell ref="H28:I28"/>
    <mergeCell ref="K28:M28"/>
    <mergeCell ref="A9:M9"/>
    <mergeCell ref="A10:C10"/>
    <mergeCell ref="D10:F10"/>
    <mergeCell ref="G10:I10"/>
    <mergeCell ref="J10:M10"/>
    <mergeCell ref="O19:P19"/>
    <mergeCell ref="O10:T10"/>
    <mergeCell ref="O11:R12"/>
    <mergeCell ref="S11:T12"/>
    <mergeCell ref="O13:R13"/>
    <mergeCell ref="S13:T13"/>
    <mergeCell ref="O14:R14"/>
    <mergeCell ref="O15:R15"/>
    <mergeCell ref="O17:T18"/>
    <mergeCell ref="A17:C17"/>
    <mergeCell ref="E17:F17"/>
    <mergeCell ref="H17:I17"/>
    <mergeCell ref="K17:M17"/>
    <mergeCell ref="A18:C18"/>
    <mergeCell ref="E18:F18"/>
    <mergeCell ref="H18:I18"/>
    <mergeCell ref="K18:M18"/>
    <mergeCell ref="A15:C15"/>
    <mergeCell ref="R19:S19"/>
    <mergeCell ref="S15:T15"/>
    <mergeCell ref="O8:P8"/>
    <mergeCell ref="Q8:R8"/>
    <mergeCell ref="S8:T8"/>
    <mergeCell ref="S14:T14"/>
    <mergeCell ref="O5:P5"/>
    <mergeCell ref="Q5:R5"/>
    <mergeCell ref="S5:T5"/>
    <mergeCell ref="O6:P6"/>
    <mergeCell ref="Q6:R6"/>
    <mergeCell ref="S6:T6"/>
    <mergeCell ref="O7:P7"/>
    <mergeCell ref="Q7:R7"/>
    <mergeCell ref="S7:T7"/>
    <mergeCell ref="E36:I36"/>
    <mergeCell ref="K36:M36"/>
    <mergeCell ref="O20:P20"/>
    <mergeCell ref="R20:S20"/>
    <mergeCell ref="O21:P21"/>
    <mergeCell ref="R21:S21"/>
    <mergeCell ref="O22:P22"/>
    <mergeCell ref="R22:S22"/>
    <mergeCell ref="O23:P23"/>
    <mergeCell ref="R23:S23"/>
    <mergeCell ref="E35:I35"/>
    <mergeCell ref="K35:M35"/>
    <mergeCell ref="E32:I32"/>
    <mergeCell ref="K32:M32"/>
    <mergeCell ref="E33:I33"/>
    <mergeCell ref="K33:M33"/>
    <mergeCell ref="E34:I34"/>
    <mergeCell ref="K34:M34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AD464"/>
  <sheetViews>
    <sheetView zoomScale="90" zoomScaleNormal="9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W19" sqref="W19"/>
    </sheetView>
  </sheetViews>
  <sheetFormatPr defaultColWidth="8.5703125" defaultRowHeight="15" customHeight="1" x14ac:dyDescent="0.25"/>
  <cols>
    <col min="1" max="3" width="7.7109375" style="49" customWidth="1"/>
    <col min="4" max="4" width="7.7109375" style="50" customWidth="1"/>
    <col min="5" max="5" width="35.42578125" style="49" customWidth="1"/>
    <col min="6" max="6" width="20.85546875" style="49" customWidth="1"/>
    <col min="7" max="7" width="6.7109375" style="49" customWidth="1"/>
    <col min="8" max="8" width="9" style="49" customWidth="1"/>
    <col min="9" max="9" width="7.7109375" style="49" customWidth="1"/>
    <col min="10" max="10" width="8.42578125" style="49" customWidth="1"/>
    <col min="11" max="11" width="8.28515625" style="49" customWidth="1"/>
    <col min="12" max="12" width="9.140625" style="49" customWidth="1"/>
    <col min="13" max="14" width="8.5703125" style="2"/>
    <col min="15" max="15" width="8.5703125" style="49"/>
    <col min="16" max="16384" width="8.5703125" style="2"/>
  </cols>
  <sheetData>
    <row r="1" spans="1:29" ht="15" customHeight="1" x14ac:dyDescent="0.25">
      <c r="A1" s="424" t="s">
        <v>209</v>
      </c>
      <c r="B1" s="424"/>
      <c r="C1" s="424"/>
      <c r="D1" s="424"/>
      <c r="E1" s="424"/>
      <c r="F1" s="424"/>
      <c r="G1" s="424"/>
      <c r="H1" s="424"/>
      <c r="I1" s="424"/>
      <c r="J1" s="424"/>
      <c r="K1" s="424"/>
      <c r="L1" s="424"/>
      <c r="M1" s="424"/>
      <c r="N1" s="214"/>
      <c r="O1" s="215"/>
      <c r="P1" s="214"/>
    </row>
    <row r="2" spans="1:29" ht="16.5" customHeight="1" x14ac:dyDescent="0.25">
      <c r="A2" s="344" t="s">
        <v>0</v>
      </c>
      <c r="B2" s="344" t="s">
        <v>8</v>
      </c>
      <c r="C2" s="335" t="s">
        <v>11</v>
      </c>
      <c r="D2" s="353" t="s">
        <v>1</v>
      </c>
      <c r="E2" s="344" t="s">
        <v>6</v>
      </c>
      <c r="F2" s="344" t="s">
        <v>33</v>
      </c>
      <c r="G2" s="344" t="s">
        <v>10</v>
      </c>
      <c r="H2" s="349" t="s">
        <v>7</v>
      </c>
      <c r="I2" s="349"/>
      <c r="J2" s="349"/>
      <c r="K2" s="349"/>
      <c r="L2" s="349"/>
      <c r="M2" s="350" t="s">
        <v>2</v>
      </c>
      <c r="N2" s="351"/>
      <c r="O2" s="351"/>
      <c r="P2" s="351"/>
      <c r="Q2" s="351"/>
      <c r="R2" s="351"/>
      <c r="S2" s="351"/>
      <c r="T2" s="351"/>
      <c r="U2" s="351"/>
      <c r="V2" s="351"/>
      <c r="W2" s="351"/>
      <c r="X2" s="351"/>
      <c r="Y2" s="351"/>
      <c r="Z2" s="351"/>
      <c r="AA2" s="351"/>
      <c r="AB2" s="351"/>
      <c r="AC2" s="352"/>
    </row>
    <row r="3" spans="1:29" s="3" customFormat="1" ht="29.25" customHeight="1" x14ac:dyDescent="0.25">
      <c r="A3" s="345"/>
      <c r="B3" s="345"/>
      <c r="C3" s="336"/>
      <c r="D3" s="354"/>
      <c r="E3" s="345"/>
      <c r="F3" s="345"/>
      <c r="G3" s="345"/>
      <c r="H3" s="54" t="s">
        <v>9</v>
      </c>
      <c r="I3" s="54" t="s">
        <v>15</v>
      </c>
      <c r="J3" s="54" t="s">
        <v>16</v>
      </c>
      <c r="K3" s="54" t="s">
        <v>17</v>
      </c>
      <c r="L3" s="54" t="s">
        <v>18</v>
      </c>
      <c r="M3" s="15" t="s">
        <v>4</v>
      </c>
      <c r="N3" s="42" t="s">
        <v>25</v>
      </c>
      <c r="O3" s="54" t="s">
        <v>620</v>
      </c>
      <c r="P3" s="42" t="s">
        <v>28</v>
      </c>
      <c r="Q3" s="9" t="s">
        <v>80</v>
      </c>
      <c r="R3" s="42" t="s">
        <v>81</v>
      </c>
      <c r="S3" s="9" t="s">
        <v>83</v>
      </c>
      <c r="T3" s="42" t="s">
        <v>77</v>
      </c>
      <c r="U3" s="9" t="s">
        <v>84</v>
      </c>
      <c r="V3" s="42" t="s">
        <v>78</v>
      </c>
      <c r="W3" s="9" t="s">
        <v>79</v>
      </c>
      <c r="X3" s="42" t="s">
        <v>85</v>
      </c>
      <c r="Y3" s="9" t="s">
        <v>76</v>
      </c>
      <c r="Z3" s="42" t="s">
        <v>82</v>
      </c>
      <c r="AA3" s="54" t="s">
        <v>88</v>
      </c>
      <c r="AB3" s="54" t="s">
        <v>89</v>
      </c>
      <c r="AC3" s="54" t="s">
        <v>90</v>
      </c>
    </row>
    <row r="4" spans="1:29" s="3" customFormat="1" ht="15" customHeight="1" x14ac:dyDescent="0.25">
      <c r="A4" s="423"/>
      <c r="B4" s="347"/>
      <c r="C4" s="347"/>
      <c r="D4" s="347"/>
      <c r="E4" s="347"/>
      <c r="F4" s="347"/>
      <c r="G4" s="347"/>
      <c r="H4" s="347"/>
      <c r="I4" s="347"/>
      <c r="J4" s="347"/>
      <c r="K4" s="347"/>
      <c r="L4" s="348"/>
      <c r="M4" s="15">
        <f>SUM(M5:M263)</f>
        <v>2746.6</v>
      </c>
      <c r="N4" s="15">
        <f t="shared" ref="N4:P4" si="0">SUM(N5:N263)</f>
        <v>1559.3000000000002</v>
      </c>
      <c r="O4" s="15">
        <f t="shared" si="0"/>
        <v>0</v>
      </c>
      <c r="P4" s="15">
        <f t="shared" si="0"/>
        <v>0.7</v>
      </c>
      <c r="Q4" s="15">
        <f t="shared" ref="Q4:Z4" si="1">SUM(Q5:Q263)</f>
        <v>342.5</v>
      </c>
      <c r="R4" s="15">
        <f t="shared" si="1"/>
        <v>0</v>
      </c>
      <c r="S4" s="15">
        <f t="shared" si="1"/>
        <v>129.30000000000001</v>
      </c>
      <c r="T4" s="15">
        <f t="shared" si="1"/>
        <v>0</v>
      </c>
      <c r="U4" s="15">
        <f t="shared" si="1"/>
        <v>212.79999999999998</v>
      </c>
      <c r="V4" s="15">
        <f t="shared" si="1"/>
        <v>257</v>
      </c>
      <c r="W4" s="15">
        <f t="shared" si="1"/>
        <v>50</v>
      </c>
      <c r="X4" s="15">
        <f t="shared" si="1"/>
        <v>72</v>
      </c>
      <c r="Y4" s="15">
        <f t="shared" si="1"/>
        <v>123</v>
      </c>
      <c r="Z4" s="15">
        <f t="shared" si="1"/>
        <v>0</v>
      </c>
      <c r="AA4" s="15">
        <f>SUMPRODUCT(LEN(AA5:AA263))</f>
        <v>15</v>
      </c>
      <c r="AB4" s="15">
        <f t="shared" ref="AB4:AC4" si="2">SUMPRODUCT(LEN(AB5:AB263))</f>
        <v>4</v>
      </c>
      <c r="AC4" s="15">
        <f t="shared" si="2"/>
        <v>4</v>
      </c>
    </row>
    <row r="5" spans="1:29" ht="15" customHeight="1" x14ac:dyDescent="0.25">
      <c r="A5" s="46">
        <v>45801</v>
      </c>
      <c r="B5" s="46" t="s">
        <v>442</v>
      </c>
      <c r="C5" s="21" t="s">
        <v>78</v>
      </c>
      <c r="D5" s="47">
        <v>339</v>
      </c>
      <c r="E5" s="21" t="s">
        <v>440</v>
      </c>
      <c r="F5" s="21" t="s">
        <v>441</v>
      </c>
      <c r="G5" s="21" t="s">
        <v>229</v>
      </c>
      <c r="H5" s="21" t="s">
        <v>443</v>
      </c>
      <c r="I5" s="21" t="s">
        <v>444</v>
      </c>
      <c r="J5" s="21" t="s">
        <v>445</v>
      </c>
      <c r="K5" s="21">
        <v>536202</v>
      </c>
      <c r="L5" s="21">
        <v>4800272</v>
      </c>
      <c r="M5" s="91">
        <f>SUM(N5:Z5)</f>
        <v>257</v>
      </c>
      <c r="N5" s="20"/>
      <c r="O5" s="21"/>
      <c r="P5" s="20"/>
      <c r="Q5" s="4"/>
      <c r="R5" s="20"/>
      <c r="S5" s="4"/>
      <c r="T5" s="20"/>
      <c r="U5" s="4"/>
      <c r="V5" s="20">
        <v>257</v>
      </c>
      <c r="W5" s="4"/>
      <c r="X5" s="20"/>
      <c r="Y5" s="4"/>
      <c r="Z5" s="20"/>
      <c r="AA5" s="21" t="s">
        <v>218</v>
      </c>
      <c r="AB5" s="21"/>
      <c r="AC5" s="36"/>
    </row>
    <row r="6" spans="1:29" ht="15" customHeight="1" x14ac:dyDescent="0.25">
      <c r="A6" s="46">
        <v>45806</v>
      </c>
      <c r="B6" s="46" t="s">
        <v>466</v>
      </c>
      <c r="C6" s="21" t="s">
        <v>83</v>
      </c>
      <c r="D6" s="47">
        <v>361</v>
      </c>
      <c r="E6" s="21" t="s">
        <v>523</v>
      </c>
      <c r="F6" s="21" t="s">
        <v>502</v>
      </c>
      <c r="G6" s="21" t="s">
        <v>229</v>
      </c>
      <c r="H6" s="21" t="s">
        <v>467</v>
      </c>
      <c r="I6" s="21" t="s">
        <v>468</v>
      </c>
      <c r="J6" s="21" t="s">
        <v>469</v>
      </c>
      <c r="K6" s="21">
        <v>510113</v>
      </c>
      <c r="L6" s="21">
        <v>4860136</v>
      </c>
      <c r="M6" s="91">
        <f t="shared" ref="M6:M69" si="3">SUM(N6:Z6)</f>
        <v>1199.1999999999998</v>
      </c>
      <c r="N6" s="20">
        <v>1191.5999999999999</v>
      </c>
      <c r="O6" s="21"/>
      <c r="P6" s="20"/>
      <c r="Q6" s="4"/>
      <c r="R6" s="20"/>
      <c r="S6" s="4">
        <v>7.6</v>
      </c>
      <c r="T6" s="20"/>
      <c r="U6" s="4"/>
      <c r="V6" s="20"/>
      <c r="W6" s="4"/>
      <c r="X6" s="20"/>
      <c r="Y6" s="4"/>
      <c r="Z6" s="20"/>
      <c r="AA6" s="21" t="s">
        <v>218</v>
      </c>
      <c r="AB6" s="21"/>
      <c r="AC6" s="36"/>
    </row>
    <row r="7" spans="1:29" ht="15" customHeight="1" x14ac:dyDescent="0.25">
      <c r="A7" s="46">
        <v>45810</v>
      </c>
      <c r="B7" s="46" t="s">
        <v>499</v>
      </c>
      <c r="C7" s="21" t="s">
        <v>76</v>
      </c>
      <c r="D7" s="47">
        <v>384</v>
      </c>
      <c r="E7" s="21" t="s">
        <v>500</v>
      </c>
      <c r="F7" s="21" t="s">
        <v>501</v>
      </c>
      <c r="G7" s="21" t="s">
        <v>229</v>
      </c>
      <c r="H7" s="21" t="s">
        <v>503</v>
      </c>
      <c r="I7" s="21" t="s">
        <v>504</v>
      </c>
      <c r="J7" s="21" t="s">
        <v>505</v>
      </c>
      <c r="K7" s="21">
        <v>602831</v>
      </c>
      <c r="L7" s="21">
        <v>4770261</v>
      </c>
      <c r="M7" s="91">
        <f t="shared" si="3"/>
        <v>123</v>
      </c>
      <c r="N7" s="20"/>
      <c r="O7" s="21"/>
      <c r="P7" s="20"/>
      <c r="Q7" s="4"/>
      <c r="R7" s="20"/>
      <c r="S7" s="4"/>
      <c r="T7" s="20"/>
      <c r="U7" s="4"/>
      <c r="V7" s="20"/>
      <c r="W7" s="4"/>
      <c r="X7" s="20"/>
      <c r="Y7" s="4">
        <v>123</v>
      </c>
      <c r="Z7" s="20"/>
      <c r="AA7" s="21" t="s">
        <v>218</v>
      </c>
      <c r="AB7" s="21" t="s">
        <v>218</v>
      </c>
      <c r="AC7" s="36"/>
    </row>
    <row r="8" spans="1:29" ht="15" customHeight="1" x14ac:dyDescent="0.25">
      <c r="A8" s="46">
        <v>45813</v>
      </c>
      <c r="B8" s="46" t="s">
        <v>528</v>
      </c>
      <c r="C8" s="21" t="s">
        <v>83</v>
      </c>
      <c r="D8" s="47">
        <v>403</v>
      </c>
      <c r="E8" s="21" t="s">
        <v>522</v>
      </c>
      <c r="F8" s="21" t="s">
        <v>525</v>
      </c>
      <c r="G8" s="21" t="s">
        <v>229</v>
      </c>
      <c r="H8" s="21" t="s">
        <v>524</v>
      </c>
      <c r="I8" s="21" t="s">
        <v>526</v>
      </c>
      <c r="J8" s="21" t="s">
        <v>527</v>
      </c>
      <c r="K8" s="21">
        <v>518390</v>
      </c>
      <c r="L8" s="21">
        <v>4856195</v>
      </c>
      <c r="M8" s="91">
        <f t="shared" si="3"/>
        <v>44</v>
      </c>
      <c r="N8" s="20"/>
      <c r="O8" s="21"/>
      <c r="P8" s="20"/>
      <c r="Q8" s="4"/>
      <c r="R8" s="20"/>
      <c r="S8" s="4">
        <v>44</v>
      </c>
      <c r="T8" s="20"/>
      <c r="U8" s="4"/>
      <c r="V8" s="20"/>
      <c r="W8" s="4"/>
      <c r="X8" s="20"/>
      <c r="Y8" s="4"/>
      <c r="Z8" s="20"/>
      <c r="AA8" s="21" t="s">
        <v>218</v>
      </c>
      <c r="AB8" s="21"/>
      <c r="AC8" s="36"/>
    </row>
    <row r="9" spans="1:29" ht="15" customHeight="1" x14ac:dyDescent="0.25">
      <c r="A9" s="46">
        <v>45823</v>
      </c>
      <c r="B9" s="46" t="s">
        <v>625</v>
      </c>
      <c r="C9" s="202" t="s">
        <v>83</v>
      </c>
      <c r="D9" s="47">
        <v>463</v>
      </c>
      <c r="E9" s="21" t="s">
        <v>641</v>
      </c>
      <c r="F9" s="21" t="s">
        <v>525</v>
      </c>
      <c r="G9" s="21" t="s">
        <v>229</v>
      </c>
      <c r="H9" s="21" t="s">
        <v>626</v>
      </c>
      <c r="I9" s="21" t="s">
        <v>627</v>
      </c>
      <c r="J9" s="21" t="s">
        <v>628</v>
      </c>
      <c r="K9" s="91"/>
      <c r="L9" s="91"/>
      <c r="M9" s="91">
        <f t="shared" si="3"/>
        <v>5</v>
      </c>
      <c r="N9" s="20"/>
      <c r="O9" s="21"/>
      <c r="P9" s="20"/>
      <c r="Q9" s="4"/>
      <c r="R9" s="20"/>
      <c r="S9" s="4">
        <v>5</v>
      </c>
      <c r="T9" s="20"/>
      <c r="U9" s="4"/>
      <c r="V9" s="20"/>
      <c r="W9" s="4"/>
      <c r="X9" s="20"/>
      <c r="Y9" s="4"/>
      <c r="Z9" s="20"/>
      <c r="AA9" s="21" t="s">
        <v>218</v>
      </c>
      <c r="AB9" s="21"/>
      <c r="AC9" s="36"/>
    </row>
    <row r="10" spans="1:29" ht="15" customHeight="1" x14ac:dyDescent="0.25">
      <c r="A10" s="46">
        <v>45824</v>
      </c>
      <c r="B10" s="46" t="s">
        <v>640</v>
      </c>
      <c r="C10" s="21" t="s">
        <v>80</v>
      </c>
      <c r="D10" s="47">
        <v>471</v>
      </c>
      <c r="E10" s="21" t="s">
        <v>642</v>
      </c>
      <c r="F10" s="21" t="s">
        <v>646</v>
      </c>
      <c r="G10" s="21" t="s">
        <v>229</v>
      </c>
      <c r="H10" s="21" t="s">
        <v>643</v>
      </c>
      <c r="I10" s="203" t="s">
        <v>644</v>
      </c>
      <c r="J10" s="21" t="s">
        <v>645</v>
      </c>
      <c r="K10" s="4">
        <v>543547</v>
      </c>
      <c r="L10" s="4">
        <v>4844019</v>
      </c>
      <c r="M10" s="91">
        <f t="shared" si="3"/>
        <v>63.7</v>
      </c>
      <c r="N10" s="20">
        <v>51.4</v>
      </c>
      <c r="O10" s="21"/>
      <c r="P10" s="20"/>
      <c r="Q10" s="4">
        <v>12.3</v>
      </c>
      <c r="R10" s="20"/>
      <c r="S10" s="4"/>
      <c r="T10" s="20"/>
      <c r="U10" s="4"/>
      <c r="V10" s="20"/>
      <c r="W10" s="4"/>
      <c r="X10" s="20"/>
      <c r="Y10" s="4"/>
      <c r="Z10" s="20"/>
      <c r="AA10" s="21" t="s">
        <v>218</v>
      </c>
      <c r="AB10" s="21"/>
      <c r="AC10" s="36"/>
    </row>
    <row r="11" spans="1:29" ht="15" customHeight="1" x14ac:dyDescent="0.25">
      <c r="A11" s="46">
        <v>45840</v>
      </c>
      <c r="B11" s="46" t="s">
        <v>878</v>
      </c>
      <c r="C11" s="21" t="s">
        <v>83</v>
      </c>
      <c r="D11" s="47">
        <v>658</v>
      </c>
      <c r="E11" s="21" t="s">
        <v>879</v>
      </c>
      <c r="F11" s="21" t="s">
        <v>883</v>
      </c>
      <c r="G11" s="21" t="s">
        <v>229</v>
      </c>
      <c r="H11" s="21" t="s">
        <v>880</v>
      </c>
      <c r="I11" s="21" t="s">
        <v>881</v>
      </c>
      <c r="J11" s="21" t="s">
        <v>882</v>
      </c>
      <c r="K11" s="4">
        <v>519668</v>
      </c>
      <c r="L11" s="4">
        <v>4859569</v>
      </c>
      <c r="M11" s="91">
        <f t="shared" si="3"/>
        <v>108.7</v>
      </c>
      <c r="N11" s="20">
        <v>99.4</v>
      </c>
      <c r="O11" s="21"/>
      <c r="P11" s="20"/>
      <c r="Q11" s="4"/>
      <c r="R11" s="20"/>
      <c r="S11" s="4">
        <v>9.3000000000000007</v>
      </c>
      <c r="T11" s="20"/>
      <c r="U11" s="4"/>
      <c r="V11" s="20"/>
      <c r="W11" s="4"/>
      <c r="X11" s="20"/>
      <c r="Y11" s="4"/>
      <c r="Z11" s="20"/>
      <c r="AA11" s="21" t="s">
        <v>218</v>
      </c>
      <c r="AB11" s="21"/>
      <c r="AC11" s="36" t="s">
        <v>218</v>
      </c>
    </row>
    <row r="12" spans="1:29" ht="15" customHeight="1" x14ac:dyDescent="0.25">
      <c r="A12" s="46">
        <v>45857</v>
      </c>
      <c r="B12" s="46" t="s">
        <v>1084</v>
      </c>
      <c r="C12" s="21" t="s">
        <v>80</v>
      </c>
      <c r="D12" s="47">
        <v>802</v>
      </c>
      <c r="E12" s="21" t="s">
        <v>1085</v>
      </c>
      <c r="F12" s="21" t="s">
        <v>1086</v>
      </c>
      <c r="G12" s="21" t="s">
        <v>229</v>
      </c>
      <c r="H12" s="21" t="s">
        <v>1087</v>
      </c>
      <c r="I12" s="21" t="s">
        <v>657</v>
      </c>
      <c r="J12" s="21" t="s">
        <v>1088</v>
      </c>
      <c r="K12" s="91"/>
      <c r="L12" s="91"/>
      <c r="M12" s="91">
        <f t="shared" si="3"/>
        <v>5</v>
      </c>
      <c r="N12" s="20"/>
      <c r="O12" s="21"/>
      <c r="P12" s="20"/>
      <c r="Q12" s="4">
        <v>5</v>
      </c>
      <c r="R12" s="20"/>
      <c r="S12" s="4"/>
      <c r="T12" s="20"/>
      <c r="U12" s="4"/>
      <c r="V12" s="20"/>
      <c r="W12" s="4"/>
      <c r="X12" s="20"/>
      <c r="Y12" s="4"/>
      <c r="Z12" s="20"/>
      <c r="AA12" s="21" t="s">
        <v>218</v>
      </c>
      <c r="AB12" s="21" t="s">
        <v>218</v>
      </c>
      <c r="AC12" s="36" t="s">
        <v>218</v>
      </c>
    </row>
    <row r="13" spans="1:29" ht="15" customHeight="1" x14ac:dyDescent="0.25">
      <c r="A13" s="46">
        <v>45860</v>
      </c>
      <c r="B13" s="46" t="s">
        <v>1110</v>
      </c>
      <c r="C13" s="21" t="s">
        <v>84</v>
      </c>
      <c r="D13" s="47">
        <v>817</v>
      </c>
      <c r="E13" s="21" t="s">
        <v>1108</v>
      </c>
      <c r="F13" s="21" t="s">
        <v>1109</v>
      </c>
      <c r="G13" s="21" t="s">
        <v>229</v>
      </c>
      <c r="H13" s="21" t="s">
        <v>1111</v>
      </c>
      <c r="I13" s="21" t="s">
        <v>1112</v>
      </c>
      <c r="J13" s="21" t="s">
        <v>1113</v>
      </c>
      <c r="K13" s="91"/>
      <c r="L13" s="91"/>
      <c r="M13" s="91">
        <f t="shared" si="3"/>
        <v>64.900000000000006</v>
      </c>
      <c r="N13" s="20">
        <v>32.799999999999997</v>
      </c>
      <c r="O13" s="21"/>
      <c r="P13" s="20"/>
      <c r="Q13" s="4"/>
      <c r="R13" s="20"/>
      <c r="S13" s="4"/>
      <c r="T13" s="20"/>
      <c r="U13" s="4">
        <v>32.1</v>
      </c>
      <c r="V13" s="20"/>
      <c r="W13" s="4"/>
      <c r="X13" s="20"/>
      <c r="Y13" s="4"/>
      <c r="Z13" s="20"/>
      <c r="AA13" s="21" t="s">
        <v>218</v>
      </c>
      <c r="AB13" s="21" t="s">
        <v>218</v>
      </c>
      <c r="AC13" s="36"/>
    </row>
    <row r="14" spans="1:29" ht="15" customHeight="1" x14ac:dyDescent="0.25">
      <c r="A14" s="46">
        <v>45864</v>
      </c>
      <c r="B14" s="46" t="s">
        <v>1122</v>
      </c>
      <c r="C14" s="21" t="s">
        <v>83</v>
      </c>
      <c r="D14" s="47">
        <v>838</v>
      </c>
      <c r="E14" s="21" t="s">
        <v>1116</v>
      </c>
      <c r="F14" s="21" t="s">
        <v>1117</v>
      </c>
      <c r="G14" s="21" t="s">
        <v>229</v>
      </c>
      <c r="H14" s="21" t="s">
        <v>1118</v>
      </c>
      <c r="I14" s="21" t="s">
        <v>1123</v>
      </c>
      <c r="J14" s="21" t="s">
        <v>1124</v>
      </c>
      <c r="K14" s="4">
        <v>509038</v>
      </c>
      <c r="L14" s="4">
        <v>4853216</v>
      </c>
      <c r="M14" s="91">
        <f t="shared" si="3"/>
        <v>227.3</v>
      </c>
      <c r="N14" s="20">
        <v>163.9</v>
      </c>
      <c r="O14" s="21"/>
      <c r="P14" s="20"/>
      <c r="Q14" s="4"/>
      <c r="R14" s="20"/>
      <c r="S14" s="4">
        <v>63.4</v>
      </c>
      <c r="T14" s="20"/>
      <c r="U14" s="4"/>
      <c r="V14" s="20"/>
      <c r="W14" s="4"/>
      <c r="X14" s="20"/>
      <c r="Y14" s="4"/>
      <c r="Z14" s="20"/>
      <c r="AA14" s="21" t="s">
        <v>218</v>
      </c>
      <c r="AB14" s="21"/>
      <c r="AC14" s="36" t="s">
        <v>218</v>
      </c>
    </row>
    <row r="15" spans="1:29" ht="15" customHeight="1" x14ac:dyDescent="0.25">
      <c r="A15" s="46">
        <v>45884</v>
      </c>
      <c r="B15" s="46" t="s">
        <v>1583</v>
      </c>
      <c r="C15" s="21" t="s">
        <v>80</v>
      </c>
      <c r="D15" s="47">
        <v>1016</v>
      </c>
      <c r="E15" s="21" t="s">
        <v>1578</v>
      </c>
      <c r="F15" s="21" t="s">
        <v>1579</v>
      </c>
      <c r="G15" s="21" t="s">
        <v>229</v>
      </c>
      <c r="H15" s="21" t="s">
        <v>1580</v>
      </c>
      <c r="I15" s="21" t="s">
        <v>1581</v>
      </c>
      <c r="J15" s="21" t="s">
        <v>1582</v>
      </c>
      <c r="K15" s="4">
        <v>574724</v>
      </c>
      <c r="L15" s="4">
        <v>4819130</v>
      </c>
      <c r="M15" s="91">
        <f t="shared" si="3"/>
        <v>5</v>
      </c>
      <c r="N15" s="20"/>
      <c r="O15" s="21"/>
      <c r="P15" s="20"/>
      <c r="Q15" s="4">
        <v>5</v>
      </c>
      <c r="R15" s="20"/>
      <c r="S15" s="4"/>
      <c r="T15" s="20"/>
      <c r="U15" s="4"/>
      <c r="V15" s="20"/>
      <c r="W15" s="4"/>
      <c r="X15" s="20"/>
      <c r="Y15" s="4"/>
      <c r="Z15" s="20"/>
      <c r="AA15" s="21" t="s">
        <v>218</v>
      </c>
      <c r="AB15" s="21"/>
      <c r="AC15" s="36"/>
    </row>
    <row r="16" spans="1:29" ht="15" customHeight="1" x14ac:dyDescent="0.25">
      <c r="A16" s="46">
        <v>45887</v>
      </c>
      <c r="B16" s="46" t="s">
        <v>1617</v>
      </c>
      <c r="C16" s="21" t="s">
        <v>80</v>
      </c>
      <c r="D16" s="47">
        <v>1030</v>
      </c>
      <c r="E16" s="21" t="s">
        <v>1616</v>
      </c>
      <c r="F16" s="21"/>
      <c r="G16" s="21" t="s">
        <v>229</v>
      </c>
      <c r="H16" s="21" t="s">
        <v>1618</v>
      </c>
      <c r="I16" s="21" t="s">
        <v>1619</v>
      </c>
      <c r="J16" s="21" t="s">
        <v>1620</v>
      </c>
      <c r="K16" s="91"/>
      <c r="L16" s="91"/>
      <c r="M16" s="91">
        <f t="shared" si="3"/>
        <v>230</v>
      </c>
      <c r="N16" s="20"/>
      <c r="O16" s="21"/>
      <c r="P16" s="20"/>
      <c r="Q16" s="4">
        <v>230</v>
      </c>
      <c r="R16" s="20"/>
      <c r="S16" s="4"/>
      <c r="T16" s="20"/>
      <c r="U16" s="4"/>
      <c r="V16" s="20"/>
      <c r="W16" s="4"/>
      <c r="X16" s="20"/>
      <c r="Y16" s="4"/>
      <c r="Z16" s="20"/>
      <c r="AA16" s="21" t="s">
        <v>218</v>
      </c>
      <c r="AB16" s="21"/>
      <c r="AC16" s="36"/>
    </row>
    <row r="17" spans="1:30" ht="15" customHeight="1" x14ac:dyDescent="0.25">
      <c r="A17" s="46">
        <v>45901</v>
      </c>
      <c r="B17" s="46" t="s">
        <v>1685</v>
      </c>
      <c r="C17" s="21" t="s">
        <v>80</v>
      </c>
      <c r="D17" s="47">
        <v>1099</v>
      </c>
      <c r="E17" s="21" t="s">
        <v>1673</v>
      </c>
      <c r="F17" s="21"/>
      <c r="G17" s="21" t="s">
        <v>229</v>
      </c>
      <c r="H17" s="21" t="s">
        <v>1686</v>
      </c>
      <c r="I17" s="21" t="s">
        <v>1100</v>
      </c>
      <c r="J17" s="21" t="s">
        <v>1687</v>
      </c>
      <c r="K17" s="70">
        <v>559090</v>
      </c>
      <c r="L17" s="21">
        <v>4814890</v>
      </c>
      <c r="M17" s="91">
        <f t="shared" si="3"/>
        <v>91.600000000000009</v>
      </c>
      <c r="N17" s="20">
        <v>0.7</v>
      </c>
      <c r="O17" s="21"/>
      <c r="P17" s="20">
        <v>0.7</v>
      </c>
      <c r="Q17" s="4">
        <v>90.2</v>
      </c>
      <c r="R17" s="20"/>
      <c r="S17" s="4"/>
      <c r="T17" s="20"/>
      <c r="U17" s="4"/>
      <c r="V17" s="20"/>
      <c r="W17" s="4"/>
      <c r="X17" s="20"/>
      <c r="Y17" s="4"/>
      <c r="Z17" s="20"/>
      <c r="AA17" s="21" t="s">
        <v>218</v>
      </c>
      <c r="AB17" s="21"/>
      <c r="AC17" s="36"/>
      <c r="AD17" s="2" t="s">
        <v>5</v>
      </c>
    </row>
    <row r="18" spans="1:30" ht="15" customHeight="1" x14ac:dyDescent="0.25">
      <c r="A18" s="46">
        <v>45909</v>
      </c>
      <c r="B18" s="46" t="s">
        <v>1696</v>
      </c>
      <c r="C18" s="21" t="s">
        <v>84</v>
      </c>
      <c r="D18" s="47">
        <v>1132</v>
      </c>
      <c r="E18" s="21" t="s">
        <v>1693</v>
      </c>
      <c r="F18" s="21" t="s">
        <v>1694</v>
      </c>
      <c r="G18" s="21" t="s">
        <v>556</v>
      </c>
      <c r="H18" s="21" t="s">
        <v>1695</v>
      </c>
      <c r="I18" s="21" t="s">
        <v>1697</v>
      </c>
      <c r="J18" s="21" t="s">
        <v>1698</v>
      </c>
      <c r="K18" s="21">
        <v>548429</v>
      </c>
      <c r="L18" s="21">
        <v>4920840</v>
      </c>
      <c r="M18" s="91">
        <f t="shared" si="3"/>
        <v>272.2</v>
      </c>
      <c r="N18" s="20">
        <v>19.5</v>
      </c>
      <c r="O18" s="21"/>
      <c r="P18" s="20"/>
      <c r="Q18" s="4"/>
      <c r="R18" s="20"/>
      <c r="S18" s="4"/>
      <c r="T18" s="20"/>
      <c r="U18" s="4">
        <v>180.7</v>
      </c>
      <c r="V18" s="20"/>
      <c r="W18" s="4"/>
      <c r="X18" s="20">
        <v>72</v>
      </c>
      <c r="Y18" s="4"/>
      <c r="Z18" s="20"/>
      <c r="AA18" s="21" t="s">
        <v>218</v>
      </c>
      <c r="AB18" s="21" t="s">
        <v>218</v>
      </c>
      <c r="AC18" s="36"/>
    </row>
    <row r="19" spans="1:30" ht="15" customHeight="1" x14ac:dyDescent="0.25">
      <c r="A19" s="46">
        <v>45914</v>
      </c>
      <c r="B19" s="46" t="s">
        <v>1711</v>
      </c>
      <c r="C19" s="21" t="s">
        <v>80</v>
      </c>
      <c r="D19" s="47">
        <v>1143</v>
      </c>
      <c r="E19" s="21" t="s">
        <v>1709</v>
      </c>
      <c r="F19" s="21" t="s">
        <v>1710</v>
      </c>
      <c r="G19" s="21" t="s">
        <v>229</v>
      </c>
      <c r="H19" s="21" t="s">
        <v>1712</v>
      </c>
      <c r="I19" s="21" t="s">
        <v>1713</v>
      </c>
      <c r="J19" s="21" t="s">
        <v>1714</v>
      </c>
      <c r="K19" s="21">
        <v>559852</v>
      </c>
      <c r="L19" s="21">
        <v>4852497</v>
      </c>
      <c r="M19" s="91">
        <f t="shared" si="3"/>
        <v>50</v>
      </c>
      <c r="N19" s="20"/>
      <c r="O19" s="21"/>
      <c r="P19" s="20"/>
      <c r="Q19" s="4"/>
      <c r="R19" s="20"/>
      <c r="S19" s="4"/>
      <c r="T19" s="20"/>
      <c r="U19" s="4"/>
      <c r="V19" s="20"/>
      <c r="W19" s="4">
        <v>50</v>
      </c>
      <c r="X19" s="20"/>
      <c r="Y19" s="4"/>
      <c r="Z19" s="20"/>
      <c r="AA19" s="21" t="s">
        <v>218</v>
      </c>
      <c r="AB19" s="21"/>
      <c r="AC19" s="36" t="s">
        <v>218</v>
      </c>
    </row>
    <row r="20" spans="1:30" ht="15" customHeight="1" x14ac:dyDescent="0.25">
      <c r="A20" s="46"/>
      <c r="B20" s="46"/>
      <c r="C20" s="21"/>
      <c r="D20" s="47"/>
      <c r="E20" s="21"/>
      <c r="F20" s="21"/>
      <c r="G20" s="21"/>
      <c r="H20" s="21"/>
      <c r="I20" s="21"/>
      <c r="J20" s="21"/>
      <c r="K20" s="21"/>
      <c r="L20" s="21"/>
      <c r="M20" s="91">
        <f t="shared" si="3"/>
        <v>0</v>
      </c>
      <c r="N20" s="20"/>
      <c r="O20" s="21"/>
      <c r="P20" s="20"/>
      <c r="Q20" s="4"/>
      <c r="R20" s="20"/>
      <c r="S20" s="4"/>
      <c r="T20" s="20"/>
      <c r="U20" s="4"/>
      <c r="V20" s="20"/>
      <c r="W20" s="4"/>
      <c r="X20" s="20"/>
      <c r="Y20" s="4"/>
      <c r="Z20" s="20"/>
      <c r="AA20" s="21"/>
      <c r="AB20" s="21"/>
      <c r="AC20" s="36"/>
    </row>
    <row r="21" spans="1:30" ht="15" customHeight="1" x14ac:dyDescent="0.25">
      <c r="A21" s="46"/>
      <c r="B21" s="46"/>
      <c r="C21" s="21"/>
      <c r="D21" s="47"/>
      <c r="E21" s="21"/>
      <c r="F21" s="21"/>
      <c r="G21" s="21"/>
      <c r="H21" s="21"/>
      <c r="I21" s="21"/>
      <c r="J21" s="21"/>
      <c r="K21" s="21"/>
      <c r="L21" s="21"/>
      <c r="M21" s="91">
        <f t="shared" si="3"/>
        <v>0</v>
      </c>
      <c r="N21" s="20"/>
      <c r="O21" s="21"/>
      <c r="P21" s="20"/>
      <c r="Q21" s="4"/>
      <c r="R21" s="20"/>
      <c r="S21" s="4"/>
      <c r="T21" s="20"/>
      <c r="U21" s="4"/>
      <c r="V21" s="20"/>
      <c r="W21" s="4"/>
      <c r="X21" s="20"/>
      <c r="Y21" s="4"/>
      <c r="Z21" s="20"/>
      <c r="AA21" s="21"/>
      <c r="AB21" s="21"/>
      <c r="AC21" s="36"/>
    </row>
    <row r="22" spans="1:30" ht="15" customHeight="1" x14ac:dyDescent="0.25">
      <c r="A22" s="46"/>
      <c r="B22" s="46"/>
      <c r="C22" s="21"/>
      <c r="D22" s="47"/>
      <c r="E22" s="21"/>
      <c r="G22" s="21"/>
      <c r="H22" s="21"/>
      <c r="I22" s="21"/>
      <c r="J22" s="21"/>
      <c r="K22" s="21"/>
      <c r="M22" s="91">
        <f t="shared" si="3"/>
        <v>0</v>
      </c>
      <c r="N22" s="20"/>
      <c r="O22" s="21"/>
      <c r="P22" s="20"/>
      <c r="Q22" s="4"/>
      <c r="R22" s="20"/>
      <c r="S22" s="4"/>
      <c r="T22" s="20"/>
      <c r="U22" s="4"/>
      <c r="V22" s="20"/>
      <c r="W22" s="4"/>
      <c r="X22" s="20"/>
      <c r="Y22" s="4"/>
      <c r="Z22" s="20"/>
      <c r="AA22" s="21"/>
      <c r="AB22" s="21"/>
      <c r="AC22" s="36"/>
    </row>
    <row r="23" spans="1:30" ht="15" customHeight="1" x14ac:dyDescent="0.25">
      <c r="A23" s="46"/>
      <c r="B23" s="46"/>
      <c r="C23" s="21"/>
      <c r="D23" s="47"/>
      <c r="E23" s="21"/>
      <c r="F23" s="21"/>
      <c r="G23" s="21"/>
      <c r="H23" s="21"/>
      <c r="I23" s="21"/>
      <c r="J23" s="21"/>
      <c r="K23" s="21"/>
      <c r="L23" s="21"/>
      <c r="M23" s="91">
        <f t="shared" si="3"/>
        <v>0</v>
      </c>
      <c r="N23" s="20"/>
      <c r="O23" s="21"/>
      <c r="P23" s="20"/>
      <c r="Q23" s="4"/>
      <c r="R23" s="20"/>
      <c r="S23" s="4"/>
      <c r="T23" s="20"/>
      <c r="U23" s="4"/>
      <c r="V23" s="20"/>
      <c r="W23" s="4"/>
      <c r="X23" s="20"/>
      <c r="Y23" s="4"/>
      <c r="Z23" s="20"/>
      <c r="AA23" s="21"/>
      <c r="AB23" s="21"/>
      <c r="AC23" s="36"/>
    </row>
    <row r="24" spans="1:30" ht="15" customHeight="1" x14ac:dyDescent="0.25">
      <c r="A24" s="46"/>
      <c r="B24" s="46"/>
      <c r="C24" s="21"/>
      <c r="D24" s="47"/>
      <c r="E24" s="21"/>
      <c r="F24" s="21"/>
      <c r="G24" s="21"/>
      <c r="H24" s="21"/>
      <c r="I24" s="21"/>
      <c r="J24" s="21"/>
      <c r="K24" s="21"/>
      <c r="L24" s="21"/>
      <c r="M24" s="91">
        <f t="shared" si="3"/>
        <v>0</v>
      </c>
      <c r="N24" s="20"/>
      <c r="O24" s="21"/>
      <c r="P24" s="20"/>
      <c r="Q24" s="4"/>
      <c r="R24" s="20"/>
      <c r="S24" s="4"/>
      <c r="T24" s="20"/>
      <c r="U24" s="4"/>
      <c r="V24" s="20"/>
      <c r="W24" s="4"/>
      <c r="X24" s="20"/>
      <c r="Y24" s="4"/>
      <c r="Z24" s="20"/>
      <c r="AA24" s="21"/>
      <c r="AB24" s="21"/>
      <c r="AC24" s="36"/>
    </row>
    <row r="25" spans="1:30" ht="15" customHeight="1" x14ac:dyDescent="0.25">
      <c r="A25" s="46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91">
        <f t="shared" si="3"/>
        <v>0</v>
      </c>
      <c r="N25" s="20"/>
      <c r="O25" s="21"/>
      <c r="P25" s="20"/>
      <c r="Q25" s="4"/>
      <c r="R25" s="20"/>
      <c r="S25" s="4"/>
      <c r="T25" s="20"/>
      <c r="U25" s="4"/>
      <c r="V25" s="20"/>
      <c r="W25" s="4"/>
      <c r="X25" s="20"/>
      <c r="Y25" s="4"/>
      <c r="Z25" s="20"/>
      <c r="AA25" s="21"/>
      <c r="AB25" s="21"/>
      <c r="AC25" s="36"/>
    </row>
    <row r="26" spans="1:30" ht="15" customHeight="1" x14ac:dyDescent="0.25">
      <c r="A26" s="46"/>
      <c r="B26" s="46"/>
      <c r="C26" s="21"/>
      <c r="D26" s="47"/>
      <c r="E26" s="21"/>
      <c r="F26" s="21"/>
      <c r="G26" s="21"/>
      <c r="H26" s="21"/>
      <c r="I26" s="21"/>
      <c r="J26" s="21"/>
      <c r="K26" s="21"/>
      <c r="L26" s="21"/>
      <c r="M26" s="91">
        <f t="shared" si="3"/>
        <v>0</v>
      </c>
      <c r="N26" s="20"/>
      <c r="O26" s="21"/>
      <c r="P26" s="20"/>
      <c r="Q26" s="4"/>
      <c r="R26" s="20"/>
      <c r="S26" s="4"/>
      <c r="T26" s="20"/>
      <c r="U26" s="4"/>
      <c r="V26" s="20"/>
      <c r="W26" s="4"/>
      <c r="X26" s="20"/>
      <c r="Y26" s="4"/>
      <c r="Z26" s="20"/>
      <c r="AA26" s="21"/>
      <c r="AB26" s="21"/>
      <c r="AC26" s="36"/>
    </row>
    <row r="27" spans="1:30" ht="15" customHeight="1" x14ac:dyDescent="0.25">
      <c r="A27" s="46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91">
        <f t="shared" si="3"/>
        <v>0</v>
      </c>
      <c r="N27" s="20"/>
      <c r="O27" s="21"/>
      <c r="P27" s="20"/>
      <c r="Q27" s="4"/>
      <c r="R27" s="20"/>
      <c r="S27" s="4"/>
      <c r="T27" s="20"/>
      <c r="U27" s="4"/>
      <c r="V27" s="20"/>
      <c r="W27" s="4"/>
      <c r="X27" s="20"/>
      <c r="Y27" s="4"/>
      <c r="Z27" s="20"/>
      <c r="AA27" s="21"/>
      <c r="AB27" s="21"/>
      <c r="AC27" s="36"/>
    </row>
    <row r="28" spans="1:30" ht="15" customHeight="1" x14ac:dyDescent="0.25">
      <c r="A28" s="46"/>
      <c r="B28" s="46"/>
      <c r="C28" s="21"/>
      <c r="D28" s="47"/>
      <c r="E28" s="21"/>
      <c r="F28" s="36"/>
      <c r="G28" s="36"/>
      <c r="H28" s="36"/>
      <c r="I28" s="36"/>
      <c r="J28" s="36"/>
      <c r="K28" s="36"/>
      <c r="L28" s="36"/>
      <c r="M28" s="91">
        <f t="shared" si="3"/>
        <v>0</v>
      </c>
      <c r="N28" s="20"/>
      <c r="O28" s="21"/>
      <c r="P28" s="20"/>
      <c r="Q28" s="4"/>
      <c r="R28" s="20"/>
      <c r="S28" s="4"/>
      <c r="T28" s="20"/>
      <c r="U28" s="4"/>
      <c r="V28" s="20"/>
      <c r="W28" s="4"/>
      <c r="X28" s="20"/>
      <c r="Y28" s="4"/>
      <c r="Z28" s="20"/>
      <c r="AA28" s="21"/>
      <c r="AB28" s="21"/>
      <c r="AC28" s="36"/>
    </row>
    <row r="29" spans="1:30" ht="15" customHeight="1" x14ac:dyDescent="0.25">
      <c r="A29" s="46"/>
      <c r="B29" s="46"/>
      <c r="C29" s="21"/>
      <c r="D29" s="47"/>
      <c r="E29" s="21"/>
      <c r="F29" s="36"/>
      <c r="G29" s="36"/>
      <c r="H29" s="36"/>
      <c r="I29" s="36"/>
      <c r="J29" s="36"/>
      <c r="K29" s="36"/>
      <c r="L29" s="36"/>
      <c r="M29" s="91">
        <f t="shared" si="3"/>
        <v>0</v>
      </c>
      <c r="N29" s="20"/>
      <c r="O29" s="21"/>
      <c r="P29" s="20"/>
      <c r="Q29" s="4"/>
      <c r="R29" s="20"/>
      <c r="S29" s="4"/>
      <c r="T29" s="20"/>
      <c r="U29" s="4"/>
      <c r="V29" s="20"/>
      <c r="W29" s="4"/>
      <c r="X29" s="20"/>
      <c r="Y29" s="4"/>
      <c r="Z29" s="20"/>
      <c r="AA29" s="21"/>
      <c r="AB29" s="21"/>
      <c r="AC29" s="36"/>
    </row>
    <row r="30" spans="1:30" ht="15" customHeight="1" x14ac:dyDescent="0.25">
      <c r="A30" s="46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91">
        <f t="shared" si="3"/>
        <v>0</v>
      </c>
      <c r="N30" s="20"/>
      <c r="O30" s="21"/>
      <c r="P30" s="20"/>
      <c r="Q30" s="4"/>
      <c r="R30" s="20"/>
      <c r="S30" s="4"/>
      <c r="T30" s="20"/>
      <c r="U30" s="4"/>
      <c r="V30" s="20"/>
      <c r="W30" s="4"/>
      <c r="X30" s="20"/>
      <c r="Y30" s="4"/>
      <c r="Z30" s="20"/>
      <c r="AA30" s="21"/>
      <c r="AB30" s="21"/>
      <c r="AC30" s="36"/>
    </row>
    <row r="31" spans="1:30" ht="15" customHeight="1" x14ac:dyDescent="0.25">
      <c r="A31" s="46"/>
      <c r="B31" s="46"/>
      <c r="C31" s="21"/>
      <c r="D31" s="47"/>
      <c r="E31" s="21"/>
      <c r="F31" s="21"/>
      <c r="G31" s="21"/>
      <c r="H31" s="21"/>
      <c r="I31" s="21"/>
      <c r="J31" s="21"/>
      <c r="K31" s="21"/>
      <c r="L31" s="21"/>
      <c r="M31" s="91">
        <f t="shared" si="3"/>
        <v>0</v>
      </c>
      <c r="N31" s="20"/>
      <c r="O31" s="21"/>
      <c r="P31" s="20"/>
      <c r="Q31" s="4"/>
      <c r="R31" s="20"/>
      <c r="S31" s="4"/>
      <c r="T31" s="20"/>
      <c r="U31" s="4"/>
      <c r="V31" s="20"/>
      <c r="W31" s="4"/>
      <c r="X31" s="20"/>
      <c r="Y31" s="4"/>
      <c r="Z31" s="20"/>
      <c r="AA31" s="21"/>
      <c r="AB31" s="21"/>
      <c r="AC31" s="36"/>
    </row>
    <row r="32" spans="1:30" ht="15" customHeight="1" x14ac:dyDescent="0.25">
      <c r="A32" s="46"/>
      <c r="B32" s="46"/>
      <c r="C32" s="21"/>
      <c r="D32" s="47"/>
      <c r="E32" s="21"/>
      <c r="F32" s="21"/>
      <c r="G32" s="21"/>
      <c r="H32" s="21"/>
      <c r="I32" s="21"/>
      <c r="J32" s="21"/>
      <c r="K32" s="21"/>
      <c r="L32" s="21"/>
      <c r="M32" s="91">
        <f t="shared" si="3"/>
        <v>0</v>
      </c>
      <c r="N32" s="20"/>
      <c r="O32" s="21"/>
      <c r="P32" s="20"/>
      <c r="Q32" s="4"/>
      <c r="R32" s="20"/>
      <c r="S32" s="4"/>
      <c r="T32" s="20"/>
      <c r="U32" s="4"/>
      <c r="V32" s="20"/>
      <c r="W32" s="4"/>
      <c r="X32" s="20"/>
      <c r="Y32" s="4"/>
      <c r="Z32" s="20"/>
      <c r="AA32" s="21"/>
      <c r="AB32" s="21"/>
      <c r="AC32" s="36"/>
    </row>
    <row r="33" spans="1:29" ht="15" customHeight="1" x14ac:dyDescent="0.25">
      <c r="A33" s="46"/>
      <c r="B33" s="46"/>
      <c r="C33" s="21"/>
      <c r="D33" s="47"/>
      <c r="E33" s="21"/>
      <c r="F33" s="21"/>
      <c r="G33" s="21"/>
      <c r="H33" s="21"/>
      <c r="I33" s="21"/>
      <c r="J33" s="21"/>
      <c r="K33" s="21"/>
      <c r="L33" s="21"/>
      <c r="M33" s="91">
        <f t="shared" si="3"/>
        <v>0</v>
      </c>
      <c r="N33" s="20"/>
      <c r="O33" s="21"/>
      <c r="P33" s="20"/>
      <c r="Q33" s="4"/>
      <c r="R33" s="20"/>
      <c r="S33" s="4"/>
      <c r="T33" s="20"/>
      <c r="U33" s="4"/>
      <c r="V33" s="20"/>
      <c r="W33" s="4"/>
      <c r="X33" s="20"/>
      <c r="Y33" s="4"/>
      <c r="Z33" s="20"/>
      <c r="AA33" s="21"/>
      <c r="AB33" s="21"/>
      <c r="AC33" s="36"/>
    </row>
    <row r="34" spans="1:29" ht="15" customHeight="1" x14ac:dyDescent="0.25">
      <c r="A34" s="46"/>
      <c r="B34" s="46"/>
      <c r="C34" s="21"/>
      <c r="D34" s="47"/>
      <c r="E34" s="21"/>
      <c r="F34" s="21"/>
      <c r="G34" s="21"/>
      <c r="H34" s="21"/>
      <c r="I34" s="21"/>
      <c r="J34" s="21"/>
      <c r="K34" s="21"/>
      <c r="L34" s="21"/>
      <c r="M34" s="91">
        <f t="shared" si="3"/>
        <v>0</v>
      </c>
      <c r="N34" s="20"/>
      <c r="O34" s="21"/>
      <c r="P34" s="20"/>
      <c r="Q34" s="4"/>
      <c r="R34" s="20"/>
      <c r="S34" s="4"/>
      <c r="T34" s="20"/>
      <c r="U34" s="4"/>
      <c r="V34" s="20"/>
      <c r="W34" s="4"/>
      <c r="X34" s="20"/>
      <c r="Y34" s="4"/>
      <c r="Z34" s="20"/>
      <c r="AA34" s="21"/>
      <c r="AB34" s="21"/>
      <c r="AC34" s="36"/>
    </row>
    <row r="35" spans="1:29" ht="13.5" customHeight="1" x14ac:dyDescent="0.25">
      <c r="A35" s="46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91">
        <f t="shared" si="3"/>
        <v>0</v>
      </c>
      <c r="N35" s="20"/>
      <c r="O35" s="21"/>
      <c r="P35" s="20"/>
      <c r="Q35" s="4"/>
      <c r="R35" s="20"/>
      <c r="S35" s="4"/>
      <c r="T35" s="20"/>
      <c r="U35" s="4"/>
      <c r="V35" s="20"/>
      <c r="W35" s="4"/>
      <c r="X35" s="20"/>
      <c r="Y35" s="4"/>
      <c r="Z35" s="20"/>
      <c r="AA35" s="21"/>
      <c r="AB35" s="21"/>
      <c r="AC35" s="36"/>
    </row>
    <row r="36" spans="1:29" ht="15" customHeight="1" x14ac:dyDescent="0.25">
      <c r="A36" s="46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91">
        <f t="shared" si="3"/>
        <v>0</v>
      </c>
      <c r="N36" s="20"/>
      <c r="O36" s="21"/>
      <c r="P36" s="20"/>
      <c r="Q36" s="4"/>
      <c r="R36" s="20"/>
      <c r="S36" s="4"/>
      <c r="T36" s="20"/>
      <c r="U36" s="4"/>
      <c r="V36" s="20"/>
      <c r="W36" s="4"/>
      <c r="X36" s="20"/>
      <c r="Y36" s="4"/>
      <c r="Z36" s="20"/>
      <c r="AA36" s="21"/>
      <c r="AB36" s="21"/>
      <c r="AC36" s="36"/>
    </row>
    <row r="37" spans="1:29" ht="15" customHeight="1" x14ac:dyDescent="0.25">
      <c r="A37" s="46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91">
        <f t="shared" si="3"/>
        <v>0</v>
      </c>
      <c r="N37" s="20"/>
      <c r="O37" s="21"/>
      <c r="P37" s="20"/>
      <c r="Q37" s="4"/>
      <c r="R37" s="20"/>
      <c r="S37" s="4"/>
      <c r="T37" s="20"/>
      <c r="U37" s="4"/>
      <c r="V37" s="20"/>
      <c r="W37" s="4"/>
      <c r="X37" s="20"/>
      <c r="Y37" s="4"/>
      <c r="Z37" s="20"/>
      <c r="AA37" s="21"/>
      <c r="AB37" s="21"/>
      <c r="AC37" s="36"/>
    </row>
    <row r="38" spans="1:29" ht="15" customHeight="1" x14ac:dyDescent="0.25">
      <c r="A38" s="46"/>
      <c r="B38" s="46"/>
      <c r="C38" s="21"/>
      <c r="D38" s="47"/>
      <c r="E38" s="21"/>
      <c r="F38" s="21"/>
      <c r="G38" s="21"/>
      <c r="H38" s="21"/>
      <c r="I38" s="21"/>
      <c r="J38" s="21"/>
      <c r="K38" s="21"/>
      <c r="L38" s="21"/>
      <c r="M38" s="91">
        <f t="shared" si="3"/>
        <v>0</v>
      </c>
      <c r="N38" s="20"/>
      <c r="O38" s="21"/>
      <c r="P38" s="20"/>
      <c r="Q38" s="4"/>
      <c r="R38" s="20"/>
      <c r="S38" s="4"/>
      <c r="T38" s="20"/>
      <c r="U38" s="4"/>
      <c r="V38" s="20"/>
      <c r="W38" s="4"/>
      <c r="X38" s="20"/>
      <c r="Y38" s="4"/>
      <c r="Z38" s="20"/>
      <c r="AA38" s="21"/>
      <c r="AB38" s="21"/>
      <c r="AC38" s="36"/>
    </row>
    <row r="39" spans="1:29" ht="15" customHeight="1" x14ac:dyDescent="0.25">
      <c r="A39" s="46"/>
      <c r="C39" s="21"/>
      <c r="D39" s="47"/>
      <c r="E39" s="21"/>
      <c r="F39" s="21"/>
      <c r="G39" s="21"/>
      <c r="H39" s="21"/>
      <c r="I39" s="21"/>
      <c r="J39" s="21"/>
      <c r="K39" s="21"/>
      <c r="L39" s="21"/>
      <c r="M39" s="91">
        <f t="shared" si="3"/>
        <v>0</v>
      </c>
      <c r="N39" s="20"/>
      <c r="O39" s="21"/>
      <c r="P39" s="20"/>
      <c r="Q39" s="4"/>
      <c r="R39" s="20"/>
      <c r="S39" s="4"/>
      <c r="T39" s="20"/>
      <c r="U39" s="4"/>
      <c r="V39" s="20"/>
      <c r="W39" s="4"/>
      <c r="X39" s="20"/>
      <c r="Y39" s="4"/>
      <c r="Z39" s="20"/>
      <c r="AA39" s="21"/>
      <c r="AB39" s="21"/>
      <c r="AC39" s="36"/>
    </row>
    <row r="40" spans="1:29" ht="15" customHeight="1" x14ac:dyDescent="0.25">
      <c r="A40" s="46"/>
      <c r="B40" s="46"/>
      <c r="C40" s="21"/>
      <c r="D40" s="47"/>
      <c r="E40" s="21"/>
      <c r="F40" s="21"/>
      <c r="G40" s="21"/>
      <c r="H40" s="21"/>
      <c r="I40" s="21"/>
      <c r="J40" s="21"/>
      <c r="K40" s="21"/>
      <c r="L40" s="21"/>
      <c r="M40" s="91">
        <f t="shared" si="3"/>
        <v>0</v>
      </c>
      <c r="N40" s="20"/>
      <c r="O40" s="21"/>
      <c r="P40" s="20"/>
      <c r="Q40" s="4"/>
      <c r="R40" s="20"/>
      <c r="S40" s="4"/>
      <c r="T40" s="20"/>
      <c r="U40" s="4"/>
      <c r="V40" s="20"/>
      <c r="W40" s="4"/>
      <c r="X40" s="20"/>
      <c r="Y40" s="4"/>
      <c r="Z40" s="20"/>
      <c r="AA40" s="21"/>
      <c r="AB40" s="21"/>
      <c r="AC40" s="36"/>
    </row>
    <row r="41" spans="1:29" ht="15" customHeight="1" x14ac:dyDescent="0.25">
      <c r="A41" s="46"/>
      <c r="B41" s="46"/>
      <c r="C41" s="21"/>
      <c r="D41" s="47"/>
      <c r="E41" s="21"/>
      <c r="F41" s="21"/>
      <c r="G41" s="21"/>
      <c r="H41" s="21"/>
      <c r="I41" s="21"/>
      <c r="J41" s="21"/>
      <c r="K41" s="21"/>
      <c r="L41" s="21"/>
      <c r="M41" s="91">
        <f t="shared" si="3"/>
        <v>0</v>
      </c>
      <c r="N41" s="20"/>
      <c r="O41" s="21"/>
      <c r="P41" s="20"/>
      <c r="Q41" s="4"/>
      <c r="R41" s="20"/>
      <c r="S41" s="4"/>
      <c r="T41" s="20"/>
      <c r="U41" s="4"/>
      <c r="V41" s="20"/>
      <c r="W41" s="4"/>
      <c r="X41" s="20"/>
      <c r="Y41" s="4"/>
      <c r="Z41" s="20"/>
      <c r="AA41" s="21"/>
      <c r="AB41" s="21"/>
      <c r="AC41" s="36"/>
    </row>
    <row r="42" spans="1:29" ht="15" customHeight="1" x14ac:dyDescent="0.25">
      <c r="A42" s="46"/>
      <c r="B42" s="46"/>
      <c r="C42" s="21"/>
      <c r="D42" s="47"/>
      <c r="E42" s="21"/>
      <c r="F42" s="21"/>
      <c r="G42" s="21"/>
      <c r="H42" s="21"/>
      <c r="I42" s="21"/>
      <c r="J42" s="21"/>
      <c r="K42" s="21"/>
      <c r="L42" s="21"/>
      <c r="M42" s="91">
        <f t="shared" si="3"/>
        <v>0</v>
      </c>
      <c r="N42" s="20"/>
      <c r="O42" s="21"/>
      <c r="P42" s="20"/>
      <c r="Q42" s="4"/>
      <c r="R42" s="20"/>
      <c r="S42" s="4"/>
      <c r="T42" s="20"/>
      <c r="U42" s="4"/>
      <c r="V42" s="20"/>
      <c r="W42" s="4"/>
      <c r="X42" s="20"/>
      <c r="Y42" s="4"/>
      <c r="Z42" s="20"/>
      <c r="AA42" s="21"/>
      <c r="AB42" s="21"/>
      <c r="AC42" s="36"/>
    </row>
    <row r="43" spans="1:29" ht="15" customHeight="1" x14ac:dyDescent="0.25">
      <c r="A43" s="46"/>
      <c r="B43" s="46"/>
      <c r="C43" s="21"/>
      <c r="D43" s="47"/>
      <c r="E43" s="21"/>
      <c r="F43" s="21"/>
      <c r="G43" s="21"/>
      <c r="H43" s="21"/>
      <c r="I43" s="21"/>
      <c r="J43" s="21"/>
      <c r="K43" s="21"/>
      <c r="L43" s="21"/>
      <c r="M43" s="91">
        <f t="shared" si="3"/>
        <v>0</v>
      </c>
      <c r="N43" s="20"/>
      <c r="O43" s="21"/>
      <c r="P43" s="20"/>
      <c r="Q43" s="4"/>
      <c r="R43" s="20"/>
      <c r="S43" s="4"/>
      <c r="T43" s="20"/>
      <c r="U43" s="4"/>
      <c r="V43" s="20"/>
      <c r="W43" s="4"/>
      <c r="X43" s="20"/>
      <c r="Y43" s="4"/>
      <c r="Z43" s="20"/>
      <c r="AA43" s="21"/>
      <c r="AB43" s="21"/>
      <c r="AC43" s="36"/>
    </row>
    <row r="44" spans="1:29" ht="15" customHeight="1" x14ac:dyDescent="0.25">
      <c r="A44" s="46"/>
      <c r="B44" s="46"/>
      <c r="C44" s="21"/>
      <c r="D44" s="47"/>
      <c r="E44" s="21"/>
      <c r="F44" s="21"/>
      <c r="G44" s="21"/>
      <c r="H44" s="21"/>
      <c r="I44" s="21"/>
      <c r="J44" s="21"/>
      <c r="K44" s="21"/>
      <c r="L44" s="21"/>
      <c r="M44" s="91">
        <f t="shared" si="3"/>
        <v>0</v>
      </c>
      <c r="N44" s="20"/>
      <c r="O44" s="21"/>
      <c r="P44" s="20"/>
      <c r="Q44" s="4"/>
      <c r="R44" s="20"/>
      <c r="S44" s="4"/>
      <c r="T44" s="20"/>
      <c r="U44" s="4"/>
      <c r="V44" s="20"/>
      <c r="W44" s="4"/>
      <c r="X44" s="20"/>
      <c r="Y44" s="4"/>
      <c r="Z44" s="20"/>
      <c r="AA44" s="21"/>
      <c r="AB44" s="21"/>
      <c r="AC44" s="36"/>
    </row>
    <row r="45" spans="1:29" ht="15" customHeight="1" x14ac:dyDescent="0.25">
      <c r="A45" s="46"/>
      <c r="B45" s="46"/>
      <c r="C45" s="21"/>
      <c r="D45" s="47"/>
      <c r="E45" s="21"/>
      <c r="F45" s="21"/>
      <c r="G45" s="21"/>
      <c r="H45" s="21"/>
      <c r="I45" s="21"/>
      <c r="J45" s="21"/>
      <c r="K45" s="21"/>
      <c r="L45" s="21"/>
      <c r="M45" s="91">
        <f t="shared" si="3"/>
        <v>0</v>
      </c>
      <c r="N45" s="20"/>
      <c r="O45" s="21"/>
      <c r="P45" s="20"/>
      <c r="Q45" s="4"/>
      <c r="R45" s="20"/>
      <c r="S45" s="4"/>
      <c r="T45" s="20"/>
      <c r="U45" s="4"/>
      <c r="V45" s="20"/>
      <c r="W45" s="4"/>
      <c r="X45" s="20"/>
      <c r="Y45" s="4"/>
      <c r="Z45" s="20"/>
      <c r="AA45" s="21"/>
      <c r="AB45" s="21"/>
      <c r="AC45" s="36"/>
    </row>
    <row r="46" spans="1:29" ht="15" customHeight="1" x14ac:dyDescent="0.25">
      <c r="A46" s="46"/>
      <c r="B46" s="46"/>
      <c r="C46" s="21"/>
      <c r="D46" s="47"/>
      <c r="E46" s="21"/>
      <c r="F46" s="21"/>
      <c r="G46" s="21"/>
      <c r="H46" s="21"/>
      <c r="I46" s="21"/>
      <c r="J46" s="21"/>
      <c r="K46" s="21"/>
      <c r="L46" s="21"/>
      <c r="M46" s="91">
        <f t="shared" si="3"/>
        <v>0</v>
      </c>
      <c r="N46" s="20"/>
      <c r="O46" s="21"/>
      <c r="P46" s="20"/>
      <c r="Q46" s="4"/>
      <c r="R46" s="20"/>
      <c r="S46" s="4"/>
      <c r="T46" s="20"/>
      <c r="U46" s="4"/>
      <c r="V46" s="20"/>
      <c r="W46" s="4"/>
      <c r="X46" s="20"/>
      <c r="Y46" s="4"/>
      <c r="Z46" s="20"/>
      <c r="AA46" s="21"/>
      <c r="AB46" s="21"/>
      <c r="AC46" s="36"/>
    </row>
    <row r="47" spans="1:29" ht="15" customHeight="1" x14ac:dyDescent="0.25">
      <c r="A47" s="46"/>
      <c r="B47" s="46"/>
      <c r="C47" s="21"/>
      <c r="D47" s="47"/>
      <c r="E47" s="21"/>
      <c r="F47" s="21"/>
      <c r="G47" s="21"/>
      <c r="H47" s="21"/>
      <c r="I47" s="21"/>
      <c r="J47" s="21"/>
      <c r="K47" s="21"/>
      <c r="L47" s="21"/>
      <c r="M47" s="91">
        <f t="shared" si="3"/>
        <v>0</v>
      </c>
      <c r="N47" s="20"/>
      <c r="O47" s="21"/>
      <c r="P47" s="20"/>
      <c r="Q47" s="4"/>
      <c r="R47" s="20"/>
      <c r="S47" s="4"/>
      <c r="T47" s="20"/>
      <c r="U47" s="4"/>
      <c r="V47" s="20"/>
      <c r="W47" s="4"/>
      <c r="X47" s="20"/>
      <c r="Y47" s="4"/>
      <c r="Z47" s="20"/>
      <c r="AA47" s="21"/>
      <c r="AB47" s="21"/>
      <c r="AC47" s="36"/>
    </row>
    <row r="48" spans="1:29" ht="15" customHeight="1" x14ac:dyDescent="0.25">
      <c r="A48" s="46"/>
      <c r="B48" s="46"/>
      <c r="C48" s="21"/>
      <c r="D48" s="47"/>
      <c r="E48" s="21"/>
      <c r="F48" s="21"/>
      <c r="G48" s="21"/>
      <c r="H48" s="21"/>
      <c r="I48" s="21"/>
      <c r="J48" s="21"/>
      <c r="K48" s="21"/>
      <c r="L48" s="21"/>
      <c r="M48" s="91">
        <f t="shared" si="3"/>
        <v>0</v>
      </c>
      <c r="N48" s="20"/>
      <c r="O48" s="21"/>
      <c r="P48" s="20"/>
      <c r="Q48" s="4"/>
      <c r="R48" s="20"/>
      <c r="S48" s="4"/>
      <c r="T48" s="20"/>
      <c r="U48" s="4"/>
      <c r="V48" s="20"/>
      <c r="W48" s="4"/>
      <c r="X48" s="20"/>
      <c r="Y48" s="4"/>
      <c r="Z48" s="20"/>
      <c r="AA48" s="21"/>
      <c r="AB48" s="21"/>
      <c r="AC48" s="36"/>
    </row>
    <row r="49" spans="1:29" ht="15" customHeight="1" x14ac:dyDescent="0.25">
      <c r="A49" s="46"/>
      <c r="B49" s="46"/>
      <c r="C49" s="21"/>
      <c r="D49" s="47"/>
      <c r="E49" s="21"/>
      <c r="F49" s="21"/>
      <c r="G49" s="21"/>
      <c r="H49" s="21"/>
      <c r="I49" s="21"/>
      <c r="J49" s="21"/>
      <c r="K49" s="21"/>
      <c r="L49" s="21"/>
      <c r="M49" s="91">
        <f t="shared" si="3"/>
        <v>0</v>
      </c>
      <c r="N49" s="20"/>
      <c r="O49" s="21"/>
      <c r="P49" s="20"/>
      <c r="Q49" s="4"/>
      <c r="R49" s="20"/>
      <c r="S49" s="4"/>
      <c r="T49" s="20"/>
      <c r="U49" s="4"/>
      <c r="V49" s="20"/>
      <c r="W49" s="4"/>
      <c r="X49" s="20"/>
      <c r="Y49" s="4"/>
      <c r="Z49" s="20"/>
      <c r="AA49" s="21"/>
      <c r="AB49" s="21"/>
      <c r="AC49" s="36"/>
    </row>
    <row r="50" spans="1:29" ht="15" customHeight="1" x14ac:dyDescent="0.25">
      <c r="A50" s="46"/>
      <c r="B50" s="46"/>
      <c r="C50" s="21"/>
      <c r="D50" s="47"/>
      <c r="E50" s="21"/>
      <c r="F50" s="21"/>
      <c r="G50" s="21"/>
      <c r="H50" s="21"/>
      <c r="I50" s="21"/>
      <c r="J50" s="21"/>
      <c r="K50" s="21"/>
      <c r="L50" s="21"/>
      <c r="M50" s="91">
        <f t="shared" si="3"/>
        <v>0</v>
      </c>
      <c r="N50" s="20"/>
      <c r="O50" s="21"/>
      <c r="P50" s="20"/>
      <c r="Q50" s="4"/>
      <c r="R50" s="20"/>
      <c r="S50" s="4"/>
      <c r="T50" s="20"/>
      <c r="U50" s="4"/>
      <c r="V50" s="20"/>
      <c r="W50" s="4"/>
      <c r="X50" s="20"/>
      <c r="Y50" s="4"/>
      <c r="Z50" s="20"/>
      <c r="AA50" s="21"/>
      <c r="AB50" s="21"/>
      <c r="AC50" s="36"/>
    </row>
    <row r="51" spans="1:29" ht="15" customHeight="1" x14ac:dyDescent="0.25">
      <c r="A51" s="46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91">
        <f t="shared" si="3"/>
        <v>0</v>
      </c>
      <c r="N51" s="20"/>
      <c r="O51" s="21"/>
      <c r="P51" s="20"/>
      <c r="Q51" s="4"/>
      <c r="R51" s="20"/>
      <c r="S51" s="4"/>
      <c r="T51" s="20"/>
      <c r="U51" s="4"/>
      <c r="V51" s="20"/>
      <c r="W51" s="4"/>
      <c r="X51" s="20"/>
      <c r="Y51" s="4"/>
      <c r="Z51" s="20"/>
      <c r="AA51" s="21"/>
      <c r="AB51" s="21"/>
      <c r="AC51" s="36"/>
    </row>
    <row r="52" spans="1:29" ht="15" customHeight="1" x14ac:dyDescent="0.25">
      <c r="A52" s="46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91">
        <f t="shared" si="3"/>
        <v>0</v>
      </c>
      <c r="N52" s="20"/>
      <c r="O52" s="21"/>
      <c r="P52" s="20"/>
      <c r="Q52" s="4"/>
      <c r="R52" s="20"/>
      <c r="S52" s="4"/>
      <c r="T52" s="20"/>
      <c r="U52" s="4"/>
      <c r="V52" s="20"/>
      <c r="W52" s="4"/>
      <c r="X52" s="20"/>
      <c r="Y52" s="4"/>
      <c r="Z52" s="20"/>
      <c r="AA52" s="21"/>
      <c r="AB52" s="21"/>
      <c r="AC52" s="36"/>
    </row>
    <row r="53" spans="1:29" ht="15" customHeight="1" x14ac:dyDescent="0.25">
      <c r="A53" s="46"/>
      <c r="B53" s="46"/>
      <c r="C53" s="21"/>
      <c r="D53" s="47"/>
      <c r="E53" s="21"/>
      <c r="F53" s="21"/>
      <c r="G53" s="21"/>
      <c r="H53" s="21"/>
      <c r="I53" s="21"/>
      <c r="J53" s="21"/>
      <c r="K53" s="21"/>
      <c r="L53" s="21"/>
      <c r="M53" s="91">
        <f t="shared" si="3"/>
        <v>0</v>
      </c>
      <c r="N53" s="20"/>
      <c r="O53" s="21"/>
      <c r="P53" s="20"/>
      <c r="Q53" s="4"/>
      <c r="R53" s="20"/>
      <c r="S53" s="4"/>
      <c r="T53" s="20"/>
      <c r="U53" s="4"/>
      <c r="V53" s="20"/>
      <c r="W53" s="4"/>
      <c r="X53" s="20"/>
      <c r="Y53" s="4"/>
      <c r="Z53" s="20"/>
      <c r="AA53" s="21"/>
      <c r="AB53" s="21"/>
      <c r="AC53" s="21"/>
    </row>
    <row r="54" spans="1:29" ht="15" customHeight="1" x14ac:dyDescent="0.25">
      <c r="A54" s="46"/>
      <c r="B54" s="46"/>
      <c r="C54" s="21"/>
      <c r="D54" s="47"/>
      <c r="E54" s="21"/>
      <c r="F54" s="21"/>
      <c r="G54" s="21"/>
      <c r="H54" s="21"/>
      <c r="I54" s="21"/>
      <c r="J54" s="21"/>
      <c r="K54" s="21"/>
      <c r="L54" s="21"/>
      <c r="M54" s="91">
        <f t="shared" si="3"/>
        <v>0</v>
      </c>
      <c r="N54" s="20"/>
      <c r="O54" s="21"/>
      <c r="P54" s="20"/>
      <c r="Q54" s="4"/>
      <c r="R54" s="20"/>
      <c r="S54" s="4"/>
      <c r="T54" s="20"/>
      <c r="U54" s="4"/>
      <c r="V54" s="20"/>
      <c r="W54" s="4"/>
      <c r="X54" s="20"/>
      <c r="Y54" s="4"/>
      <c r="Z54" s="20"/>
      <c r="AA54" s="21"/>
      <c r="AB54" s="21"/>
      <c r="AC54" s="36"/>
    </row>
    <row r="55" spans="1:29" ht="15" customHeight="1" x14ac:dyDescent="0.25">
      <c r="A55" s="46"/>
      <c r="B55" s="46"/>
      <c r="C55" s="21"/>
      <c r="D55" s="47"/>
      <c r="E55" s="21"/>
      <c r="F55" s="21"/>
      <c r="G55" s="21"/>
      <c r="H55" s="21"/>
      <c r="I55" s="21"/>
      <c r="J55" s="21"/>
      <c r="K55" s="21"/>
      <c r="L55" s="21"/>
      <c r="M55" s="91">
        <f t="shared" si="3"/>
        <v>0</v>
      </c>
      <c r="N55" s="20"/>
      <c r="O55" s="21"/>
      <c r="P55" s="20"/>
      <c r="Q55" s="4"/>
      <c r="R55" s="20"/>
      <c r="S55" s="4"/>
      <c r="T55" s="20"/>
      <c r="U55" s="4"/>
      <c r="V55" s="20"/>
      <c r="W55" s="4"/>
      <c r="X55" s="20"/>
      <c r="Y55" s="4"/>
      <c r="Z55" s="20"/>
      <c r="AA55" s="21"/>
      <c r="AB55" s="21"/>
      <c r="AC55" s="36"/>
    </row>
    <row r="56" spans="1:29" ht="15" customHeight="1" x14ac:dyDescent="0.25">
      <c r="A56" s="46"/>
      <c r="B56" s="46"/>
      <c r="C56" s="21"/>
      <c r="D56" s="47"/>
      <c r="E56" s="21"/>
      <c r="F56" s="21"/>
      <c r="G56" s="21"/>
      <c r="H56" s="21"/>
      <c r="I56" s="21"/>
      <c r="J56" s="21"/>
      <c r="K56" s="21"/>
      <c r="L56" s="21"/>
      <c r="M56" s="91">
        <f t="shared" si="3"/>
        <v>0</v>
      </c>
      <c r="N56" s="20"/>
      <c r="O56" s="21"/>
      <c r="P56" s="20"/>
      <c r="Q56" s="4"/>
      <c r="R56" s="20"/>
      <c r="S56" s="4"/>
      <c r="T56" s="20"/>
      <c r="U56" s="4"/>
      <c r="V56" s="20"/>
      <c r="W56" s="4"/>
      <c r="X56" s="20"/>
      <c r="Y56" s="4"/>
      <c r="Z56" s="20"/>
      <c r="AA56" s="21"/>
      <c r="AB56" s="21"/>
      <c r="AC56" s="36"/>
    </row>
    <row r="57" spans="1:29" ht="15" customHeight="1" x14ac:dyDescent="0.25">
      <c r="A57" s="46"/>
      <c r="B57" s="46"/>
      <c r="C57" s="21"/>
      <c r="D57" s="47"/>
      <c r="E57" s="21"/>
      <c r="F57" s="21"/>
      <c r="G57" s="21"/>
      <c r="H57" s="21"/>
      <c r="I57" s="21"/>
      <c r="J57" s="21"/>
      <c r="K57" s="21"/>
      <c r="L57" s="21"/>
      <c r="M57" s="91">
        <f t="shared" si="3"/>
        <v>0</v>
      </c>
      <c r="N57" s="20"/>
      <c r="O57" s="21"/>
      <c r="P57" s="20"/>
      <c r="Q57" s="4"/>
      <c r="R57" s="20"/>
      <c r="S57" s="4"/>
      <c r="T57" s="20"/>
      <c r="U57" s="4"/>
      <c r="V57" s="20"/>
      <c r="W57" s="4"/>
      <c r="X57" s="20"/>
      <c r="Y57" s="4"/>
      <c r="Z57" s="20"/>
      <c r="AA57" s="21"/>
      <c r="AB57" s="21"/>
      <c r="AC57" s="36"/>
    </row>
    <row r="58" spans="1:29" ht="15" customHeight="1" x14ac:dyDescent="0.25">
      <c r="A58" s="46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91">
        <f t="shared" si="3"/>
        <v>0</v>
      </c>
      <c r="N58" s="20"/>
      <c r="O58" s="21"/>
      <c r="P58" s="20"/>
      <c r="Q58" s="4"/>
      <c r="R58" s="20"/>
      <c r="S58" s="4"/>
      <c r="T58" s="20"/>
      <c r="U58" s="4"/>
      <c r="V58" s="20"/>
      <c r="W58" s="4"/>
      <c r="X58" s="20"/>
      <c r="Y58" s="4"/>
      <c r="Z58" s="20"/>
      <c r="AA58" s="21"/>
      <c r="AB58" s="21"/>
      <c r="AC58" s="36"/>
    </row>
    <row r="59" spans="1:29" ht="15" customHeight="1" x14ac:dyDescent="0.25">
      <c r="A59" s="46"/>
      <c r="B59" s="46"/>
      <c r="C59" s="21"/>
      <c r="D59" s="47"/>
      <c r="E59" s="21"/>
      <c r="F59" s="21"/>
      <c r="G59" s="21"/>
      <c r="H59" s="21"/>
      <c r="I59" s="21"/>
      <c r="J59" s="21"/>
      <c r="K59" s="21"/>
      <c r="L59" s="21"/>
      <c r="M59" s="91">
        <f t="shared" si="3"/>
        <v>0</v>
      </c>
      <c r="N59" s="20"/>
      <c r="O59" s="21"/>
      <c r="P59" s="20"/>
      <c r="Q59" s="4"/>
      <c r="R59" s="20"/>
      <c r="S59" s="4"/>
      <c r="T59" s="20"/>
      <c r="U59" s="4"/>
      <c r="V59" s="20"/>
      <c r="W59" s="4"/>
      <c r="X59" s="20"/>
      <c r="Y59" s="4"/>
      <c r="Z59" s="20"/>
      <c r="AA59" s="21"/>
      <c r="AB59" s="21"/>
      <c r="AC59" s="36"/>
    </row>
    <row r="60" spans="1:29" ht="15" customHeight="1" x14ac:dyDescent="0.25">
      <c r="A60" s="46"/>
      <c r="B60" s="46"/>
      <c r="C60" s="21"/>
      <c r="D60" s="47"/>
      <c r="E60" s="21"/>
      <c r="F60" s="21"/>
      <c r="G60" s="21"/>
      <c r="H60" s="21"/>
      <c r="I60" s="21"/>
      <c r="J60" s="21"/>
      <c r="K60" s="21"/>
      <c r="L60" s="21"/>
      <c r="M60" s="91">
        <f t="shared" si="3"/>
        <v>0</v>
      </c>
      <c r="N60" s="20"/>
      <c r="O60" s="21"/>
      <c r="P60" s="20"/>
      <c r="Q60" s="4"/>
      <c r="R60" s="20"/>
      <c r="S60" s="4"/>
      <c r="T60" s="20"/>
      <c r="U60" s="4"/>
      <c r="V60" s="20"/>
      <c r="W60" s="4"/>
      <c r="X60" s="20"/>
      <c r="Y60" s="4"/>
      <c r="Z60" s="20"/>
      <c r="AA60" s="21"/>
      <c r="AB60" s="21"/>
      <c r="AC60" s="36"/>
    </row>
    <row r="61" spans="1:29" ht="15" customHeight="1" x14ac:dyDescent="0.25">
      <c r="A61" s="46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91">
        <f t="shared" si="3"/>
        <v>0</v>
      </c>
      <c r="N61" s="20"/>
      <c r="O61" s="21"/>
      <c r="P61" s="20"/>
      <c r="Q61" s="4"/>
      <c r="R61" s="20"/>
      <c r="S61" s="4"/>
      <c r="T61" s="20"/>
      <c r="U61" s="4"/>
      <c r="V61" s="20"/>
      <c r="W61" s="4"/>
      <c r="X61" s="20"/>
      <c r="Y61" s="4"/>
      <c r="Z61" s="20"/>
      <c r="AA61" s="21"/>
      <c r="AB61" s="21"/>
      <c r="AC61" s="36"/>
    </row>
    <row r="62" spans="1:29" ht="15" customHeight="1" x14ac:dyDescent="0.25">
      <c r="A62" s="46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91">
        <f t="shared" si="3"/>
        <v>0</v>
      </c>
      <c r="N62" s="20"/>
      <c r="O62" s="21"/>
      <c r="P62" s="20"/>
      <c r="Q62" s="4"/>
      <c r="R62" s="20"/>
      <c r="S62" s="4"/>
      <c r="T62" s="20"/>
      <c r="U62" s="4"/>
      <c r="V62" s="20"/>
      <c r="W62" s="4"/>
      <c r="X62" s="20"/>
      <c r="Y62" s="4"/>
      <c r="Z62" s="20"/>
      <c r="AA62" s="21"/>
      <c r="AB62" s="21"/>
      <c r="AC62" s="36"/>
    </row>
    <row r="63" spans="1:29" ht="15" customHeight="1" x14ac:dyDescent="0.25">
      <c r="A63" s="46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91">
        <f t="shared" si="3"/>
        <v>0</v>
      </c>
      <c r="N63" s="20"/>
      <c r="O63" s="21"/>
      <c r="P63" s="20"/>
      <c r="Q63" s="4"/>
      <c r="R63" s="20"/>
      <c r="S63" s="4"/>
      <c r="T63" s="20"/>
      <c r="U63" s="4"/>
      <c r="V63" s="20"/>
      <c r="W63" s="4"/>
      <c r="X63" s="20"/>
      <c r="Y63" s="4"/>
      <c r="Z63" s="20"/>
      <c r="AA63" s="21"/>
      <c r="AB63" s="21"/>
      <c r="AC63" s="36"/>
    </row>
    <row r="64" spans="1:29" ht="15" customHeight="1" x14ac:dyDescent="0.25">
      <c r="A64" s="46"/>
      <c r="B64" s="46"/>
      <c r="C64" s="21"/>
      <c r="D64" s="47"/>
      <c r="E64" s="21"/>
      <c r="F64" s="21"/>
      <c r="G64" s="21"/>
      <c r="H64" s="21"/>
      <c r="I64" s="21"/>
      <c r="J64" s="21"/>
      <c r="K64" s="21"/>
      <c r="L64" s="21"/>
      <c r="M64" s="91">
        <f t="shared" si="3"/>
        <v>0</v>
      </c>
      <c r="N64" s="20"/>
      <c r="O64" s="21"/>
      <c r="P64" s="20"/>
      <c r="Q64" s="4"/>
      <c r="R64" s="20"/>
      <c r="S64" s="4"/>
      <c r="T64" s="20"/>
      <c r="U64" s="4"/>
      <c r="V64" s="20"/>
      <c r="W64" s="4"/>
      <c r="X64" s="20"/>
      <c r="Y64" s="4"/>
      <c r="Z64" s="20"/>
      <c r="AA64" s="21"/>
      <c r="AB64" s="21"/>
      <c r="AC64" s="36"/>
    </row>
    <row r="65" spans="1:29" ht="15" customHeight="1" x14ac:dyDescent="0.25">
      <c r="A65" s="46"/>
      <c r="B65" s="46"/>
      <c r="C65" s="21"/>
      <c r="D65" s="47"/>
      <c r="E65" s="21"/>
      <c r="F65" s="21"/>
      <c r="G65" s="21"/>
      <c r="H65" s="21"/>
      <c r="I65" s="21"/>
      <c r="J65" s="21"/>
      <c r="K65" s="21"/>
      <c r="L65" s="21"/>
      <c r="M65" s="91">
        <f t="shared" si="3"/>
        <v>0</v>
      </c>
      <c r="N65" s="20"/>
      <c r="O65" s="21"/>
      <c r="P65" s="20"/>
      <c r="Q65" s="4"/>
      <c r="R65" s="20"/>
      <c r="S65" s="4"/>
      <c r="T65" s="20"/>
      <c r="U65" s="4"/>
      <c r="V65" s="20"/>
      <c r="W65" s="4"/>
      <c r="X65" s="20"/>
      <c r="Y65" s="4"/>
      <c r="Z65" s="20"/>
      <c r="AA65" s="21"/>
      <c r="AB65" s="21"/>
      <c r="AC65" s="36"/>
    </row>
    <row r="66" spans="1:29" ht="15" customHeight="1" x14ac:dyDescent="0.25">
      <c r="A66" s="46"/>
      <c r="B66" s="46"/>
      <c r="C66" s="21"/>
      <c r="D66" s="47"/>
      <c r="E66" s="21"/>
      <c r="F66" s="21"/>
      <c r="G66" s="21"/>
      <c r="H66" s="21"/>
      <c r="I66" s="21"/>
      <c r="J66" s="21"/>
      <c r="K66" s="21"/>
      <c r="L66" s="21"/>
      <c r="M66" s="91">
        <f t="shared" si="3"/>
        <v>0</v>
      </c>
      <c r="N66" s="20"/>
      <c r="O66" s="21"/>
      <c r="P66" s="20"/>
      <c r="Q66" s="4"/>
      <c r="R66" s="20"/>
      <c r="S66" s="4"/>
      <c r="T66" s="20"/>
      <c r="U66" s="4"/>
      <c r="V66" s="20"/>
      <c r="W66" s="4"/>
      <c r="X66" s="20"/>
      <c r="Y66" s="4"/>
      <c r="Z66" s="20"/>
      <c r="AA66" s="21"/>
      <c r="AB66" s="21"/>
      <c r="AC66" s="36"/>
    </row>
    <row r="67" spans="1:29" ht="15" customHeight="1" x14ac:dyDescent="0.25">
      <c r="A67" s="46"/>
      <c r="B67" s="46"/>
      <c r="C67" s="21"/>
      <c r="D67" s="47"/>
      <c r="E67" s="21"/>
      <c r="F67" s="21"/>
      <c r="G67" s="21"/>
      <c r="H67" s="21"/>
      <c r="I67" s="21"/>
      <c r="J67" s="21"/>
      <c r="K67" s="21"/>
      <c r="L67" s="21"/>
      <c r="M67" s="91">
        <f t="shared" si="3"/>
        <v>0</v>
      </c>
      <c r="N67" s="20"/>
      <c r="O67" s="21"/>
      <c r="P67" s="20"/>
      <c r="Q67" s="4"/>
      <c r="R67" s="20"/>
      <c r="S67" s="4"/>
      <c r="T67" s="20"/>
      <c r="U67" s="4"/>
      <c r="V67" s="20"/>
      <c r="W67" s="4"/>
      <c r="X67" s="20"/>
      <c r="Y67" s="4"/>
      <c r="Z67" s="20"/>
      <c r="AA67" s="21"/>
      <c r="AB67" s="21"/>
      <c r="AC67" s="36"/>
    </row>
    <row r="68" spans="1:29" ht="15" customHeight="1" x14ac:dyDescent="0.25">
      <c r="A68" s="46"/>
      <c r="B68" s="46"/>
      <c r="C68" s="21"/>
      <c r="D68" s="47"/>
      <c r="E68" s="21"/>
      <c r="F68" s="48"/>
      <c r="G68" s="21"/>
      <c r="H68" s="21"/>
      <c r="I68" s="21"/>
      <c r="J68" s="21"/>
      <c r="K68" s="21"/>
      <c r="L68" s="21"/>
      <c r="M68" s="91">
        <f t="shared" si="3"/>
        <v>0</v>
      </c>
      <c r="N68" s="20"/>
      <c r="O68" s="21"/>
      <c r="P68" s="20"/>
      <c r="Q68" s="4"/>
      <c r="R68" s="20"/>
      <c r="S68" s="4"/>
      <c r="T68" s="20"/>
      <c r="U68" s="4"/>
      <c r="V68" s="20"/>
      <c r="W68" s="4"/>
      <c r="X68" s="20"/>
      <c r="Y68" s="4"/>
      <c r="Z68" s="20"/>
      <c r="AA68" s="21"/>
      <c r="AB68" s="21"/>
      <c r="AC68" s="36"/>
    </row>
    <row r="69" spans="1:29" ht="15" customHeight="1" x14ac:dyDescent="0.25">
      <c r="A69" s="46"/>
      <c r="B69" s="46"/>
      <c r="C69" s="21"/>
      <c r="D69" s="47"/>
      <c r="E69" s="21"/>
      <c r="F69" s="48"/>
      <c r="G69" s="21"/>
      <c r="H69" s="21"/>
      <c r="I69" s="21"/>
      <c r="J69" s="21"/>
      <c r="K69" s="21"/>
      <c r="L69" s="21"/>
      <c r="M69" s="91">
        <f t="shared" si="3"/>
        <v>0</v>
      </c>
      <c r="N69" s="20"/>
      <c r="O69" s="21"/>
      <c r="P69" s="20"/>
      <c r="Q69" s="4"/>
      <c r="R69" s="20"/>
      <c r="S69" s="4"/>
      <c r="T69" s="20"/>
      <c r="U69" s="4"/>
      <c r="V69" s="20"/>
      <c r="W69" s="4"/>
      <c r="X69" s="20"/>
      <c r="Y69" s="4"/>
      <c r="Z69" s="20"/>
      <c r="AA69" s="21"/>
      <c r="AB69" s="21"/>
      <c r="AC69" s="36"/>
    </row>
    <row r="70" spans="1:29" ht="15" customHeight="1" x14ac:dyDescent="0.25">
      <c r="A70" s="46"/>
      <c r="B70" s="46"/>
      <c r="C70" s="21"/>
      <c r="D70" s="47"/>
      <c r="E70" s="21"/>
      <c r="F70" s="48"/>
      <c r="G70" s="21"/>
      <c r="H70" s="21"/>
      <c r="I70" s="21"/>
      <c r="J70" s="21"/>
      <c r="K70" s="21"/>
      <c r="L70" s="21"/>
      <c r="M70" s="91">
        <f t="shared" ref="M70:M133" si="4">SUM(N70:Z70)</f>
        <v>0</v>
      </c>
      <c r="N70" s="20"/>
      <c r="O70" s="21"/>
      <c r="P70" s="20"/>
      <c r="Q70" s="4"/>
      <c r="R70" s="20"/>
      <c r="S70" s="4"/>
      <c r="T70" s="20"/>
      <c r="U70" s="4"/>
      <c r="V70" s="20"/>
      <c r="W70" s="4"/>
      <c r="X70" s="20"/>
      <c r="Y70" s="4"/>
      <c r="Z70" s="20"/>
      <c r="AA70" s="21"/>
      <c r="AB70" s="21"/>
      <c r="AC70" s="36"/>
    </row>
    <row r="71" spans="1:29" ht="15" customHeight="1" x14ac:dyDescent="0.25">
      <c r="A71" s="46"/>
      <c r="B71" s="46"/>
      <c r="C71" s="21"/>
      <c r="D71" s="47"/>
      <c r="E71" s="21"/>
      <c r="F71" s="21"/>
      <c r="G71" s="21"/>
      <c r="H71" s="21"/>
      <c r="I71" s="21"/>
      <c r="J71" s="21"/>
      <c r="K71" s="21"/>
      <c r="L71" s="21"/>
      <c r="M71" s="91">
        <f t="shared" si="4"/>
        <v>0</v>
      </c>
      <c r="N71" s="20"/>
      <c r="O71" s="21"/>
      <c r="P71" s="20"/>
      <c r="Q71" s="4"/>
      <c r="R71" s="20"/>
      <c r="S71" s="4"/>
      <c r="T71" s="20"/>
      <c r="U71" s="4"/>
      <c r="V71" s="20"/>
      <c r="W71" s="4"/>
      <c r="X71" s="20"/>
      <c r="Y71" s="4"/>
      <c r="Z71" s="20"/>
      <c r="AA71" s="21"/>
      <c r="AB71" s="21"/>
      <c r="AC71" s="36"/>
    </row>
    <row r="72" spans="1:29" ht="15" customHeight="1" x14ac:dyDescent="0.25">
      <c r="A72" s="46"/>
      <c r="B72" s="46"/>
      <c r="C72" s="21"/>
      <c r="D72" s="47"/>
      <c r="E72" s="21"/>
      <c r="F72" s="21"/>
      <c r="G72" s="21"/>
      <c r="H72" s="21"/>
      <c r="I72" s="21"/>
      <c r="J72" s="21"/>
      <c r="K72" s="21"/>
      <c r="L72" s="21"/>
      <c r="M72" s="91">
        <f t="shared" si="4"/>
        <v>0</v>
      </c>
      <c r="N72" s="20"/>
      <c r="O72" s="21"/>
      <c r="P72" s="20"/>
      <c r="Q72" s="4"/>
      <c r="R72" s="20"/>
      <c r="S72" s="4"/>
      <c r="T72" s="20"/>
      <c r="U72" s="4"/>
      <c r="V72" s="20"/>
      <c r="W72" s="4"/>
      <c r="X72" s="20"/>
      <c r="Y72" s="4"/>
      <c r="Z72" s="20"/>
      <c r="AA72" s="21"/>
      <c r="AB72" s="21"/>
      <c r="AC72" s="36"/>
    </row>
    <row r="73" spans="1:29" ht="15" customHeight="1" x14ac:dyDescent="0.25">
      <c r="A73" s="46"/>
      <c r="B73" s="46"/>
      <c r="C73" s="21"/>
      <c r="D73" s="47"/>
      <c r="E73" s="21"/>
      <c r="F73" s="21"/>
      <c r="G73" s="21"/>
      <c r="H73" s="21"/>
      <c r="I73" s="21"/>
      <c r="J73" s="21"/>
      <c r="K73" s="21"/>
      <c r="L73" s="21"/>
      <c r="M73" s="91">
        <f t="shared" si="4"/>
        <v>0</v>
      </c>
      <c r="N73" s="20"/>
      <c r="O73" s="21"/>
      <c r="P73" s="20"/>
      <c r="Q73" s="4"/>
      <c r="R73" s="20"/>
      <c r="S73" s="4"/>
      <c r="T73" s="20"/>
      <c r="U73" s="4"/>
      <c r="V73" s="20"/>
      <c r="W73" s="4"/>
      <c r="X73" s="20"/>
      <c r="Y73" s="4"/>
      <c r="Z73" s="20"/>
      <c r="AA73" s="21"/>
      <c r="AB73" s="21"/>
      <c r="AC73" s="36"/>
    </row>
    <row r="74" spans="1:29" ht="15" customHeight="1" x14ac:dyDescent="0.25">
      <c r="A74" s="46"/>
      <c r="B74" s="46"/>
      <c r="C74" s="21"/>
      <c r="D74" s="47"/>
      <c r="E74" s="21"/>
      <c r="F74" s="21"/>
      <c r="G74" s="21"/>
      <c r="H74" s="21"/>
      <c r="I74" s="21"/>
      <c r="J74" s="21"/>
      <c r="K74" s="21"/>
      <c r="L74" s="21"/>
      <c r="M74" s="91">
        <f t="shared" si="4"/>
        <v>0</v>
      </c>
      <c r="N74" s="20"/>
      <c r="O74" s="21"/>
      <c r="P74" s="20"/>
      <c r="Q74" s="4"/>
      <c r="R74" s="20"/>
      <c r="S74" s="4"/>
      <c r="T74" s="20"/>
      <c r="U74" s="4"/>
      <c r="V74" s="20"/>
      <c r="W74" s="4"/>
      <c r="X74" s="20"/>
      <c r="Y74" s="4"/>
      <c r="Z74" s="20"/>
      <c r="AA74" s="21"/>
      <c r="AB74" s="21"/>
      <c r="AC74" s="36"/>
    </row>
    <row r="75" spans="1:29" ht="15" customHeight="1" x14ac:dyDescent="0.25">
      <c r="A75" s="46"/>
      <c r="B75" s="46"/>
      <c r="C75" s="21"/>
      <c r="D75" s="47"/>
      <c r="E75" s="21"/>
      <c r="F75" s="21"/>
      <c r="G75" s="21"/>
      <c r="H75" s="21"/>
      <c r="I75" s="21"/>
      <c r="J75" s="21"/>
      <c r="K75" s="21"/>
      <c r="L75" s="21"/>
      <c r="M75" s="91">
        <f t="shared" si="4"/>
        <v>0</v>
      </c>
      <c r="N75" s="20"/>
      <c r="O75" s="21"/>
      <c r="P75" s="20"/>
      <c r="Q75" s="4"/>
      <c r="R75" s="20"/>
      <c r="S75" s="4"/>
      <c r="T75" s="20"/>
      <c r="U75" s="4"/>
      <c r="V75" s="20"/>
      <c r="W75" s="4"/>
      <c r="X75" s="20"/>
      <c r="Y75" s="4"/>
      <c r="Z75" s="20"/>
      <c r="AA75" s="21"/>
      <c r="AB75" s="21"/>
      <c r="AC75" s="36"/>
    </row>
    <row r="76" spans="1:29" ht="15" customHeight="1" x14ac:dyDescent="0.25">
      <c r="A76" s="46"/>
      <c r="B76" s="46"/>
      <c r="C76" s="21"/>
      <c r="D76" s="47"/>
      <c r="E76" s="21"/>
      <c r="F76" s="21"/>
      <c r="G76" s="21"/>
      <c r="H76" s="21"/>
      <c r="I76" s="21"/>
      <c r="J76" s="21"/>
      <c r="K76" s="21"/>
      <c r="L76" s="21"/>
      <c r="M76" s="91">
        <f t="shared" si="4"/>
        <v>0</v>
      </c>
      <c r="N76" s="20"/>
      <c r="O76" s="21"/>
      <c r="P76" s="20"/>
      <c r="Q76" s="4"/>
      <c r="R76" s="20"/>
      <c r="S76" s="4"/>
      <c r="T76" s="20"/>
      <c r="U76" s="4"/>
      <c r="V76" s="20"/>
      <c r="W76" s="4"/>
      <c r="X76" s="20"/>
      <c r="Y76" s="4"/>
      <c r="Z76" s="20"/>
      <c r="AA76" s="21"/>
      <c r="AB76" s="21"/>
      <c r="AC76" s="36"/>
    </row>
    <row r="77" spans="1:29" ht="15" customHeight="1" x14ac:dyDescent="0.25">
      <c r="A77" s="46"/>
      <c r="B77" s="46"/>
      <c r="C77" s="21"/>
      <c r="D77" s="47"/>
      <c r="E77" s="21"/>
      <c r="F77" s="21"/>
      <c r="G77" s="21"/>
      <c r="H77" s="21"/>
      <c r="I77" s="21"/>
      <c r="J77" s="21"/>
      <c r="K77" s="21"/>
      <c r="L77" s="21"/>
      <c r="M77" s="91">
        <f t="shared" si="4"/>
        <v>0</v>
      </c>
      <c r="N77" s="20"/>
      <c r="O77" s="21"/>
      <c r="P77" s="20"/>
      <c r="Q77" s="4"/>
      <c r="R77" s="20"/>
      <c r="S77" s="4"/>
      <c r="T77" s="20"/>
      <c r="U77" s="4"/>
      <c r="V77" s="20"/>
      <c r="W77" s="4"/>
      <c r="X77" s="20"/>
      <c r="Y77" s="4"/>
      <c r="Z77" s="20"/>
      <c r="AA77" s="21"/>
      <c r="AB77" s="21"/>
      <c r="AC77" s="36"/>
    </row>
    <row r="78" spans="1:29" ht="15" customHeight="1" x14ac:dyDescent="0.25">
      <c r="A78" s="46"/>
      <c r="B78" s="46"/>
      <c r="C78" s="21"/>
      <c r="D78" s="47"/>
      <c r="E78" s="21"/>
      <c r="F78" s="21"/>
      <c r="G78" s="21"/>
      <c r="H78" s="21"/>
      <c r="I78" s="21"/>
      <c r="J78" s="21"/>
      <c r="K78" s="21"/>
      <c r="L78" s="21"/>
      <c r="M78" s="91">
        <f t="shared" si="4"/>
        <v>0</v>
      </c>
      <c r="N78" s="20"/>
      <c r="O78" s="21"/>
      <c r="P78" s="20"/>
      <c r="Q78" s="4"/>
      <c r="R78" s="20"/>
      <c r="S78" s="4"/>
      <c r="T78" s="20"/>
      <c r="U78" s="4"/>
      <c r="V78" s="20"/>
      <c r="W78" s="4"/>
      <c r="X78" s="20"/>
      <c r="Y78" s="4"/>
      <c r="Z78" s="20"/>
      <c r="AA78" s="21"/>
      <c r="AB78" s="21"/>
      <c r="AC78" s="36"/>
    </row>
    <row r="79" spans="1:29" ht="15" customHeight="1" x14ac:dyDescent="0.25">
      <c r="A79" s="46"/>
      <c r="B79" s="46"/>
      <c r="C79" s="21"/>
      <c r="D79" s="47"/>
      <c r="E79" s="21"/>
      <c r="F79" s="21"/>
      <c r="G79" s="21"/>
      <c r="H79" s="21"/>
      <c r="I79" s="21"/>
      <c r="J79" s="21"/>
      <c r="K79" s="21"/>
      <c r="L79" s="21"/>
      <c r="M79" s="91">
        <f t="shared" si="4"/>
        <v>0</v>
      </c>
      <c r="N79" s="20"/>
      <c r="O79" s="21"/>
      <c r="P79" s="20"/>
      <c r="Q79" s="4"/>
      <c r="R79" s="20"/>
      <c r="S79" s="4"/>
      <c r="T79" s="20"/>
      <c r="U79" s="4"/>
      <c r="V79" s="20"/>
      <c r="W79" s="4"/>
      <c r="X79" s="20"/>
      <c r="Y79" s="4"/>
      <c r="Z79" s="20"/>
      <c r="AA79" s="21"/>
      <c r="AB79" s="21"/>
      <c r="AC79" s="36"/>
    </row>
    <row r="80" spans="1:29" ht="15" customHeight="1" x14ac:dyDescent="0.25">
      <c r="A80" s="46"/>
      <c r="B80" s="46"/>
      <c r="C80" s="21"/>
      <c r="D80" s="47"/>
      <c r="E80" s="21"/>
      <c r="F80" s="21"/>
      <c r="G80" s="21"/>
      <c r="H80" s="21"/>
      <c r="I80" s="21"/>
      <c r="J80" s="21"/>
      <c r="K80" s="21"/>
      <c r="L80" s="21"/>
      <c r="M80" s="91">
        <f t="shared" si="4"/>
        <v>0</v>
      </c>
      <c r="N80" s="20"/>
      <c r="O80" s="21"/>
      <c r="P80" s="20"/>
      <c r="Q80" s="4"/>
      <c r="R80" s="20"/>
      <c r="S80" s="4"/>
      <c r="T80" s="20"/>
      <c r="U80" s="4"/>
      <c r="V80" s="20"/>
      <c r="W80" s="4"/>
      <c r="X80" s="20"/>
      <c r="Y80" s="4"/>
      <c r="Z80" s="20"/>
      <c r="AA80" s="21"/>
      <c r="AB80" s="21"/>
      <c r="AC80" s="36"/>
    </row>
    <row r="81" spans="1:29" ht="15" customHeight="1" x14ac:dyDescent="0.25">
      <c r="A81" s="46"/>
      <c r="B81" s="46"/>
      <c r="C81" s="21"/>
      <c r="D81" s="47"/>
      <c r="E81" s="21"/>
      <c r="F81" s="21"/>
      <c r="G81" s="21"/>
      <c r="H81" s="21"/>
      <c r="I81" s="21"/>
      <c r="J81" s="21"/>
      <c r="K81" s="21"/>
      <c r="L81" s="21"/>
      <c r="M81" s="91">
        <f t="shared" si="4"/>
        <v>0</v>
      </c>
      <c r="N81" s="20"/>
      <c r="O81" s="21"/>
      <c r="P81" s="20"/>
      <c r="Q81" s="4"/>
      <c r="R81" s="20"/>
      <c r="S81" s="4"/>
      <c r="T81" s="20"/>
      <c r="U81" s="4"/>
      <c r="V81" s="20"/>
      <c r="W81" s="4"/>
      <c r="X81" s="20"/>
      <c r="Y81" s="4"/>
      <c r="Z81" s="20"/>
      <c r="AA81" s="21"/>
      <c r="AB81" s="21"/>
      <c r="AC81" s="36"/>
    </row>
    <row r="82" spans="1:29" ht="15" customHeight="1" x14ac:dyDescent="0.25">
      <c r="A82" s="46"/>
      <c r="B82" s="46"/>
      <c r="C82" s="21"/>
      <c r="D82" s="47"/>
      <c r="E82" s="21"/>
      <c r="F82" s="21"/>
      <c r="G82" s="21"/>
      <c r="H82" s="21"/>
      <c r="I82" s="21"/>
      <c r="J82" s="21"/>
      <c r="K82" s="21"/>
      <c r="L82" s="21"/>
      <c r="M82" s="91">
        <f t="shared" si="4"/>
        <v>0</v>
      </c>
      <c r="N82" s="20"/>
      <c r="O82" s="21"/>
      <c r="P82" s="20"/>
      <c r="Q82" s="4"/>
      <c r="R82" s="20"/>
      <c r="S82" s="4"/>
      <c r="T82" s="20"/>
      <c r="U82" s="4"/>
      <c r="V82" s="20"/>
      <c r="W82" s="4"/>
      <c r="X82" s="20"/>
      <c r="Y82" s="4"/>
      <c r="Z82" s="20"/>
      <c r="AA82" s="21"/>
      <c r="AB82" s="21"/>
      <c r="AC82" s="36"/>
    </row>
    <row r="83" spans="1:29" ht="15" customHeight="1" x14ac:dyDescent="0.25">
      <c r="A83" s="46"/>
      <c r="B83" s="46"/>
      <c r="C83" s="21"/>
      <c r="D83" s="47"/>
      <c r="E83" s="21"/>
      <c r="F83" s="21"/>
      <c r="G83" s="21"/>
      <c r="H83" s="21"/>
      <c r="I83" s="21"/>
      <c r="J83" s="21"/>
      <c r="K83" s="21"/>
      <c r="L83" s="21"/>
      <c r="M83" s="91">
        <f t="shared" si="4"/>
        <v>0</v>
      </c>
      <c r="N83" s="20"/>
      <c r="O83" s="21"/>
      <c r="P83" s="20"/>
      <c r="Q83" s="4"/>
      <c r="R83" s="20"/>
      <c r="S83" s="4"/>
      <c r="T83" s="20"/>
      <c r="U83" s="4"/>
      <c r="V83" s="20"/>
      <c r="W83" s="4"/>
      <c r="X83" s="20"/>
      <c r="Y83" s="4"/>
      <c r="Z83" s="20"/>
      <c r="AA83" s="21"/>
      <c r="AB83" s="21"/>
      <c r="AC83" s="36"/>
    </row>
    <row r="84" spans="1:29" ht="15" customHeight="1" x14ac:dyDescent="0.25">
      <c r="A84" s="46"/>
      <c r="B84" s="46"/>
      <c r="C84" s="21"/>
      <c r="D84" s="47"/>
      <c r="E84" s="21"/>
      <c r="F84" s="21"/>
      <c r="G84" s="21"/>
      <c r="H84" s="21"/>
      <c r="I84" s="21"/>
      <c r="J84" s="21"/>
      <c r="K84" s="21"/>
      <c r="L84" s="21"/>
      <c r="M84" s="91">
        <f t="shared" si="4"/>
        <v>0</v>
      </c>
      <c r="N84" s="20"/>
      <c r="O84" s="21"/>
      <c r="P84" s="20"/>
      <c r="Q84" s="4"/>
      <c r="R84" s="20"/>
      <c r="S84" s="4"/>
      <c r="T84" s="20"/>
      <c r="U84" s="4"/>
      <c r="V84" s="20"/>
      <c r="W84" s="4"/>
      <c r="X84" s="20"/>
      <c r="Y84" s="4"/>
      <c r="Z84" s="20"/>
      <c r="AA84" s="21"/>
      <c r="AB84" s="21"/>
      <c r="AC84" s="36"/>
    </row>
    <row r="85" spans="1:29" ht="15" customHeight="1" x14ac:dyDescent="0.25">
      <c r="A85" s="46"/>
      <c r="B85" s="46"/>
      <c r="C85" s="21"/>
      <c r="D85" s="47"/>
      <c r="E85" s="21"/>
      <c r="F85" s="21"/>
      <c r="G85" s="21"/>
      <c r="H85" s="21"/>
      <c r="I85" s="21"/>
      <c r="J85" s="21"/>
      <c r="K85" s="21"/>
      <c r="L85" s="21"/>
      <c r="M85" s="91">
        <f t="shared" si="4"/>
        <v>0</v>
      </c>
      <c r="N85" s="20"/>
      <c r="O85" s="21"/>
      <c r="P85" s="20"/>
      <c r="Q85" s="4"/>
      <c r="R85" s="20"/>
      <c r="S85" s="4"/>
      <c r="T85" s="20"/>
      <c r="U85" s="4"/>
      <c r="V85" s="20"/>
      <c r="W85" s="4"/>
      <c r="X85" s="20"/>
      <c r="Y85" s="4"/>
      <c r="Z85" s="20"/>
      <c r="AA85" s="21"/>
      <c r="AB85" s="21"/>
      <c r="AC85" s="36"/>
    </row>
    <row r="86" spans="1:29" ht="15" customHeight="1" x14ac:dyDescent="0.25">
      <c r="A86" s="46"/>
      <c r="B86" s="46"/>
      <c r="C86" s="21"/>
      <c r="D86" s="47"/>
      <c r="E86" s="21"/>
      <c r="F86" s="21"/>
      <c r="G86" s="21"/>
      <c r="H86" s="21"/>
      <c r="I86" s="21"/>
      <c r="J86" s="21"/>
      <c r="K86" s="21"/>
      <c r="L86" s="21"/>
      <c r="M86" s="91">
        <f t="shared" si="4"/>
        <v>0</v>
      </c>
      <c r="N86" s="20"/>
      <c r="O86" s="21"/>
      <c r="P86" s="20"/>
      <c r="Q86" s="4"/>
      <c r="R86" s="20"/>
      <c r="S86" s="4"/>
      <c r="T86" s="20"/>
      <c r="U86" s="4"/>
      <c r="V86" s="20"/>
      <c r="W86" s="4"/>
      <c r="X86" s="20"/>
      <c r="Y86" s="4"/>
      <c r="Z86" s="20"/>
      <c r="AA86" s="21"/>
      <c r="AB86" s="21"/>
      <c r="AC86" s="36"/>
    </row>
    <row r="87" spans="1:29" ht="15" customHeight="1" x14ac:dyDescent="0.25">
      <c r="A87" s="46"/>
      <c r="B87" s="46"/>
      <c r="C87" s="21"/>
      <c r="D87" s="47"/>
      <c r="E87" s="21"/>
      <c r="F87" s="36"/>
      <c r="G87" s="36"/>
      <c r="H87" s="36"/>
      <c r="I87" s="36"/>
      <c r="J87" s="36"/>
      <c r="K87" s="36"/>
      <c r="L87" s="36"/>
      <c r="M87" s="91">
        <f t="shared" si="4"/>
        <v>0</v>
      </c>
      <c r="N87" s="20"/>
      <c r="O87" s="21"/>
      <c r="P87" s="20"/>
      <c r="Q87" s="4"/>
      <c r="R87" s="20"/>
      <c r="S87" s="4"/>
      <c r="T87" s="20"/>
      <c r="U87" s="4"/>
      <c r="V87" s="20"/>
      <c r="W87" s="4"/>
      <c r="X87" s="20"/>
      <c r="Y87" s="4"/>
      <c r="Z87" s="20"/>
      <c r="AA87" s="21"/>
      <c r="AB87" s="21"/>
      <c r="AC87" s="36"/>
    </row>
    <row r="88" spans="1:29" ht="15" customHeight="1" x14ac:dyDescent="0.25">
      <c r="A88" s="46"/>
      <c r="B88" s="46"/>
      <c r="C88" s="21"/>
      <c r="D88" s="47"/>
      <c r="E88" s="21"/>
      <c r="F88" s="21"/>
      <c r="G88" s="21"/>
      <c r="H88" s="21"/>
      <c r="I88" s="21"/>
      <c r="J88" s="21"/>
      <c r="K88" s="21"/>
      <c r="L88" s="21"/>
      <c r="M88" s="91">
        <f t="shared" si="4"/>
        <v>0</v>
      </c>
      <c r="N88" s="20"/>
      <c r="O88" s="21"/>
      <c r="P88" s="20"/>
      <c r="Q88" s="4"/>
      <c r="R88" s="20"/>
      <c r="S88" s="4"/>
      <c r="T88" s="20"/>
      <c r="U88" s="4"/>
      <c r="V88" s="20"/>
      <c r="W88" s="4"/>
      <c r="X88" s="20"/>
      <c r="Y88" s="4"/>
      <c r="Z88" s="20"/>
      <c r="AA88" s="21"/>
      <c r="AB88" s="21"/>
      <c r="AC88" s="36"/>
    </row>
    <row r="89" spans="1:29" ht="15" customHeight="1" x14ac:dyDescent="0.25">
      <c r="A89" s="46"/>
      <c r="B89" s="46"/>
      <c r="C89" s="21"/>
      <c r="D89" s="47"/>
      <c r="E89" s="21"/>
      <c r="F89" s="21"/>
      <c r="G89" s="21"/>
      <c r="H89" s="21"/>
      <c r="I89" s="21"/>
      <c r="J89" s="21"/>
      <c r="K89" s="21"/>
      <c r="L89" s="21"/>
      <c r="M89" s="91">
        <f t="shared" si="4"/>
        <v>0</v>
      </c>
      <c r="N89" s="20"/>
      <c r="O89" s="21"/>
      <c r="P89" s="20"/>
      <c r="Q89" s="4"/>
      <c r="R89" s="20"/>
      <c r="S89" s="4"/>
      <c r="T89" s="20"/>
      <c r="U89" s="4"/>
      <c r="V89" s="20"/>
      <c r="W89" s="4"/>
      <c r="X89" s="20"/>
      <c r="Y89" s="4"/>
      <c r="Z89" s="20"/>
      <c r="AA89" s="21"/>
      <c r="AB89" s="21"/>
      <c r="AC89" s="36"/>
    </row>
    <row r="90" spans="1:29" ht="15" customHeight="1" x14ac:dyDescent="0.25">
      <c r="A90" s="46"/>
      <c r="B90" s="46"/>
      <c r="C90" s="21"/>
      <c r="D90" s="47"/>
      <c r="E90" s="21"/>
      <c r="F90" s="21"/>
      <c r="G90" s="21"/>
      <c r="H90" s="21"/>
      <c r="I90" s="21"/>
      <c r="J90" s="21"/>
      <c r="K90" s="21"/>
      <c r="L90" s="21"/>
      <c r="M90" s="91">
        <f t="shared" si="4"/>
        <v>0</v>
      </c>
      <c r="N90" s="20"/>
      <c r="O90" s="21"/>
      <c r="P90" s="20"/>
      <c r="Q90" s="4"/>
      <c r="R90" s="20"/>
      <c r="S90" s="4"/>
      <c r="T90" s="20"/>
      <c r="U90" s="4"/>
      <c r="V90" s="20"/>
      <c r="W90" s="4"/>
      <c r="X90" s="20"/>
      <c r="Y90" s="4"/>
      <c r="Z90" s="20"/>
      <c r="AA90" s="21"/>
      <c r="AB90" s="21"/>
      <c r="AC90" s="36"/>
    </row>
    <row r="91" spans="1:29" ht="15" customHeight="1" x14ac:dyDescent="0.25">
      <c r="A91" s="46"/>
      <c r="B91" s="46"/>
      <c r="C91" s="21"/>
      <c r="D91" s="47"/>
      <c r="E91" s="21"/>
      <c r="F91" s="21"/>
      <c r="G91" s="21"/>
      <c r="H91" s="21"/>
      <c r="I91" s="21"/>
      <c r="J91" s="21"/>
      <c r="K91" s="21"/>
      <c r="L91" s="21"/>
      <c r="M91" s="91">
        <f t="shared" si="4"/>
        <v>0</v>
      </c>
      <c r="N91" s="20"/>
      <c r="O91" s="21"/>
      <c r="P91" s="20"/>
      <c r="Q91" s="4"/>
      <c r="R91" s="20"/>
      <c r="S91" s="4"/>
      <c r="T91" s="20"/>
      <c r="U91" s="4"/>
      <c r="V91" s="20"/>
      <c r="W91" s="4"/>
      <c r="X91" s="20"/>
      <c r="Y91" s="4"/>
      <c r="Z91" s="20"/>
      <c r="AA91" s="21"/>
      <c r="AB91" s="21"/>
      <c r="AC91" s="36"/>
    </row>
    <row r="92" spans="1:29" ht="15" customHeight="1" x14ac:dyDescent="0.25">
      <c r="A92" s="46"/>
      <c r="B92" s="46"/>
      <c r="C92" s="21"/>
      <c r="D92" s="47"/>
      <c r="E92" s="21"/>
      <c r="F92" s="21"/>
      <c r="G92" s="21"/>
      <c r="H92" s="21"/>
      <c r="I92" s="21"/>
      <c r="J92" s="21"/>
      <c r="K92" s="21"/>
      <c r="L92" s="21"/>
      <c r="M92" s="91">
        <f t="shared" si="4"/>
        <v>0</v>
      </c>
      <c r="N92" s="20"/>
      <c r="O92" s="21"/>
      <c r="P92" s="20"/>
      <c r="Q92" s="4"/>
      <c r="R92" s="20"/>
      <c r="S92" s="4"/>
      <c r="T92" s="20"/>
      <c r="U92" s="4"/>
      <c r="V92" s="20"/>
      <c r="W92" s="4"/>
      <c r="X92" s="20"/>
      <c r="Y92" s="4"/>
      <c r="Z92" s="20"/>
      <c r="AA92" s="21"/>
      <c r="AB92" s="21"/>
      <c r="AC92" s="36"/>
    </row>
    <row r="93" spans="1:29" ht="15" customHeight="1" x14ac:dyDescent="0.25">
      <c r="A93" s="46"/>
      <c r="B93" s="46"/>
      <c r="C93" s="21"/>
      <c r="D93" s="47"/>
      <c r="E93" s="21"/>
      <c r="F93" s="21"/>
      <c r="G93" s="21"/>
      <c r="H93" s="21"/>
      <c r="I93" s="21"/>
      <c r="J93" s="21"/>
      <c r="K93" s="21"/>
      <c r="L93" s="21"/>
      <c r="M93" s="91">
        <f t="shared" si="4"/>
        <v>0</v>
      </c>
      <c r="N93" s="20"/>
      <c r="O93" s="21"/>
      <c r="P93" s="20"/>
      <c r="Q93" s="4"/>
      <c r="R93" s="20"/>
      <c r="S93" s="4"/>
      <c r="T93" s="20"/>
      <c r="U93" s="4"/>
      <c r="V93" s="20"/>
      <c r="W93" s="4"/>
      <c r="X93" s="20"/>
      <c r="Y93" s="4"/>
      <c r="Z93" s="20"/>
      <c r="AA93" s="21"/>
      <c r="AB93" s="21"/>
      <c r="AC93" s="36"/>
    </row>
    <row r="94" spans="1:29" ht="15" customHeight="1" x14ac:dyDescent="0.25">
      <c r="A94" s="46"/>
      <c r="B94" s="46"/>
      <c r="C94" s="21"/>
      <c r="D94" s="47"/>
      <c r="E94" s="21"/>
      <c r="F94" s="21"/>
      <c r="G94" s="21"/>
      <c r="H94" s="21"/>
      <c r="I94" s="21"/>
      <c r="J94" s="21"/>
      <c r="K94" s="21"/>
      <c r="L94" s="21"/>
      <c r="M94" s="91">
        <f t="shared" si="4"/>
        <v>0</v>
      </c>
      <c r="N94" s="20"/>
      <c r="O94" s="21"/>
      <c r="P94" s="20"/>
      <c r="Q94" s="21"/>
      <c r="R94" s="20"/>
      <c r="S94" s="21"/>
      <c r="T94" s="20"/>
      <c r="U94" s="21"/>
      <c r="V94" s="20"/>
      <c r="W94" s="21"/>
      <c r="X94" s="20"/>
      <c r="Y94" s="21"/>
      <c r="Z94" s="20"/>
      <c r="AA94" s="21"/>
      <c r="AB94" s="21"/>
      <c r="AC94" s="21"/>
    </row>
    <row r="95" spans="1:29" ht="15" customHeight="1" x14ac:dyDescent="0.25">
      <c r="A95" s="46"/>
      <c r="B95" s="46"/>
      <c r="C95" s="21"/>
      <c r="D95" s="47"/>
      <c r="E95" s="21"/>
      <c r="F95" s="21"/>
      <c r="G95" s="21"/>
      <c r="H95" s="21"/>
      <c r="I95" s="21"/>
      <c r="J95" s="21"/>
      <c r="K95" s="21"/>
      <c r="L95" s="21"/>
      <c r="M95" s="91">
        <f t="shared" si="4"/>
        <v>0</v>
      </c>
      <c r="N95" s="20"/>
      <c r="O95" s="21"/>
      <c r="P95" s="20"/>
      <c r="Q95" s="4"/>
      <c r="R95" s="20"/>
      <c r="S95" s="4"/>
      <c r="T95" s="20"/>
      <c r="U95" s="4"/>
      <c r="V95" s="20"/>
      <c r="W95" s="4"/>
      <c r="X95" s="20"/>
      <c r="Y95" s="4"/>
      <c r="Z95" s="20"/>
      <c r="AA95" s="21"/>
      <c r="AB95" s="21"/>
      <c r="AC95" s="36"/>
    </row>
    <row r="96" spans="1:29" ht="15" customHeight="1" x14ac:dyDescent="0.25">
      <c r="A96" s="46"/>
      <c r="B96" s="46"/>
      <c r="C96" s="21"/>
      <c r="D96" s="47"/>
      <c r="E96" s="21"/>
      <c r="F96" s="21"/>
      <c r="G96" s="21"/>
      <c r="H96" s="21"/>
      <c r="I96" s="21"/>
      <c r="J96" s="21"/>
      <c r="K96" s="21"/>
      <c r="L96" s="21"/>
      <c r="M96" s="91">
        <f t="shared" si="4"/>
        <v>0</v>
      </c>
      <c r="N96" s="20"/>
      <c r="O96" s="21"/>
      <c r="P96" s="20"/>
      <c r="Q96" s="4"/>
      <c r="R96" s="20"/>
      <c r="S96" s="4"/>
      <c r="T96" s="20"/>
      <c r="U96" s="4"/>
      <c r="V96" s="20"/>
      <c r="W96" s="4"/>
      <c r="X96" s="20"/>
      <c r="Y96" s="4"/>
      <c r="Z96" s="20"/>
      <c r="AA96" s="21"/>
      <c r="AB96" s="21"/>
      <c r="AC96" s="36"/>
    </row>
    <row r="97" spans="1:29" ht="15" customHeight="1" x14ac:dyDescent="0.25">
      <c r="A97" s="46"/>
      <c r="B97" s="46"/>
      <c r="C97" s="21"/>
      <c r="D97" s="47"/>
      <c r="E97" s="21"/>
      <c r="F97" s="21"/>
      <c r="G97" s="21"/>
      <c r="H97" s="21"/>
      <c r="I97" s="21"/>
      <c r="J97" s="21"/>
      <c r="K97" s="21"/>
      <c r="L97" s="21"/>
      <c r="M97" s="91">
        <f t="shared" si="4"/>
        <v>0</v>
      </c>
      <c r="N97" s="20"/>
      <c r="O97" s="21"/>
      <c r="P97" s="20"/>
      <c r="Q97" s="21"/>
      <c r="R97" s="20"/>
      <c r="S97" s="21"/>
      <c r="T97" s="20"/>
      <c r="U97" s="21"/>
      <c r="V97" s="20"/>
      <c r="W97" s="21"/>
      <c r="X97" s="20"/>
      <c r="Y97" s="21"/>
      <c r="Z97" s="20"/>
      <c r="AA97" s="21"/>
      <c r="AB97" s="21"/>
      <c r="AC97" s="21"/>
    </row>
    <row r="98" spans="1:29" ht="16.5" customHeight="1" x14ac:dyDescent="0.25">
      <c r="A98" s="46"/>
      <c r="B98" s="46"/>
      <c r="C98" s="21"/>
      <c r="D98" s="47"/>
      <c r="E98" s="21"/>
      <c r="F98" s="21"/>
      <c r="G98" s="21"/>
      <c r="H98" s="21"/>
      <c r="I98" s="21"/>
      <c r="J98" s="21"/>
      <c r="K98" s="21"/>
      <c r="L98" s="21"/>
      <c r="M98" s="91">
        <f t="shared" si="4"/>
        <v>0</v>
      </c>
      <c r="N98" s="20"/>
      <c r="O98" s="21"/>
      <c r="P98" s="20"/>
      <c r="Q98" s="4"/>
      <c r="R98" s="20"/>
      <c r="S98" s="4"/>
      <c r="T98" s="20"/>
      <c r="U98" s="4"/>
      <c r="V98" s="20"/>
      <c r="W98" s="4"/>
      <c r="X98" s="20"/>
      <c r="Y98" s="4"/>
      <c r="Z98" s="20"/>
      <c r="AA98" s="21"/>
      <c r="AB98" s="21"/>
      <c r="AC98" s="36"/>
    </row>
    <row r="99" spans="1:29" ht="16.5" customHeight="1" x14ac:dyDescent="0.25">
      <c r="A99" s="46"/>
      <c r="B99" s="46"/>
      <c r="C99" s="21"/>
      <c r="D99" s="47"/>
      <c r="E99" s="21"/>
      <c r="F99" s="21"/>
      <c r="G99" s="21"/>
      <c r="H99" s="21"/>
      <c r="I99" s="21"/>
      <c r="J99" s="21"/>
      <c r="K99" s="21"/>
      <c r="L99" s="21"/>
      <c r="M99" s="91">
        <f t="shared" si="4"/>
        <v>0</v>
      </c>
      <c r="N99" s="20"/>
      <c r="O99" s="21"/>
      <c r="P99" s="20"/>
      <c r="Q99" s="4"/>
      <c r="R99" s="20"/>
      <c r="S99" s="4"/>
      <c r="T99" s="20"/>
      <c r="U99" s="4"/>
      <c r="V99" s="20"/>
      <c r="W99" s="4"/>
      <c r="X99" s="20"/>
      <c r="Y99" s="4"/>
      <c r="Z99" s="20"/>
      <c r="AA99" s="21"/>
      <c r="AB99" s="21"/>
      <c r="AC99" s="36"/>
    </row>
    <row r="100" spans="1:29" ht="16.5" customHeight="1" x14ac:dyDescent="0.25">
      <c r="A100" s="46"/>
      <c r="B100" s="46"/>
      <c r="C100" s="21"/>
      <c r="D100" s="47"/>
      <c r="E100" s="21"/>
      <c r="F100" s="21"/>
      <c r="G100" s="21"/>
      <c r="H100" s="21"/>
      <c r="I100" s="21"/>
      <c r="J100" s="21"/>
      <c r="K100" s="21"/>
      <c r="L100" s="21"/>
      <c r="M100" s="91">
        <f t="shared" si="4"/>
        <v>0</v>
      </c>
      <c r="N100" s="20"/>
      <c r="O100" s="21"/>
      <c r="P100" s="20"/>
      <c r="Q100" s="4"/>
      <c r="R100" s="20"/>
      <c r="S100" s="4"/>
      <c r="T100" s="20"/>
      <c r="U100" s="4"/>
      <c r="V100" s="20"/>
      <c r="W100" s="4"/>
      <c r="X100" s="20"/>
      <c r="Y100" s="4"/>
      <c r="Z100" s="20"/>
      <c r="AA100" s="21"/>
      <c r="AB100" s="21"/>
      <c r="AC100" s="36"/>
    </row>
    <row r="101" spans="1:29" ht="16.5" customHeight="1" x14ac:dyDescent="0.25">
      <c r="A101" s="46"/>
      <c r="B101" s="46"/>
      <c r="C101" s="21"/>
      <c r="D101" s="47"/>
      <c r="E101" s="21"/>
      <c r="F101" s="21"/>
      <c r="G101" s="21"/>
      <c r="H101" s="21"/>
      <c r="I101" s="21"/>
      <c r="J101" s="21"/>
      <c r="K101" s="21"/>
      <c r="L101" s="21"/>
      <c r="M101" s="91">
        <f t="shared" si="4"/>
        <v>0</v>
      </c>
      <c r="N101" s="20"/>
      <c r="O101" s="21"/>
      <c r="P101" s="20"/>
      <c r="Q101" s="4"/>
      <c r="R101" s="20"/>
      <c r="S101" s="4"/>
      <c r="T101" s="20"/>
      <c r="U101" s="4"/>
      <c r="V101" s="20"/>
      <c r="W101" s="4"/>
      <c r="X101" s="20"/>
      <c r="Y101" s="4"/>
      <c r="Z101" s="20"/>
      <c r="AA101" s="21"/>
      <c r="AB101" s="21"/>
      <c r="AC101" s="36"/>
    </row>
    <row r="102" spans="1:29" ht="16.5" customHeight="1" x14ac:dyDescent="0.25">
      <c r="A102" s="46"/>
      <c r="B102" s="46"/>
      <c r="C102" s="21"/>
      <c r="D102" s="47"/>
      <c r="E102" s="21"/>
      <c r="F102" s="21"/>
      <c r="G102" s="21"/>
      <c r="H102" s="21"/>
      <c r="I102" s="21"/>
      <c r="J102" s="21"/>
      <c r="K102" s="21"/>
      <c r="L102" s="21"/>
      <c r="M102" s="91">
        <f t="shared" si="4"/>
        <v>0</v>
      </c>
      <c r="N102" s="20"/>
      <c r="O102" s="21"/>
      <c r="P102" s="20"/>
      <c r="Q102" s="4"/>
      <c r="R102" s="20"/>
      <c r="S102" s="4"/>
      <c r="T102" s="20"/>
      <c r="U102" s="4"/>
      <c r="V102" s="20"/>
      <c r="W102" s="4"/>
      <c r="X102" s="20"/>
      <c r="Y102" s="4"/>
      <c r="Z102" s="20"/>
      <c r="AA102" s="21"/>
      <c r="AB102" s="21"/>
      <c r="AC102" s="36"/>
    </row>
    <row r="103" spans="1:29" ht="16.5" customHeight="1" x14ac:dyDescent="0.25">
      <c r="A103" s="46"/>
      <c r="B103" s="46"/>
      <c r="C103" s="21"/>
      <c r="D103" s="47"/>
      <c r="E103" s="21"/>
      <c r="F103" s="21"/>
      <c r="G103" s="21"/>
      <c r="H103" s="21"/>
      <c r="I103" s="21"/>
      <c r="J103" s="21"/>
      <c r="K103" s="21"/>
      <c r="L103" s="21"/>
      <c r="M103" s="91">
        <f t="shared" si="4"/>
        <v>0</v>
      </c>
      <c r="N103" s="20"/>
      <c r="O103" s="21"/>
      <c r="P103" s="20"/>
      <c r="Q103" s="4"/>
      <c r="R103" s="20"/>
      <c r="S103" s="4"/>
      <c r="T103" s="20"/>
      <c r="U103" s="4"/>
      <c r="V103" s="20"/>
      <c r="W103" s="4"/>
      <c r="X103" s="20"/>
      <c r="Y103" s="4"/>
      <c r="Z103" s="20"/>
      <c r="AA103" s="21"/>
      <c r="AB103" s="21"/>
      <c r="AC103" s="36"/>
    </row>
    <row r="104" spans="1:29" ht="16.5" customHeight="1" x14ac:dyDescent="0.25">
      <c r="A104" s="46"/>
      <c r="B104" s="46"/>
      <c r="C104" s="21"/>
      <c r="D104" s="47"/>
      <c r="E104" s="21"/>
      <c r="F104" s="21"/>
      <c r="G104" s="21"/>
      <c r="H104" s="21"/>
      <c r="I104" s="21"/>
      <c r="J104" s="21"/>
      <c r="K104" s="21"/>
      <c r="L104" s="21"/>
      <c r="M104" s="91">
        <f t="shared" si="4"/>
        <v>0</v>
      </c>
      <c r="N104" s="20"/>
      <c r="O104" s="21"/>
      <c r="P104" s="20"/>
      <c r="Q104" s="4"/>
      <c r="R104" s="20"/>
      <c r="S104" s="4"/>
      <c r="T104" s="20"/>
      <c r="U104" s="4"/>
      <c r="V104" s="20"/>
      <c r="W104" s="4"/>
      <c r="X104" s="20"/>
      <c r="Y104" s="4"/>
      <c r="Z104" s="20"/>
      <c r="AA104" s="21"/>
      <c r="AB104" s="21"/>
      <c r="AC104" s="36"/>
    </row>
    <row r="105" spans="1:29" ht="16.5" customHeight="1" x14ac:dyDescent="0.25">
      <c r="A105" s="46"/>
      <c r="B105" s="46"/>
      <c r="C105" s="21"/>
      <c r="D105" s="47"/>
      <c r="E105" s="21"/>
      <c r="F105" s="21"/>
      <c r="G105" s="21"/>
      <c r="H105" s="21"/>
      <c r="I105" s="21"/>
      <c r="J105" s="21"/>
      <c r="K105" s="21"/>
      <c r="L105" s="21"/>
      <c r="M105" s="91">
        <f t="shared" si="4"/>
        <v>0</v>
      </c>
      <c r="N105" s="20"/>
      <c r="O105" s="21"/>
      <c r="P105" s="20"/>
      <c r="Q105" s="4"/>
      <c r="R105" s="20"/>
      <c r="S105" s="4"/>
      <c r="T105" s="20"/>
      <c r="U105" s="4"/>
      <c r="V105" s="20"/>
      <c r="W105" s="4"/>
      <c r="X105" s="20"/>
      <c r="Y105" s="4"/>
      <c r="Z105" s="20"/>
      <c r="AA105" s="21"/>
      <c r="AB105" s="21"/>
      <c r="AC105" s="36"/>
    </row>
    <row r="106" spans="1:29" ht="16.5" customHeight="1" x14ac:dyDescent="0.25">
      <c r="A106" s="46"/>
      <c r="B106" s="46"/>
      <c r="C106" s="21"/>
      <c r="D106" s="47"/>
      <c r="E106" s="21"/>
      <c r="F106" s="21"/>
      <c r="G106" s="21"/>
      <c r="H106" s="21"/>
      <c r="I106" s="21"/>
      <c r="J106" s="21"/>
      <c r="K106" s="21"/>
      <c r="L106" s="21"/>
      <c r="M106" s="91">
        <f t="shared" si="4"/>
        <v>0</v>
      </c>
      <c r="N106" s="20"/>
      <c r="O106" s="21"/>
      <c r="P106" s="20"/>
      <c r="Q106" s="4"/>
      <c r="R106" s="20"/>
      <c r="S106" s="4"/>
      <c r="T106" s="20"/>
      <c r="U106" s="4"/>
      <c r="V106" s="20"/>
      <c r="W106" s="4"/>
      <c r="X106" s="20"/>
      <c r="Y106" s="4"/>
      <c r="Z106" s="20"/>
      <c r="AA106" s="21"/>
      <c r="AB106" s="21"/>
      <c r="AC106" s="36"/>
    </row>
    <row r="107" spans="1:29" ht="15" customHeight="1" x14ac:dyDescent="0.25">
      <c r="A107" s="46"/>
      <c r="B107" s="46"/>
      <c r="C107" s="21"/>
      <c r="D107" s="47"/>
      <c r="E107" s="21"/>
      <c r="F107" s="21"/>
      <c r="G107" s="21"/>
      <c r="H107" s="21"/>
      <c r="I107" s="21"/>
      <c r="J107" s="21"/>
      <c r="K107" s="21"/>
      <c r="L107" s="21"/>
      <c r="M107" s="91">
        <f t="shared" si="4"/>
        <v>0</v>
      </c>
      <c r="N107" s="20"/>
      <c r="O107" s="21"/>
      <c r="P107" s="20"/>
      <c r="Q107" s="4"/>
      <c r="R107" s="20"/>
      <c r="S107" s="4"/>
      <c r="T107" s="20"/>
      <c r="U107" s="4"/>
      <c r="V107" s="20"/>
      <c r="W107" s="4"/>
      <c r="X107" s="20"/>
      <c r="Y107" s="4"/>
      <c r="Z107" s="20"/>
      <c r="AA107" s="21"/>
      <c r="AB107" s="21"/>
      <c r="AC107" s="36"/>
    </row>
    <row r="108" spans="1:29" ht="15" customHeight="1" x14ac:dyDescent="0.25">
      <c r="A108" s="46"/>
      <c r="B108" s="46"/>
      <c r="C108" s="21"/>
      <c r="D108" s="47"/>
      <c r="E108" s="21"/>
      <c r="F108" s="21"/>
      <c r="G108" s="21"/>
      <c r="H108" s="21"/>
      <c r="I108" s="21"/>
      <c r="J108" s="21"/>
      <c r="K108" s="21"/>
      <c r="L108" s="21"/>
      <c r="M108" s="91">
        <f t="shared" si="4"/>
        <v>0</v>
      </c>
      <c r="N108" s="20"/>
      <c r="O108" s="21"/>
      <c r="P108" s="20"/>
      <c r="Q108" s="4"/>
      <c r="R108" s="20"/>
      <c r="S108" s="4"/>
      <c r="T108" s="20"/>
      <c r="U108" s="4"/>
      <c r="V108" s="20"/>
      <c r="W108" s="4"/>
      <c r="X108" s="20"/>
      <c r="Y108" s="4"/>
      <c r="Z108" s="20"/>
      <c r="AA108" s="21"/>
      <c r="AB108" s="21"/>
      <c r="AC108" s="36"/>
    </row>
    <row r="109" spans="1:29" ht="15" customHeight="1" x14ac:dyDescent="0.25">
      <c r="A109" s="46"/>
      <c r="B109" s="46"/>
      <c r="C109" s="21"/>
      <c r="D109" s="47"/>
      <c r="E109" s="21"/>
      <c r="F109" s="21"/>
      <c r="G109" s="21"/>
      <c r="H109" s="21"/>
      <c r="I109" s="21"/>
      <c r="J109" s="21"/>
      <c r="K109" s="21"/>
      <c r="L109" s="21"/>
      <c r="M109" s="91">
        <f t="shared" si="4"/>
        <v>0</v>
      </c>
      <c r="N109" s="20"/>
      <c r="O109" s="21"/>
      <c r="P109" s="20"/>
      <c r="Q109" s="4"/>
      <c r="R109" s="20"/>
      <c r="S109" s="4"/>
      <c r="T109" s="20"/>
      <c r="U109" s="4"/>
      <c r="V109" s="20"/>
      <c r="W109" s="4"/>
      <c r="X109" s="20"/>
      <c r="Y109" s="4"/>
      <c r="Z109" s="20"/>
      <c r="AA109" s="21"/>
      <c r="AB109" s="21"/>
      <c r="AC109" s="36"/>
    </row>
    <row r="110" spans="1:29" ht="15" customHeight="1" x14ac:dyDescent="0.25">
      <c r="A110" s="46"/>
      <c r="B110" s="46"/>
      <c r="C110" s="21"/>
      <c r="D110" s="47"/>
      <c r="E110" s="21"/>
      <c r="F110" s="21"/>
      <c r="G110" s="21"/>
      <c r="H110" s="21"/>
      <c r="I110" s="21"/>
      <c r="J110" s="21"/>
      <c r="K110" s="21"/>
      <c r="L110" s="21"/>
      <c r="M110" s="91">
        <f t="shared" si="4"/>
        <v>0</v>
      </c>
      <c r="N110" s="20"/>
      <c r="O110" s="21"/>
      <c r="P110" s="20"/>
      <c r="Q110" s="4"/>
      <c r="R110" s="20"/>
      <c r="S110" s="4"/>
      <c r="T110" s="20"/>
      <c r="U110" s="4"/>
      <c r="V110" s="20"/>
      <c r="W110" s="4"/>
      <c r="X110" s="20"/>
      <c r="Y110" s="4"/>
      <c r="Z110" s="20"/>
      <c r="AA110" s="21"/>
      <c r="AB110" s="21"/>
      <c r="AC110" s="36"/>
    </row>
    <row r="111" spans="1:29" ht="15" customHeight="1" x14ac:dyDescent="0.25">
      <c r="A111" s="46"/>
      <c r="B111" s="46"/>
      <c r="C111" s="21"/>
      <c r="D111" s="47"/>
      <c r="E111" s="21"/>
      <c r="F111" s="21"/>
      <c r="G111" s="21"/>
      <c r="H111" s="21"/>
      <c r="I111" s="21"/>
      <c r="J111" s="21"/>
      <c r="K111" s="21"/>
      <c r="L111" s="21"/>
      <c r="M111" s="91">
        <f t="shared" si="4"/>
        <v>0</v>
      </c>
      <c r="N111" s="20"/>
      <c r="O111" s="21"/>
      <c r="P111" s="20"/>
      <c r="Q111" s="4"/>
      <c r="R111" s="20"/>
      <c r="S111" s="4"/>
      <c r="T111" s="20"/>
      <c r="U111" s="4"/>
      <c r="V111" s="20"/>
      <c r="W111" s="4"/>
      <c r="X111" s="20"/>
      <c r="Y111" s="4"/>
      <c r="Z111" s="20"/>
      <c r="AA111" s="21"/>
      <c r="AB111" s="21"/>
      <c r="AC111" s="36"/>
    </row>
    <row r="112" spans="1:29" ht="15" customHeight="1" x14ac:dyDescent="0.25">
      <c r="A112" s="46"/>
      <c r="B112" s="46"/>
      <c r="C112" s="21"/>
      <c r="D112" s="47"/>
      <c r="E112" s="21"/>
      <c r="F112" s="21"/>
      <c r="G112" s="21"/>
      <c r="H112" s="21"/>
      <c r="I112" s="21"/>
      <c r="J112" s="21"/>
      <c r="K112" s="21"/>
      <c r="L112" s="21"/>
      <c r="M112" s="91">
        <f t="shared" si="4"/>
        <v>0</v>
      </c>
      <c r="N112" s="20"/>
      <c r="O112" s="21"/>
      <c r="P112" s="20"/>
      <c r="Q112" s="4"/>
      <c r="R112" s="20"/>
      <c r="S112" s="4"/>
      <c r="T112" s="20"/>
      <c r="U112" s="4"/>
      <c r="V112" s="20"/>
      <c r="W112" s="4"/>
      <c r="X112" s="20"/>
      <c r="Y112" s="4"/>
      <c r="Z112" s="20"/>
      <c r="AA112" s="21"/>
      <c r="AB112" s="21"/>
      <c r="AC112" s="36"/>
    </row>
    <row r="113" spans="1:29" ht="15" customHeight="1" x14ac:dyDescent="0.25">
      <c r="A113" s="46"/>
      <c r="B113" s="46"/>
      <c r="C113" s="21"/>
      <c r="D113" s="47"/>
      <c r="E113" s="21"/>
      <c r="F113" s="21"/>
      <c r="G113" s="21"/>
      <c r="H113" s="21"/>
      <c r="I113" s="21"/>
      <c r="J113" s="21"/>
      <c r="K113" s="21"/>
      <c r="L113" s="21"/>
      <c r="M113" s="91">
        <f t="shared" si="4"/>
        <v>0</v>
      </c>
      <c r="N113" s="20"/>
      <c r="O113" s="21"/>
      <c r="P113" s="20"/>
      <c r="Q113" s="4"/>
      <c r="R113" s="20"/>
      <c r="S113" s="4"/>
      <c r="T113" s="20"/>
      <c r="U113" s="4"/>
      <c r="V113" s="20"/>
      <c r="W113" s="4"/>
      <c r="X113" s="20"/>
      <c r="Y113" s="4"/>
      <c r="Z113" s="20"/>
      <c r="AA113" s="21"/>
      <c r="AB113" s="21"/>
      <c r="AC113" s="36"/>
    </row>
    <row r="114" spans="1:29" ht="15" customHeight="1" x14ac:dyDescent="0.25">
      <c r="A114" s="46"/>
      <c r="B114" s="46"/>
      <c r="C114" s="21"/>
      <c r="D114" s="47"/>
      <c r="E114" s="21"/>
      <c r="F114" s="21"/>
      <c r="G114" s="21"/>
      <c r="H114" s="21"/>
      <c r="I114" s="21"/>
      <c r="J114" s="21"/>
      <c r="K114" s="21"/>
      <c r="L114" s="21"/>
      <c r="M114" s="91">
        <f t="shared" si="4"/>
        <v>0</v>
      </c>
      <c r="N114" s="20"/>
      <c r="O114" s="21"/>
      <c r="P114" s="20"/>
      <c r="Q114" s="4"/>
      <c r="R114" s="20"/>
      <c r="S114" s="4"/>
      <c r="T114" s="20"/>
      <c r="U114" s="4"/>
      <c r="V114" s="20"/>
      <c r="W114" s="4"/>
      <c r="X114" s="20"/>
      <c r="Y114" s="4"/>
      <c r="Z114" s="20"/>
      <c r="AA114" s="21"/>
      <c r="AB114" s="21"/>
      <c r="AC114" s="36"/>
    </row>
    <row r="115" spans="1:29" ht="15" customHeight="1" x14ac:dyDescent="0.25">
      <c r="A115" s="46"/>
      <c r="B115" s="46"/>
      <c r="C115" s="21"/>
      <c r="D115" s="47"/>
      <c r="E115" s="21"/>
      <c r="F115" s="21"/>
      <c r="G115" s="21"/>
      <c r="H115" s="21"/>
      <c r="I115" s="21"/>
      <c r="J115" s="21"/>
      <c r="K115" s="21"/>
      <c r="L115" s="21"/>
      <c r="M115" s="91">
        <f t="shared" si="4"/>
        <v>0</v>
      </c>
      <c r="N115" s="20"/>
      <c r="O115" s="21"/>
      <c r="P115" s="20"/>
      <c r="Q115" s="4"/>
      <c r="R115" s="20"/>
      <c r="S115" s="4"/>
      <c r="T115" s="20"/>
      <c r="U115" s="4"/>
      <c r="V115" s="20"/>
      <c r="W115" s="4"/>
      <c r="X115" s="20"/>
      <c r="Y115" s="4"/>
      <c r="Z115" s="20"/>
      <c r="AA115" s="21"/>
      <c r="AB115" s="21"/>
      <c r="AC115" s="36"/>
    </row>
    <row r="116" spans="1:29" ht="15" customHeight="1" x14ac:dyDescent="0.25">
      <c r="A116" s="46"/>
      <c r="B116" s="46"/>
      <c r="C116" s="21"/>
      <c r="D116" s="47"/>
      <c r="E116" s="21"/>
      <c r="F116" s="21"/>
      <c r="G116" s="21"/>
      <c r="H116" s="21"/>
      <c r="I116" s="21"/>
      <c r="J116" s="21"/>
      <c r="K116" s="21"/>
      <c r="L116" s="21"/>
      <c r="M116" s="91">
        <f t="shared" si="4"/>
        <v>0</v>
      </c>
      <c r="N116" s="20"/>
      <c r="O116" s="21"/>
      <c r="P116" s="20"/>
      <c r="Q116" s="4"/>
      <c r="R116" s="20"/>
      <c r="S116" s="4"/>
      <c r="T116" s="20"/>
      <c r="U116" s="4"/>
      <c r="V116" s="20"/>
      <c r="W116" s="4"/>
      <c r="X116" s="20"/>
      <c r="Y116" s="4"/>
      <c r="Z116" s="20"/>
      <c r="AA116" s="21"/>
      <c r="AB116" s="21"/>
      <c r="AC116" s="36"/>
    </row>
    <row r="117" spans="1:29" ht="15" customHeight="1" x14ac:dyDescent="0.25">
      <c r="A117" s="46"/>
      <c r="B117" s="46"/>
      <c r="C117" s="21"/>
      <c r="D117" s="47"/>
      <c r="E117" s="21"/>
      <c r="F117" s="21"/>
      <c r="G117" s="21"/>
      <c r="H117" s="21"/>
      <c r="I117" s="21"/>
      <c r="J117" s="21"/>
      <c r="K117" s="21"/>
      <c r="L117" s="21"/>
      <c r="M117" s="91">
        <f t="shared" si="4"/>
        <v>0</v>
      </c>
      <c r="N117" s="20"/>
      <c r="O117" s="21"/>
      <c r="P117" s="20"/>
      <c r="Q117" s="4"/>
      <c r="R117" s="20"/>
      <c r="S117" s="4"/>
      <c r="T117" s="20"/>
      <c r="U117" s="4"/>
      <c r="V117" s="20"/>
      <c r="W117" s="4"/>
      <c r="X117" s="20"/>
      <c r="Y117" s="4"/>
      <c r="Z117" s="20"/>
      <c r="AA117" s="21"/>
      <c r="AB117" s="21"/>
      <c r="AC117" s="36"/>
    </row>
    <row r="118" spans="1:29" ht="15" customHeight="1" x14ac:dyDescent="0.25">
      <c r="A118" s="46"/>
      <c r="B118" s="46"/>
      <c r="C118" s="21"/>
      <c r="D118" s="47"/>
      <c r="E118" s="21"/>
      <c r="F118" s="21"/>
      <c r="G118" s="21"/>
      <c r="H118" s="21"/>
      <c r="I118" s="21"/>
      <c r="J118" s="21"/>
      <c r="K118" s="21"/>
      <c r="L118" s="21"/>
      <c r="M118" s="91">
        <f t="shared" si="4"/>
        <v>0</v>
      </c>
      <c r="N118" s="20"/>
      <c r="O118" s="21"/>
      <c r="P118" s="20"/>
      <c r="Q118" s="4"/>
      <c r="R118" s="20"/>
      <c r="S118" s="4"/>
      <c r="T118" s="20"/>
      <c r="U118" s="4"/>
      <c r="V118" s="20"/>
      <c r="W118" s="4"/>
      <c r="X118" s="20"/>
      <c r="Y118" s="4"/>
      <c r="Z118" s="20"/>
      <c r="AA118" s="21"/>
      <c r="AB118" s="21"/>
      <c r="AC118" s="36"/>
    </row>
    <row r="119" spans="1:29" ht="15" customHeight="1" x14ac:dyDescent="0.25">
      <c r="A119" s="46"/>
      <c r="B119" s="46"/>
      <c r="C119" s="21"/>
      <c r="D119" s="47"/>
      <c r="E119" s="21"/>
      <c r="F119" s="21"/>
      <c r="G119" s="21"/>
      <c r="H119" s="21"/>
      <c r="I119" s="21"/>
      <c r="J119" s="21"/>
      <c r="K119" s="21"/>
      <c r="L119" s="21"/>
      <c r="M119" s="91">
        <f t="shared" si="4"/>
        <v>0</v>
      </c>
      <c r="N119" s="20"/>
      <c r="O119" s="21"/>
      <c r="P119" s="20"/>
      <c r="Q119" s="4"/>
      <c r="R119" s="20"/>
      <c r="S119" s="4"/>
      <c r="T119" s="20"/>
      <c r="U119" s="4"/>
      <c r="V119" s="20"/>
      <c r="W119" s="4"/>
      <c r="X119" s="20"/>
      <c r="Y119" s="4"/>
      <c r="Z119" s="20"/>
      <c r="AA119" s="21"/>
      <c r="AB119" s="21"/>
      <c r="AC119" s="36"/>
    </row>
    <row r="120" spans="1:29" ht="15" customHeight="1" x14ac:dyDescent="0.25">
      <c r="A120" s="46"/>
      <c r="B120" s="46"/>
      <c r="C120" s="21"/>
      <c r="D120" s="47"/>
      <c r="E120" s="21"/>
      <c r="F120" s="21"/>
      <c r="G120" s="21"/>
      <c r="H120" s="21"/>
      <c r="I120" s="21"/>
      <c r="J120" s="21"/>
      <c r="K120" s="21"/>
      <c r="L120" s="21"/>
      <c r="M120" s="91">
        <f t="shared" si="4"/>
        <v>0</v>
      </c>
      <c r="N120" s="20"/>
      <c r="O120" s="21"/>
      <c r="P120" s="20"/>
      <c r="Q120" s="4"/>
      <c r="R120" s="20"/>
      <c r="S120" s="4"/>
      <c r="T120" s="20"/>
      <c r="U120" s="4"/>
      <c r="V120" s="20"/>
      <c r="W120" s="4"/>
      <c r="X120" s="20"/>
      <c r="Y120" s="4"/>
      <c r="Z120" s="20"/>
      <c r="AA120" s="21"/>
      <c r="AB120" s="21"/>
      <c r="AC120" s="36"/>
    </row>
    <row r="121" spans="1:29" ht="15" customHeight="1" x14ac:dyDescent="0.25">
      <c r="A121" s="46"/>
      <c r="B121" s="46"/>
      <c r="C121" s="21"/>
      <c r="D121" s="47"/>
      <c r="E121" s="21"/>
      <c r="F121" s="21"/>
      <c r="G121" s="21"/>
      <c r="H121" s="21"/>
      <c r="I121" s="21"/>
      <c r="J121" s="21"/>
      <c r="K121" s="21"/>
      <c r="L121" s="21"/>
      <c r="M121" s="91">
        <f t="shared" si="4"/>
        <v>0</v>
      </c>
      <c r="N121" s="20"/>
      <c r="O121" s="21"/>
      <c r="P121" s="20"/>
      <c r="Q121" s="4"/>
      <c r="R121" s="20"/>
      <c r="S121" s="4"/>
      <c r="T121" s="20"/>
      <c r="U121" s="4"/>
      <c r="V121" s="20"/>
      <c r="W121" s="4"/>
      <c r="X121" s="20"/>
      <c r="Y121" s="4"/>
      <c r="Z121" s="20"/>
      <c r="AA121" s="21"/>
      <c r="AB121" s="21"/>
      <c r="AC121" s="36"/>
    </row>
    <row r="122" spans="1:29" ht="15.75" customHeight="1" x14ac:dyDescent="0.25">
      <c r="A122" s="46"/>
      <c r="B122" s="46"/>
      <c r="C122" s="21"/>
      <c r="D122" s="47"/>
      <c r="E122" s="21"/>
      <c r="F122" s="21"/>
      <c r="G122" s="21"/>
      <c r="H122" s="21"/>
      <c r="I122" s="21"/>
      <c r="J122" s="21"/>
      <c r="K122" s="21"/>
      <c r="L122" s="21"/>
      <c r="M122" s="91">
        <f t="shared" si="4"/>
        <v>0</v>
      </c>
      <c r="N122" s="20"/>
      <c r="O122" s="21"/>
      <c r="P122" s="20"/>
      <c r="Q122" s="4"/>
      <c r="R122" s="20"/>
      <c r="S122" s="4"/>
      <c r="T122" s="20"/>
      <c r="U122" s="4"/>
      <c r="V122" s="20"/>
      <c r="W122" s="4"/>
      <c r="X122" s="20"/>
      <c r="Y122" s="4"/>
      <c r="Z122" s="20"/>
      <c r="AA122" s="21"/>
      <c r="AB122" s="21"/>
      <c r="AC122" s="36"/>
    </row>
    <row r="123" spans="1:29" ht="15" customHeight="1" x14ac:dyDescent="0.25">
      <c r="A123" s="46"/>
      <c r="B123" s="46"/>
      <c r="C123" s="21"/>
      <c r="D123" s="47"/>
      <c r="E123" s="21"/>
      <c r="F123" s="21"/>
      <c r="G123" s="21"/>
      <c r="H123" s="21"/>
      <c r="I123" s="21"/>
      <c r="J123" s="21"/>
      <c r="K123" s="21"/>
      <c r="L123" s="21"/>
      <c r="M123" s="91">
        <f t="shared" si="4"/>
        <v>0</v>
      </c>
      <c r="N123" s="20"/>
      <c r="O123" s="21"/>
      <c r="P123" s="20"/>
      <c r="Q123" s="4"/>
      <c r="R123" s="20"/>
      <c r="S123" s="4"/>
      <c r="T123" s="20"/>
      <c r="U123" s="4"/>
      <c r="V123" s="20"/>
      <c r="W123" s="4"/>
      <c r="X123" s="20"/>
      <c r="Y123" s="4"/>
      <c r="Z123" s="20"/>
      <c r="AA123" s="21"/>
      <c r="AB123" s="21"/>
      <c r="AC123" s="36"/>
    </row>
    <row r="124" spans="1:29" ht="15" customHeight="1" x14ac:dyDescent="0.25">
      <c r="A124" s="46"/>
      <c r="B124" s="46"/>
      <c r="C124" s="21"/>
      <c r="D124" s="47"/>
      <c r="E124" s="21"/>
      <c r="F124" s="21"/>
      <c r="G124" s="21"/>
      <c r="H124" s="21"/>
      <c r="I124" s="21"/>
      <c r="J124" s="21"/>
      <c r="K124" s="21"/>
      <c r="L124" s="21"/>
      <c r="M124" s="91">
        <f t="shared" si="4"/>
        <v>0</v>
      </c>
      <c r="N124" s="20"/>
      <c r="O124" s="21"/>
      <c r="P124" s="20"/>
      <c r="Q124" s="4"/>
      <c r="R124" s="20"/>
      <c r="S124" s="4"/>
      <c r="T124" s="20"/>
      <c r="U124" s="4"/>
      <c r="V124" s="20"/>
      <c r="W124" s="4"/>
      <c r="X124" s="20"/>
      <c r="Y124" s="4"/>
      <c r="Z124" s="20"/>
      <c r="AA124" s="21"/>
      <c r="AB124" s="21"/>
      <c r="AC124" s="36"/>
    </row>
    <row r="125" spans="1:29" ht="15" customHeight="1" x14ac:dyDescent="0.25">
      <c r="A125" s="46"/>
      <c r="B125" s="46"/>
      <c r="C125" s="21"/>
      <c r="D125" s="47"/>
      <c r="E125" s="21"/>
      <c r="F125" s="21"/>
      <c r="G125" s="21"/>
      <c r="H125" s="21"/>
      <c r="I125" s="21"/>
      <c r="J125" s="21"/>
      <c r="K125" s="21"/>
      <c r="L125" s="21"/>
      <c r="M125" s="91">
        <f t="shared" si="4"/>
        <v>0</v>
      </c>
      <c r="N125" s="20"/>
      <c r="O125" s="21"/>
      <c r="P125" s="20"/>
      <c r="Q125" s="4"/>
      <c r="R125" s="20"/>
      <c r="S125" s="4"/>
      <c r="T125" s="20"/>
      <c r="U125" s="4"/>
      <c r="V125" s="20"/>
      <c r="W125" s="4"/>
      <c r="X125" s="20"/>
      <c r="Y125" s="4"/>
      <c r="Z125" s="20"/>
      <c r="AA125" s="21"/>
      <c r="AB125" s="21"/>
      <c r="AC125" s="36"/>
    </row>
    <row r="126" spans="1:29" ht="15" customHeight="1" x14ac:dyDescent="0.25">
      <c r="A126" s="46"/>
      <c r="B126" s="46"/>
      <c r="C126" s="21"/>
      <c r="D126" s="47"/>
      <c r="E126" s="21"/>
      <c r="F126" s="21"/>
      <c r="G126" s="21"/>
      <c r="H126" s="21"/>
      <c r="I126" s="21"/>
      <c r="J126" s="21"/>
      <c r="K126" s="21"/>
      <c r="L126" s="21"/>
      <c r="M126" s="91">
        <f t="shared" si="4"/>
        <v>0</v>
      </c>
      <c r="N126" s="20"/>
      <c r="O126" s="21"/>
      <c r="P126" s="20"/>
      <c r="Q126" s="4"/>
      <c r="R126" s="20"/>
      <c r="S126" s="4"/>
      <c r="T126" s="20"/>
      <c r="U126" s="4"/>
      <c r="V126" s="20"/>
      <c r="W126" s="4"/>
      <c r="X126" s="20"/>
      <c r="Y126" s="4"/>
      <c r="Z126" s="20"/>
      <c r="AA126" s="21"/>
      <c r="AB126" s="21"/>
      <c r="AC126" s="36"/>
    </row>
    <row r="127" spans="1:29" ht="15" customHeight="1" x14ac:dyDescent="0.25">
      <c r="A127" s="46"/>
      <c r="B127" s="46"/>
      <c r="C127" s="21"/>
      <c r="D127" s="47"/>
      <c r="E127" s="21"/>
      <c r="F127" s="21"/>
      <c r="G127" s="21"/>
      <c r="H127" s="21"/>
      <c r="I127" s="21"/>
      <c r="J127" s="21"/>
      <c r="K127" s="21"/>
      <c r="L127" s="21"/>
      <c r="M127" s="91">
        <f t="shared" si="4"/>
        <v>0</v>
      </c>
      <c r="N127" s="20"/>
      <c r="O127" s="21"/>
      <c r="P127" s="20"/>
      <c r="Q127" s="4"/>
      <c r="R127" s="20"/>
      <c r="S127" s="4"/>
      <c r="T127" s="20"/>
      <c r="U127" s="4"/>
      <c r="V127" s="20"/>
      <c r="W127" s="4"/>
      <c r="X127" s="20"/>
      <c r="Y127" s="4"/>
      <c r="Z127" s="20"/>
      <c r="AA127" s="21"/>
      <c r="AB127" s="21"/>
      <c r="AC127" s="36"/>
    </row>
    <row r="128" spans="1:29" ht="15" customHeight="1" x14ac:dyDescent="0.25">
      <c r="A128" s="46"/>
      <c r="B128" s="46"/>
      <c r="C128" s="21"/>
      <c r="D128" s="47"/>
      <c r="E128" s="21"/>
      <c r="F128" s="21"/>
      <c r="G128" s="21"/>
      <c r="H128" s="21"/>
      <c r="I128" s="21"/>
      <c r="J128" s="21"/>
      <c r="K128" s="21"/>
      <c r="L128" s="21"/>
      <c r="M128" s="91">
        <f t="shared" si="4"/>
        <v>0</v>
      </c>
      <c r="N128" s="20"/>
      <c r="O128" s="21"/>
      <c r="P128" s="20"/>
      <c r="Q128" s="4"/>
      <c r="R128" s="20"/>
      <c r="S128" s="4"/>
      <c r="T128" s="20"/>
      <c r="U128" s="4"/>
      <c r="V128" s="20"/>
      <c r="W128" s="4"/>
      <c r="X128" s="20"/>
      <c r="Y128" s="4"/>
      <c r="Z128" s="20"/>
      <c r="AA128" s="21"/>
      <c r="AB128" s="21"/>
      <c r="AC128" s="36"/>
    </row>
    <row r="129" spans="1:29" ht="15" customHeight="1" x14ac:dyDescent="0.25">
      <c r="A129" s="46"/>
      <c r="B129" s="46"/>
      <c r="C129" s="21"/>
      <c r="D129" s="47"/>
      <c r="E129" s="21"/>
      <c r="F129" s="21"/>
      <c r="G129" s="21"/>
      <c r="H129" s="21"/>
      <c r="I129" s="21"/>
      <c r="J129" s="21"/>
      <c r="K129" s="21"/>
      <c r="L129" s="21"/>
      <c r="M129" s="91">
        <f t="shared" si="4"/>
        <v>0</v>
      </c>
      <c r="N129" s="20"/>
      <c r="O129" s="21"/>
      <c r="P129" s="20"/>
      <c r="Q129" s="4"/>
      <c r="R129" s="20"/>
      <c r="S129" s="4"/>
      <c r="T129" s="20"/>
      <c r="U129" s="4"/>
      <c r="V129" s="20"/>
      <c r="W129" s="4"/>
      <c r="X129" s="20"/>
      <c r="Y129" s="4"/>
      <c r="Z129" s="20"/>
      <c r="AA129" s="21"/>
      <c r="AB129" s="21"/>
      <c r="AC129" s="36"/>
    </row>
    <row r="130" spans="1:29" ht="15" customHeight="1" x14ac:dyDescent="0.25">
      <c r="A130" s="46"/>
      <c r="B130" s="46"/>
      <c r="C130" s="21"/>
      <c r="D130" s="47"/>
      <c r="E130" s="21"/>
      <c r="F130" s="21"/>
      <c r="G130" s="21"/>
      <c r="H130" s="21"/>
      <c r="I130" s="21"/>
      <c r="J130" s="21"/>
      <c r="K130" s="21"/>
      <c r="L130" s="21"/>
      <c r="M130" s="91">
        <f t="shared" si="4"/>
        <v>0</v>
      </c>
      <c r="N130" s="20"/>
      <c r="O130" s="21"/>
      <c r="P130" s="20"/>
      <c r="Q130" s="4"/>
      <c r="R130" s="20"/>
      <c r="S130" s="4"/>
      <c r="T130" s="20"/>
      <c r="U130" s="4"/>
      <c r="V130" s="20"/>
      <c r="W130" s="4"/>
      <c r="X130" s="20"/>
      <c r="Y130" s="4"/>
      <c r="Z130" s="20"/>
      <c r="AA130" s="21"/>
      <c r="AB130" s="21"/>
      <c r="AC130" s="36"/>
    </row>
    <row r="131" spans="1:29" ht="15" customHeight="1" x14ac:dyDescent="0.25">
      <c r="A131" s="46"/>
      <c r="B131" s="46"/>
      <c r="C131" s="21"/>
      <c r="D131" s="47"/>
      <c r="E131" s="21"/>
      <c r="F131" s="21"/>
      <c r="G131" s="21"/>
      <c r="H131" s="21"/>
      <c r="I131" s="21"/>
      <c r="J131" s="21"/>
      <c r="K131" s="21"/>
      <c r="L131" s="21"/>
      <c r="M131" s="91">
        <f t="shared" si="4"/>
        <v>0</v>
      </c>
      <c r="N131" s="20"/>
      <c r="O131" s="21"/>
      <c r="P131" s="20"/>
      <c r="Q131" s="4"/>
      <c r="R131" s="20"/>
      <c r="S131" s="4"/>
      <c r="T131" s="20"/>
      <c r="U131" s="4"/>
      <c r="V131" s="20"/>
      <c r="W131" s="4"/>
      <c r="X131" s="20"/>
      <c r="Y131" s="4"/>
      <c r="Z131" s="20"/>
      <c r="AA131" s="21"/>
      <c r="AB131" s="21"/>
      <c r="AC131" s="36"/>
    </row>
    <row r="132" spans="1:29" ht="15" customHeight="1" x14ac:dyDescent="0.25">
      <c r="A132" s="46"/>
      <c r="B132" s="46"/>
      <c r="C132" s="21"/>
      <c r="D132" s="47"/>
      <c r="E132" s="21"/>
      <c r="F132" s="21"/>
      <c r="G132" s="21"/>
      <c r="H132" s="21"/>
      <c r="I132" s="21"/>
      <c r="J132" s="21"/>
      <c r="K132" s="21"/>
      <c r="L132" s="21"/>
      <c r="M132" s="91">
        <f t="shared" si="4"/>
        <v>0</v>
      </c>
      <c r="N132" s="20"/>
      <c r="O132" s="21"/>
      <c r="P132" s="20"/>
      <c r="Q132" s="4"/>
      <c r="R132" s="20"/>
      <c r="S132" s="4"/>
      <c r="T132" s="20"/>
      <c r="U132" s="4"/>
      <c r="V132" s="20"/>
      <c r="W132" s="4"/>
      <c r="X132" s="20"/>
      <c r="Y132" s="4"/>
      <c r="Z132" s="20"/>
      <c r="AA132" s="21"/>
      <c r="AB132" s="21"/>
      <c r="AC132" s="36"/>
    </row>
    <row r="133" spans="1:29" ht="15" customHeight="1" x14ac:dyDescent="0.25">
      <c r="A133" s="46"/>
      <c r="B133" s="46"/>
      <c r="C133" s="21"/>
      <c r="D133" s="47"/>
      <c r="E133" s="21"/>
      <c r="F133" s="21"/>
      <c r="G133" s="21"/>
      <c r="H133" s="21"/>
      <c r="I133" s="21"/>
      <c r="J133" s="21"/>
      <c r="K133" s="21"/>
      <c r="L133" s="21"/>
      <c r="M133" s="91">
        <f t="shared" si="4"/>
        <v>0</v>
      </c>
      <c r="N133" s="20"/>
      <c r="O133" s="21"/>
      <c r="P133" s="20"/>
      <c r="Q133" s="4"/>
      <c r="R133" s="20"/>
      <c r="S133" s="4"/>
      <c r="T133" s="20"/>
      <c r="U133" s="4"/>
      <c r="V133" s="20"/>
      <c r="W133" s="4"/>
      <c r="X133" s="20"/>
      <c r="Y133" s="4"/>
      <c r="Z133" s="20"/>
      <c r="AA133" s="21"/>
      <c r="AB133" s="21"/>
      <c r="AC133" s="36"/>
    </row>
    <row r="134" spans="1:29" ht="15" customHeight="1" x14ac:dyDescent="0.25">
      <c r="A134" s="46"/>
      <c r="B134" s="46"/>
      <c r="C134" s="21"/>
      <c r="D134" s="47"/>
      <c r="E134" s="21"/>
      <c r="F134" s="21"/>
      <c r="G134" s="21"/>
      <c r="H134" s="21"/>
      <c r="I134" s="21"/>
      <c r="J134" s="21"/>
      <c r="K134" s="21"/>
      <c r="L134" s="21"/>
      <c r="M134" s="91">
        <f t="shared" ref="M134:M197" si="5">SUM(N134:Z134)</f>
        <v>0</v>
      </c>
      <c r="N134" s="20"/>
      <c r="O134" s="21"/>
      <c r="P134" s="20"/>
      <c r="Q134" s="4"/>
      <c r="R134" s="20"/>
      <c r="S134" s="4"/>
      <c r="T134" s="20"/>
      <c r="U134" s="4"/>
      <c r="V134" s="20"/>
      <c r="W134" s="4"/>
      <c r="X134" s="20"/>
      <c r="Y134" s="4"/>
      <c r="Z134" s="20"/>
      <c r="AA134" s="21"/>
      <c r="AB134" s="21"/>
      <c r="AC134" s="36"/>
    </row>
    <row r="135" spans="1:29" ht="15" customHeight="1" x14ac:dyDescent="0.25">
      <c r="A135" s="46"/>
      <c r="B135" s="46"/>
      <c r="C135" s="21"/>
      <c r="D135" s="47"/>
      <c r="E135" s="21"/>
      <c r="F135" s="21"/>
      <c r="G135" s="21"/>
      <c r="H135" s="21"/>
      <c r="I135" s="21"/>
      <c r="J135" s="21"/>
      <c r="K135" s="21"/>
      <c r="L135" s="21"/>
      <c r="M135" s="91">
        <f t="shared" si="5"/>
        <v>0</v>
      </c>
      <c r="N135" s="20"/>
      <c r="O135" s="21"/>
      <c r="P135" s="20"/>
      <c r="Q135" s="4"/>
      <c r="R135" s="20"/>
      <c r="S135" s="4"/>
      <c r="T135" s="20"/>
      <c r="U135" s="4"/>
      <c r="V135" s="20"/>
      <c r="W135" s="4"/>
      <c r="X135" s="20"/>
      <c r="Y135" s="4"/>
      <c r="Z135" s="20"/>
      <c r="AA135" s="21"/>
      <c r="AB135" s="21"/>
      <c r="AC135" s="36"/>
    </row>
    <row r="136" spans="1:29" ht="15" customHeight="1" x14ac:dyDescent="0.25">
      <c r="A136" s="46"/>
      <c r="B136" s="46"/>
      <c r="C136" s="21"/>
      <c r="D136" s="47"/>
      <c r="E136" s="21"/>
      <c r="F136" s="21"/>
      <c r="G136" s="21"/>
      <c r="H136" s="21"/>
      <c r="I136" s="21"/>
      <c r="J136" s="21"/>
      <c r="K136" s="21"/>
      <c r="L136" s="21"/>
      <c r="M136" s="91">
        <f t="shared" si="5"/>
        <v>0</v>
      </c>
      <c r="N136" s="20"/>
      <c r="O136" s="21"/>
      <c r="P136" s="20"/>
      <c r="Q136" s="4"/>
      <c r="R136" s="20"/>
      <c r="S136" s="4"/>
      <c r="T136" s="20"/>
      <c r="U136" s="4"/>
      <c r="V136" s="20"/>
      <c r="W136" s="4"/>
      <c r="X136" s="20"/>
      <c r="Y136" s="4"/>
      <c r="Z136" s="20"/>
      <c r="AA136" s="21"/>
      <c r="AB136" s="21"/>
      <c r="AC136" s="36"/>
    </row>
    <row r="137" spans="1:29" ht="15" customHeight="1" x14ac:dyDescent="0.25">
      <c r="A137" s="46"/>
      <c r="B137" s="46"/>
      <c r="C137" s="21"/>
      <c r="D137" s="47"/>
      <c r="E137" s="21"/>
      <c r="F137" s="21"/>
      <c r="G137" s="21"/>
      <c r="H137" s="21"/>
      <c r="I137" s="21"/>
      <c r="J137" s="21"/>
      <c r="K137" s="21"/>
      <c r="L137" s="21"/>
      <c r="M137" s="91">
        <f t="shared" si="5"/>
        <v>0</v>
      </c>
      <c r="N137" s="20"/>
      <c r="O137" s="21"/>
      <c r="P137" s="20"/>
      <c r="Q137" s="4"/>
      <c r="R137" s="20"/>
      <c r="S137" s="4"/>
      <c r="T137" s="20"/>
      <c r="U137" s="4"/>
      <c r="V137" s="20"/>
      <c r="W137" s="4"/>
      <c r="X137" s="20"/>
      <c r="Y137" s="4"/>
      <c r="Z137" s="20"/>
      <c r="AA137" s="21"/>
      <c r="AB137" s="21"/>
      <c r="AC137" s="36"/>
    </row>
    <row r="138" spans="1:29" ht="15" customHeight="1" x14ac:dyDescent="0.25">
      <c r="A138" s="46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91">
        <f t="shared" si="5"/>
        <v>0</v>
      </c>
      <c r="N138" s="20"/>
      <c r="O138" s="21"/>
      <c r="P138" s="20"/>
      <c r="Q138" s="4"/>
      <c r="R138" s="20"/>
      <c r="S138" s="4"/>
      <c r="T138" s="20"/>
      <c r="U138" s="4"/>
      <c r="V138" s="20"/>
      <c r="W138" s="4"/>
      <c r="X138" s="20"/>
      <c r="Y138" s="4"/>
      <c r="Z138" s="20"/>
      <c r="AA138" s="21"/>
      <c r="AB138" s="21"/>
      <c r="AC138" s="36"/>
    </row>
    <row r="139" spans="1:29" ht="15" customHeight="1" x14ac:dyDescent="0.25">
      <c r="A139" s="46"/>
      <c r="B139" s="46"/>
      <c r="C139" s="21"/>
      <c r="D139" s="47"/>
      <c r="E139" s="21"/>
      <c r="F139" s="21"/>
      <c r="G139" s="21"/>
      <c r="H139" s="21"/>
      <c r="I139" s="21"/>
      <c r="J139" s="21"/>
      <c r="K139" s="21"/>
      <c r="L139" s="21"/>
      <c r="M139" s="91">
        <f t="shared" si="5"/>
        <v>0</v>
      </c>
      <c r="N139" s="20"/>
      <c r="O139" s="21"/>
      <c r="P139" s="20"/>
      <c r="Q139" s="4"/>
      <c r="R139" s="20"/>
      <c r="S139" s="4"/>
      <c r="T139" s="20"/>
      <c r="U139" s="4"/>
      <c r="V139" s="20"/>
      <c r="W139" s="4"/>
      <c r="X139" s="20"/>
      <c r="Y139" s="4"/>
      <c r="Z139" s="20"/>
      <c r="AA139" s="21"/>
      <c r="AB139" s="21"/>
      <c r="AC139" s="36"/>
    </row>
    <row r="140" spans="1:29" ht="15" customHeight="1" x14ac:dyDescent="0.25">
      <c r="A140" s="46"/>
      <c r="B140" s="46"/>
      <c r="C140" s="21"/>
      <c r="D140" s="47"/>
      <c r="E140" s="21"/>
      <c r="F140" s="21"/>
      <c r="G140" s="21"/>
      <c r="H140" s="21"/>
      <c r="I140" s="21"/>
      <c r="J140" s="21"/>
      <c r="K140" s="21"/>
      <c r="L140" s="21"/>
      <c r="M140" s="91">
        <f t="shared" si="5"/>
        <v>0</v>
      </c>
      <c r="N140" s="20"/>
      <c r="O140" s="21"/>
      <c r="P140" s="20"/>
      <c r="Q140" s="4"/>
      <c r="R140" s="20"/>
      <c r="S140" s="4"/>
      <c r="T140" s="20"/>
      <c r="U140" s="4"/>
      <c r="V140" s="20"/>
      <c r="W140" s="4"/>
      <c r="X140" s="20"/>
      <c r="Y140" s="4"/>
      <c r="Z140" s="20"/>
      <c r="AA140" s="21"/>
      <c r="AB140" s="21"/>
      <c r="AC140" s="36"/>
    </row>
    <row r="141" spans="1:29" ht="15" customHeight="1" x14ac:dyDescent="0.25">
      <c r="A141" s="46"/>
      <c r="B141" s="46"/>
      <c r="C141" s="21"/>
      <c r="D141" s="47"/>
      <c r="E141" s="21"/>
      <c r="F141" s="21"/>
      <c r="G141" s="21"/>
      <c r="H141" s="21"/>
      <c r="I141" s="21"/>
      <c r="J141" s="21"/>
      <c r="K141" s="21"/>
      <c r="L141" s="21"/>
      <c r="M141" s="91">
        <f t="shared" si="5"/>
        <v>0</v>
      </c>
      <c r="N141" s="20"/>
      <c r="O141" s="21"/>
      <c r="P141" s="20"/>
      <c r="Q141" s="4"/>
      <c r="R141" s="20"/>
      <c r="S141" s="4"/>
      <c r="T141" s="20"/>
      <c r="U141" s="4"/>
      <c r="V141" s="20"/>
      <c r="W141" s="4"/>
      <c r="X141" s="20"/>
      <c r="Y141" s="4"/>
      <c r="Z141" s="20"/>
      <c r="AA141" s="21"/>
      <c r="AB141" s="21"/>
      <c r="AC141" s="36"/>
    </row>
    <row r="142" spans="1:29" ht="15" customHeight="1" x14ac:dyDescent="0.25">
      <c r="A142" s="68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91">
        <f t="shared" si="5"/>
        <v>0</v>
      </c>
      <c r="N142" s="20"/>
      <c r="O142" s="21"/>
      <c r="P142" s="20"/>
      <c r="Q142" s="4"/>
      <c r="R142" s="20"/>
      <c r="S142" s="4"/>
      <c r="T142" s="20"/>
      <c r="U142" s="4"/>
      <c r="V142" s="20"/>
      <c r="W142" s="4"/>
      <c r="X142" s="20"/>
      <c r="Y142" s="4"/>
      <c r="Z142" s="20"/>
      <c r="AA142" s="21"/>
      <c r="AB142" s="21"/>
      <c r="AC142" s="21"/>
    </row>
    <row r="143" spans="1:29" ht="15" customHeight="1" x14ac:dyDescent="0.25">
      <c r="A143" s="46"/>
      <c r="B143" s="46"/>
      <c r="C143" s="21"/>
      <c r="D143" s="47"/>
      <c r="E143" s="21"/>
      <c r="F143" s="21"/>
      <c r="G143" s="21"/>
      <c r="H143" s="21"/>
      <c r="I143" s="21"/>
      <c r="J143" s="21"/>
      <c r="K143" s="21"/>
      <c r="L143" s="21"/>
      <c r="M143" s="91">
        <f t="shared" si="5"/>
        <v>0</v>
      </c>
      <c r="N143" s="20"/>
      <c r="O143" s="21"/>
      <c r="P143" s="20"/>
      <c r="Q143" s="4"/>
      <c r="R143" s="20"/>
      <c r="S143" s="4"/>
      <c r="T143" s="20"/>
      <c r="U143" s="4"/>
      <c r="V143" s="20"/>
      <c r="W143" s="4"/>
      <c r="X143" s="20"/>
      <c r="Y143" s="4"/>
      <c r="Z143" s="20"/>
      <c r="AA143" s="21"/>
      <c r="AB143" s="21"/>
      <c r="AC143" s="21"/>
    </row>
    <row r="144" spans="1:29" ht="15" customHeight="1" x14ac:dyDescent="0.25">
      <c r="A144" s="46"/>
      <c r="B144" s="46"/>
      <c r="C144" s="21"/>
      <c r="D144" s="47"/>
      <c r="E144" s="21"/>
      <c r="F144" s="21"/>
      <c r="G144" s="21"/>
      <c r="H144" s="21"/>
      <c r="I144" s="21"/>
      <c r="J144" s="21"/>
      <c r="K144" s="21"/>
      <c r="L144" s="21"/>
      <c r="M144" s="91">
        <f t="shared" si="5"/>
        <v>0</v>
      </c>
      <c r="N144" s="20"/>
      <c r="O144" s="21"/>
      <c r="P144" s="20"/>
      <c r="Q144" s="4"/>
      <c r="R144" s="20"/>
      <c r="S144" s="4"/>
      <c r="T144" s="20"/>
      <c r="U144" s="4"/>
      <c r="V144" s="20"/>
      <c r="W144" s="4"/>
      <c r="X144" s="20"/>
      <c r="Y144" s="4"/>
      <c r="Z144" s="20"/>
      <c r="AA144" s="21"/>
      <c r="AB144" s="21"/>
      <c r="AC144" s="21"/>
    </row>
    <row r="145" spans="1:29" ht="15" customHeight="1" x14ac:dyDescent="0.25">
      <c r="A145" s="46"/>
      <c r="B145" s="46"/>
      <c r="C145" s="21"/>
      <c r="D145" s="47"/>
      <c r="E145" s="21"/>
      <c r="F145" s="21"/>
      <c r="G145" s="21"/>
      <c r="H145" s="21"/>
      <c r="I145" s="21"/>
      <c r="J145" s="21"/>
      <c r="K145" s="21"/>
      <c r="L145" s="21"/>
      <c r="M145" s="91">
        <f t="shared" si="5"/>
        <v>0</v>
      </c>
      <c r="N145" s="20"/>
      <c r="O145" s="21"/>
      <c r="P145" s="20"/>
      <c r="Q145" s="4"/>
      <c r="R145" s="20"/>
      <c r="S145" s="4"/>
      <c r="T145" s="20"/>
      <c r="U145" s="4"/>
      <c r="V145" s="20"/>
      <c r="W145" s="4"/>
      <c r="X145" s="20"/>
      <c r="Y145" s="4"/>
      <c r="Z145" s="20"/>
      <c r="AA145" s="21"/>
      <c r="AB145" s="21"/>
      <c r="AC145" s="21"/>
    </row>
    <row r="146" spans="1:29" ht="15" customHeight="1" x14ac:dyDescent="0.25">
      <c r="A146" s="46"/>
      <c r="B146" s="46"/>
      <c r="C146" s="21"/>
      <c r="D146" s="47"/>
      <c r="E146" s="21"/>
      <c r="F146" s="21"/>
      <c r="G146" s="21"/>
      <c r="H146" s="21"/>
      <c r="I146" s="21"/>
      <c r="J146" s="21"/>
      <c r="K146" s="21"/>
      <c r="L146" s="21"/>
      <c r="M146" s="91">
        <f t="shared" si="5"/>
        <v>0</v>
      </c>
      <c r="N146" s="20"/>
      <c r="O146" s="21"/>
      <c r="P146" s="20"/>
      <c r="Q146" s="4"/>
      <c r="R146" s="20"/>
      <c r="S146" s="4"/>
      <c r="T146" s="20"/>
      <c r="U146" s="4"/>
      <c r="V146" s="20"/>
      <c r="W146" s="4"/>
      <c r="X146" s="20"/>
      <c r="Y146" s="4"/>
      <c r="Z146" s="20"/>
      <c r="AA146" s="21"/>
      <c r="AB146" s="21"/>
      <c r="AC146" s="21"/>
    </row>
    <row r="147" spans="1:29" ht="15" customHeight="1" x14ac:dyDescent="0.25">
      <c r="A147" s="46"/>
      <c r="B147" s="46"/>
      <c r="C147" s="21"/>
      <c r="D147" s="47"/>
      <c r="E147" s="21"/>
      <c r="F147" s="21"/>
      <c r="G147" s="21"/>
      <c r="H147" s="21"/>
      <c r="I147" s="21"/>
      <c r="J147" s="21"/>
      <c r="K147" s="21"/>
      <c r="L147" s="21"/>
      <c r="M147" s="91">
        <f t="shared" si="5"/>
        <v>0</v>
      </c>
      <c r="N147" s="20"/>
      <c r="O147" s="21"/>
      <c r="P147" s="20"/>
      <c r="Q147" s="4"/>
      <c r="R147" s="20"/>
      <c r="S147" s="4"/>
      <c r="T147" s="20"/>
      <c r="U147" s="4"/>
      <c r="V147" s="20"/>
      <c r="W147" s="4"/>
      <c r="X147" s="20"/>
      <c r="Y147" s="4"/>
      <c r="Z147" s="20"/>
      <c r="AA147" s="21"/>
      <c r="AB147" s="21"/>
      <c r="AC147" s="21"/>
    </row>
    <row r="148" spans="1:29" ht="15" customHeight="1" x14ac:dyDescent="0.25">
      <c r="A148" s="46"/>
      <c r="B148" s="46"/>
      <c r="C148" s="21"/>
      <c r="D148" s="47"/>
      <c r="E148" s="21"/>
      <c r="F148" s="21"/>
      <c r="G148" s="21"/>
      <c r="H148" s="21"/>
      <c r="I148" s="21"/>
      <c r="J148" s="21"/>
      <c r="K148" s="21"/>
      <c r="L148" s="21"/>
      <c r="M148" s="91">
        <f t="shared" si="5"/>
        <v>0</v>
      </c>
      <c r="N148" s="20"/>
      <c r="O148" s="21"/>
      <c r="P148" s="20"/>
      <c r="Q148" s="4"/>
      <c r="R148" s="20"/>
      <c r="S148" s="4"/>
      <c r="T148" s="20"/>
      <c r="U148" s="4"/>
      <c r="V148" s="20"/>
      <c r="W148" s="4"/>
      <c r="X148" s="20"/>
      <c r="Y148" s="4"/>
      <c r="Z148" s="20"/>
      <c r="AA148" s="21"/>
      <c r="AB148" s="21"/>
      <c r="AC148" s="21"/>
    </row>
    <row r="149" spans="1:29" ht="15" customHeight="1" x14ac:dyDescent="0.25">
      <c r="A149" s="46"/>
      <c r="B149" s="46"/>
      <c r="C149" s="21"/>
      <c r="D149" s="47"/>
      <c r="E149" s="21"/>
      <c r="F149" s="21"/>
      <c r="G149" s="21"/>
      <c r="H149" s="21"/>
      <c r="I149" s="21"/>
      <c r="J149" s="21"/>
      <c r="K149" s="21"/>
      <c r="L149" s="21"/>
      <c r="M149" s="91">
        <f t="shared" si="5"/>
        <v>0</v>
      </c>
      <c r="N149" s="20"/>
      <c r="O149" s="21"/>
      <c r="P149" s="20"/>
      <c r="Q149" s="4"/>
      <c r="R149" s="20"/>
      <c r="S149" s="4"/>
      <c r="T149" s="20"/>
      <c r="U149" s="4"/>
      <c r="V149" s="20"/>
      <c r="W149" s="4"/>
      <c r="X149" s="20"/>
      <c r="Y149" s="4"/>
      <c r="Z149" s="20"/>
      <c r="AA149" s="21"/>
      <c r="AB149" s="21"/>
      <c r="AC149" s="21"/>
    </row>
    <row r="150" spans="1:29" ht="15" customHeight="1" x14ac:dyDescent="0.25">
      <c r="A150" s="46"/>
      <c r="B150" s="46"/>
      <c r="C150" s="21"/>
      <c r="D150" s="47"/>
      <c r="E150" s="21"/>
      <c r="F150" s="21"/>
      <c r="G150" s="21"/>
      <c r="H150" s="21"/>
      <c r="I150" s="21"/>
      <c r="J150" s="21"/>
      <c r="K150" s="21"/>
      <c r="L150" s="21"/>
      <c r="M150" s="91">
        <f t="shared" si="5"/>
        <v>0</v>
      </c>
      <c r="N150" s="20"/>
      <c r="O150" s="21"/>
      <c r="P150" s="20"/>
      <c r="Q150" s="4"/>
      <c r="R150" s="20"/>
      <c r="S150" s="4"/>
      <c r="T150" s="20"/>
      <c r="U150" s="4"/>
      <c r="V150" s="20"/>
      <c r="W150" s="4"/>
      <c r="X150" s="20"/>
      <c r="Y150" s="4"/>
      <c r="Z150" s="20"/>
      <c r="AA150" s="21"/>
      <c r="AB150" s="21"/>
      <c r="AC150" s="21"/>
    </row>
    <row r="151" spans="1:29" ht="15" customHeight="1" x14ac:dyDescent="0.25">
      <c r="A151" s="46"/>
      <c r="B151" s="46"/>
      <c r="C151" s="21"/>
      <c r="D151" s="47"/>
      <c r="E151" s="21"/>
      <c r="F151" s="21"/>
      <c r="G151" s="21"/>
      <c r="H151" s="21"/>
      <c r="I151" s="21"/>
      <c r="J151" s="21"/>
      <c r="K151" s="21"/>
      <c r="L151" s="21"/>
      <c r="M151" s="91">
        <f t="shared" si="5"/>
        <v>0</v>
      </c>
      <c r="N151" s="20"/>
      <c r="O151" s="21"/>
      <c r="P151" s="20"/>
      <c r="Q151" s="4"/>
      <c r="R151" s="20"/>
      <c r="S151" s="4"/>
      <c r="T151" s="20"/>
      <c r="U151" s="4"/>
      <c r="V151" s="20"/>
      <c r="W151" s="4"/>
      <c r="X151" s="20"/>
      <c r="Y151" s="4"/>
      <c r="Z151" s="20"/>
      <c r="AA151" s="21"/>
      <c r="AB151" s="21"/>
      <c r="AC151" s="21"/>
    </row>
    <row r="152" spans="1:29" ht="15" customHeight="1" x14ac:dyDescent="0.25">
      <c r="A152" s="46"/>
      <c r="B152" s="46"/>
      <c r="C152" s="21"/>
      <c r="D152" s="47"/>
      <c r="E152" s="21"/>
      <c r="F152" s="21"/>
      <c r="G152" s="21"/>
      <c r="H152" s="21"/>
      <c r="I152" s="21"/>
      <c r="J152" s="21"/>
      <c r="K152" s="21"/>
      <c r="L152" s="21"/>
      <c r="M152" s="91">
        <f t="shared" si="5"/>
        <v>0</v>
      </c>
      <c r="N152" s="20"/>
      <c r="O152" s="21"/>
      <c r="P152" s="20"/>
      <c r="Q152" s="4"/>
      <c r="R152" s="20"/>
      <c r="S152" s="4"/>
      <c r="T152" s="20"/>
      <c r="U152" s="4"/>
      <c r="V152" s="20"/>
      <c r="W152" s="4"/>
      <c r="X152" s="20"/>
      <c r="Y152" s="4"/>
      <c r="Z152" s="20"/>
      <c r="AA152" s="21"/>
      <c r="AB152" s="21"/>
      <c r="AC152" s="21"/>
    </row>
    <row r="153" spans="1:29" ht="15" customHeight="1" x14ac:dyDescent="0.25">
      <c r="A153" s="46"/>
      <c r="B153" s="46"/>
      <c r="C153" s="21"/>
      <c r="D153" s="47"/>
      <c r="E153" s="21"/>
      <c r="F153" s="21"/>
      <c r="G153" s="21"/>
      <c r="H153" s="21"/>
      <c r="I153" s="21"/>
      <c r="J153" s="21"/>
      <c r="K153" s="21"/>
      <c r="L153" s="21"/>
      <c r="M153" s="91">
        <f t="shared" si="5"/>
        <v>0</v>
      </c>
      <c r="N153" s="20"/>
      <c r="O153" s="21"/>
      <c r="P153" s="20"/>
      <c r="Q153" s="4"/>
      <c r="R153" s="20"/>
      <c r="S153" s="4"/>
      <c r="T153" s="20"/>
      <c r="U153" s="4"/>
      <c r="V153" s="20"/>
      <c r="W153" s="4"/>
      <c r="X153" s="20"/>
      <c r="Y153" s="4"/>
      <c r="Z153" s="20"/>
      <c r="AA153" s="21"/>
      <c r="AB153" s="21"/>
      <c r="AC153" s="21"/>
    </row>
    <row r="154" spans="1:29" ht="15" customHeight="1" x14ac:dyDescent="0.25">
      <c r="A154" s="46"/>
      <c r="B154" s="46"/>
      <c r="C154" s="21"/>
      <c r="D154" s="47"/>
      <c r="E154" s="21"/>
      <c r="F154" s="21"/>
      <c r="G154" s="21"/>
      <c r="H154" s="21"/>
      <c r="I154" s="21"/>
      <c r="J154" s="21"/>
      <c r="K154" s="21"/>
      <c r="L154" s="21"/>
      <c r="M154" s="91">
        <f t="shared" si="5"/>
        <v>0</v>
      </c>
      <c r="N154" s="20"/>
      <c r="O154" s="21"/>
      <c r="P154" s="20"/>
      <c r="Q154" s="4"/>
      <c r="R154" s="20"/>
      <c r="S154" s="4"/>
      <c r="T154" s="20"/>
      <c r="U154" s="4"/>
      <c r="V154" s="20"/>
      <c r="W154" s="4"/>
      <c r="X154" s="20"/>
      <c r="Y154" s="4"/>
      <c r="Z154" s="20"/>
      <c r="AA154" s="21"/>
      <c r="AB154" s="21"/>
      <c r="AC154" s="21"/>
    </row>
    <row r="155" spans="1:29" ht="15" customHeight="1" x14ac:dyDescent="0.25">
      <c r="A155" s="58"/>
      <c r="B155" s="58"/>
      <c r="C155" s="51"/>
      <c r="D155" s="59"/>
      <c r="E155" s="21"/>
      <c r="F155" s="51"/>
      <c r="G155" s="51"/>
      <c r="H155" s="51"/>
      <c r="I155" s="51"/>
      <c r="J155" s="51"/>
      <c r="K155" s="51"/>
      <c r="L155" s="51"/>
      <c r="M155" s="91">
        <f t="shared" si="5"/>
        <v>0</v>
      </c>
      <c r="N155" s="86"/>
      <c r="O155" s="51"/>
      <c r="P155" s="86"/>
      <c r="Q155" s="62"/>
      <c r="R155" s="86"/>
      <c r="S155" s="62"/>
      <c r="T155" s="86"/>
      <c r="U155" s="62"/>
      <c r="V155" s="86"/>
      <c r="W155" s="62"/>
      <c r="X155" s="86"/>
      <c r="Y155" s="62"/>
      <c r="Z155" s="86"/>
      <c r="AA155" s="51"/>
      <c r="AB155" s="51"/>
      <c r="AC155" s="51"/>
    </row>
    <row r="156" spans="1:29" s="43" customFormat="1" ht="15" customHeight="1" x14ac:dyDescent="0.25">
      <c r="A156" s="46"/>
      <c r="B156" s="46"/>
      <c r="C156" s="21"/>
      <c r="D156" s="47"/>
      <c r="E156" s="21"/>
      <c r="F156" s="21"/>
      <c r="G156" s="21"/>
      <c r="H156" s="21"/>
      <c r="I156" s="21"/>
      <c r="J156" s="21"/>
      <c r="K156" s="21"/>
      <c r="L156" s="21"/>
      <c r="M156" s="91">
        <f t="shared" si="5"/>
        <v>0</v>
      </c>
      <c r="N156" s="20"/>
      <c r="O156" s="21"/>
      <c r="P156" s="20"/>
      <c r="Q156" s="4"/>
      <c r="R156" s="20"/>
      <c r="S156" s="4"/>
      <c r="T156" s="20"/>
      <c r="U156" s="4"/>
      <c r="V156" s="20"/>
      <c r="W156" s="4"/>
      <c r="X156" s="20"/>
      <c r="Y156" s="4"/>
      <c r="Z156" s="20"/>
      <c r="AA156" s="21"/>
      <c r="AB156" s="21"/>
      <c r="AC156" s="21"/>
    </row>
    <row r="157" spans="1:29" ht="15" customHeight="1" x14ac:dyDescent="0.25">
      <c r="A157" s="46"/>
      <c r="B157" s="46"/>
      <c r="C157" s="21"/>
      <c r="D157" s="47"/>
      <c r="E157" s="21"/>
      <c r="F157" s="21"/>
      <c r="G157" s="21"/>
      <c r="H157" s="21"/>
      <c r="I157" s="21"/>
      <c r="J157" s="21"/>
      <c r="K157" s="21"/>
      <c r="L157" s="21"/>
      <c r="M157" s="91">
        <f t="shared" si="5"/>
        <v>0</v>
      </c>
      <c r="N157" s="20"/>
      <c r="O157" s="21"/>
      <c r="P157" s="20"/>
      <c r="Q157" s="4"/>
      <c r="R157" s="20"/>
      <c r="S157" s="4"/>
      <c r="T157" s="20"/>
      <c r="U157" s="4"/>
      <c r="V157" s="20"/>
      <c r="W157" s="4"/>
      <c r="X157" s="20"/>
      <c r="Y157" s="4"/>
      <c r="Z157" s="20"/>
      <c r="AA157" s="21"/>
      <c r="AB157" s="21"/>
      <c r="AC157" s="21"/>
    </row>
    <row r="158" spans="1:29" ht="15" customHeight="1" x14ac:dyDescent="0.25">
      <c r="A158" s="46"/>
      <c r="B158" s="46"/>
      <c r="C158" s="21"/>
      <c r="D158" s="47"/>
      <c r="E158" s="21"/>
      <c r="F158" s="21"/>
      <c r="G158" s="21"/>
      <c r="H158" s="21"/>
      <c r="I158" s="21"/>
      <c r="J158" s="21"/>
      <c r="K158" s="21"/>
      <c r="L158" s="21"/>
      <c r="M158" s="91">
        <f t="shared" si="5"/>
        <v>0</v>
      </c>
      <c r="N158" s="20"/>
      <c r="O158" s="21"/>
      <c r="P158" s="20"/>
      <c r="Q158" s="4"/>
      <c r="R158" s="20"/>
      <c r="S158" s="4"/>
      <c r="T158" s="20"/>
      <c r="U158" s="4"/>
      <c r="V158" s="20"/>
      <c r="W158" s="4"/>
      <c r="X158" s="20"/>
      <c r="Y158" s="4"/>
      <c r="Z158" s="20"/>
      <c r="AA158" s="21"/>
      <c r="AB158" s="21"/>
      <c r="AC158" s="21"/>
    </row>
    <row r="159" spans="1:29" ht="15" customHeight="1" x14ac:dyDescent="0.25">
      <c r="A159" s="46"/>
      <c r="B159" s="46"/>
      <c r="C159" s="21"/>
      <c r="D159" s="47"/>
      <c r="E159" s="21"/>
      <c r="F159" s="21"/>
      <c r="G159" s="21"/>
      <c r="H159" s="21"/>
      <c r="I159" s="21"/>
      <c r="J159" s="21"/>
      <c r="K159" s="21"/>
      <c r="L159" s="21"/>
      <c r="M159" s="91">
        <f t="shared" si="5"/>
        <v>0</v>
      </c>
      <c r="N159" s="20"/>
      <c r="O159" s="21"/>
      <c r="P159" s="20"/>
      <c r="Q159" s="4"/>
      <c r="R159" s="20"/>
      <c r="S159" s="4"/>
      <c r="T159" s="20"/>
      <c r="U159" s="4"/>
      <c r="V159" s="20"/>
      <c r="W159" s="4"/>
      <c r="X159" s="20"/>
      <c r="Y159" s="4"/>
      <c r="Z159" s="20"/>
      <c r="AA159" s="21"/>
      <c r="AB159" s="21"/>
      <c r="AC159" s="21"/>
    </row>
    <row r="160" spans="1:29" ht="15" customHeight="1" x14ac:dyDescent="0.25">
      <c r="A160" s="46"/>
      <c r="B160" s="46"/>
      <c r="C160" s="21"/>
      <c r="D160" s="47"/>
      <c r="E160" s="21"/>
      <c r="F160" s="21"/>
      <c r="G160" s="21"/>
      <c r="H160" s="21"/>
      <c r="I160" s="21"/>
      <c r="J160" s="21"/>
      <c r="K160" s="21"/>
      <c r="L160" s="21"/>
      <c r="M160" s="91">
        <f t="shared" si="5"/>
        <v>0</v>
      </c>
      <c r="N160" s="20"/>
      <c r="O160" s="21"/>
      <c r="P160" s="20"/>
      <c r="Q160" s="4"/>
      <c r="R160" s="20"/>
      <c r="S160" s="4"/>
      <c r="T160" s="20"/>
      <c r="U160" s="4"/>
      <c r="V160" s="20"/>
      <c r="W160" s="4"/>
      <c r="X160" s="20"/>
      <c r="Y160" s="4"/>
      <c r="Z160" s="20"/>
      <c r="AA160" s="21"/>
      <c r="AB160" s="21"/>
      <c r="AC160" s="21"/>
    </row>
    <row r="161" spans="1:29" ht="15" customHeight="1" x14ac:dyDescent="0.25">
      <c r="A161" s="46"/>
      <c r="B161" s="46"/>
      <c r="C161" s="21"/>
      <c r="D161" s="47"/>
      <c r="E161" s="21"/>
      <c r="F161" s="21"/>
      <c r="G161" s="21"/>
      <c r="H161" s="21"/>
      <c r="I161" s="21"/>
      <c r="J161" s="21"/>
      <c r="K161" s="21"/>
      <c r="L161" s="21"/>
      <c r="M161" s="91">
        <f t="shared" si="5"/>
        <v>0</v>
      </c>
      <c r="N161" s="20"/>
      <c r="O161" s="21"/>
      <c r="P161" s="20"/>
      <c r="Q161" s="4"/>
      <c r="R161" s="20"/>
      <c r="S161" s="4"/>
      <c r="T161" s="20"/>
      <c r="U161" s="4"/>
      <c r="V161" s="20"/>
      <c r="W161" s="4"/>
      <c r="X161" s="20"/>
      <c r="Y161" s="4"/>
      <c r="Z161" s="20"/>
      <c r="AA161" s="21"/>
      <c r="AB161" s="21"/>
      <c r="AC161" s="21"/>
    </row>
    <row r="162" spans="1:29" ht="15" customHeight="1" x14ac:dyDescent="0.25">
      <c r="A162" s="46"/>
      <c r="B162" s="46"/>
      <c r="C162" s="21"/>
      <c r="D162" s="47"/>
      <c r="E162" s="21"/>
      <c r="F162" s="21"/>
      <c r="G162" s="21"/>
      <c r="H162" s="21"/>
      <c r="I162" s="21"/>
      <c r="J162" s="21"/>
      <c r="K162" s="21"/>
      <c r="L162" s="21"/>
      <c r="M162" s="91">
        <f t="shared" si="5"/>
        <v>0</v>
      </c>
      <c r="N162" s="20"/>
      <c r="O162" s="21"/>
      <c r="P162" s="20"/>
      <c r="Q162" s="4"/>
      <c r="R162" s="20"/>
      <c r="S162" s="4"/>
      <c r="T162" s="20"/>
      <c r="U162" s="4"/>
      <c r="V162" s="20"/>
      <c r="W162" s="4"/>
      <c r="X162" s="20"/>
      <c r="Y162" s="4"/>
      <c r="Z162" s="20"/>
      <c r="AA162" s="21"/>
      <c r="AB162" s="21"/>
      <c r="AC162" s="21"/>
    </row>
    <row r="163" spans="1:29" ht="15" customHeight="1" x14ac:dyDescent="0.25">
      <c r="A163" s="46"/>
      <c r="B163" s="46"/>
      <c r="C163" s="21"/>
      <c r="D163" s="47"/>
      <c r="E163" s="21"/>
      <c r="F163" s="21"/>
      <c r="G163" s="21"/>
      <c r="H163" s="21"/>
      <c r="I163" s="21"/>
      <c r="J163" s="21"/>
      <c r="K163" s="21"/>
      <c r="L163" s="21"/>
      <c r="M163" s="91">
        <f t="shared" si="5"/>
        <v>0</v>
      </c>
      <c r="N163" s="20"/>
      <c r="O163" s="21"/>
      <c r="P163" s="20"/>
      <c r="Q163" s="4"/>
      <c r="R163" s="20"/>
      <c r="S163" s="4"/>
      <c r="T163" s="20"/>
      <c r="U163" s="4"/>
      <c r="V163" s="20"/>
      <c r="W163" s="4"/>
      <c r="X163" s="20"/>
      <c r="Y163" s="4"/>
      <c r="Z163" s="20"/>
      <c r="AA163" s="21"/>
      <c r="AB163" s="21"/>
      <c r="AC163" s="21"/>
    </row>
    <row r="164" spans="1:29" ht="15" customHeight="1" x14ac:dyDescent="0.25">
      <c r="A164" s="46"/>
      <c r="B164" s="46"/>
      <c r="C164" s="21"/>
      <c r="D164" s="47"/>
      <c r="E164" s="21"/>
      <c r="F164" s="21"/>
      <c r="G164" s="21"/>
      <c r="H164" s="21"/>
      <c r="I164" s="21"/>
      <c r="J164" s="21"/>
      <c r="K164" s="21"/>
      <c r="L164" s="21"/>
      <c r="M164" s="91">
        <f t="shared" si="5"/>
        <v>0</v>
      </c>
      <c r="N164" s="20"/>
      <c r="O164" s="21"/>
      <c r="P164" s="20"/>
      <c r="Q164" s="4"/>
      <c r="R164" s="20"/>
      <c r="S164" s="4"/>
      <c r="T164" s="20"/>
      <c r="U164" s="4"/>
      <c r="V164" s="20"/>
      <c r="W164" s="4"/>
      <c r="X164" s="20"/>
      <c r="Y164" s="4"/>
      <c r="Z164" s="20"/>
      <c r="AA164" s="21"/>
      <c r="AB164" s="21"/>
      <c r="AC164" s="21"/>
    </row>
    <row r="165" spans="1:29" ht="15" customHeight="1" x14ac:dyDescent="0.25">
      <c r="A165" s="46"/>
      <c r="B165" s="46"/>
      <c r="C165" s="21"/>
      <c r="D165" s="47"/>
      <c r="E165" s="21"/>
      <c r="F165" s="21"/>
      <c r="G165" s="21"/>
      <c r="H165" s="21"/>
      <c r="I165" s="21"/>
      <c r="J165" s="21"/>
      <c r="K165" s="21"/>
      <c r="L165" s="21"/>
      <c r="M165" s="91">
        <f t="shared" si="5"/>
        <v>0</v>
      </c>
      <c r="N165" s="20"/>
      <c r="O165" s="21"/>
      <c r="P165" s="20"/>
      <c r="Q165" s="4"/>
      <c r="R165" s="20"/>
      <c r="S165" s="4"/>
      <c r="T165" s="20"/>
      <c r="U165" s="4"/>
      <c r="V165" s="20"/>
      <c r="W165" s="4"/>
      <c r="X165" s="20"/>
      <c r="Y165" s="4"/>
      <c r="Z165" s="20"/>
      <c r="AA165" s="21"/>
      <c r="AB165" s="21"/>
      <c r="AC165" s="21"/>
    </row>
    <row r="166" spans="1:29" ht="15" customHeight="1" x14ac:dyDescent="0.25">
      <c r="A166" s="46"/>
      <c r="B166" s="46"/>
      <c r="C166" s="21"/>
      <c r="D166" s="47"/>
      <c r="E166" s="21"/>
      <c r="F166" s="21"/>
      <c r="G166" s="21"/>
      <c r="H166" s="21"/>
      <c r="I166" s="21"/>
      <c r="J166" s="21"/>
      <c r="K166" s="21"/>
      <c r="L166" s="21"/>
      <c r="M166" s="91">
        <f t="shared" si="5"/>
        <v>0</v>
      </c>
      <c r="N166" s="20"/>
      <c r="O166" s="21"/>
      <c r="P166" s="20"/>
      <c r="Q166" s="4"/>
      <c r="R166" s="20"/>
      <c r="S166" s="4"/>
      <c r="T166" s="20"/>
      <c r="U166" s="4"/>
      <c r="V166" s="20"/>
      <c r="W166" s="4"/>
      <c r="X166" s="20"/>
      <c r="Y166" s="4"/>
      <c r="Z166" s="20"/>
      <c r="AA166" s="21"/>
      <c r="AB166" s="21"/>
      <c r="AC166" s="21"/>
    </row>
    <row r="167" spans="1:29" ht="15" customHeight="1" x14ac:dyDescent="0.25">
      <c r="A167" s="46"/>
      <c r="B167" s="46"/>
      <c r="C167" s="21"/>
      <c r="D167" s="47"/>
      <c r="E167" s="21"/>
      <c r="F167" s="21"/>
      <c r="G167" s="21"/>
      <c r="H167" s="21"/>
      <c r="I167" s="21"/>
      <c r="J167" s="21"/>
      <c r="K167" s="21"/>
      <c r="L167" s="21"/>
      <c r="M167" s="91">
        <f t="shared" si="5"/>
        <v>0</v>
      </c>
      <c r="N167" s="20"/>
      <c r="O167" s="21"/>
      <c r="P167" s="20"/>
      <c r="Q167" s="4"/>
      <c r="R167" s="20"/>
      <c r="S167" s="4"/>
      <c r="T167" s="20"/>
      <c r="U167" s="4"/>
      <c r="V167" s="20"/>
      <c r="W167" s="4"/>
      <c r="X167" s="20"/>
      <c r="Y167" s="4"/>
      <c r="Z167" s="20"/>
      <c r="AA167" s="21"/>
      <c r="AB167" s="21"/>
      <c r="AC167" s="21"/>
    </row>
    <row r="168" spans="1:29" ht="15" customHeight="1" x14ac:dyDescent="0.25">
      <c r="A168" s="46"/>
      <c r="B168" s="46"/>
      <c r="C168" s="21"/>
      <c r="D168" s="47"/>
      <c r="E168" s="21"/>
      <c r="F168" s="21"/>
      <c r="G168" s="21"/>
      <c r="H168" s="21"/>
      <c r="I168" s="21"/>
      <c r="J168" s="21"/>
      <c r="K168" s="21"/>
      <c r="L168" s="21"/>
      <c r="M168" s="91">
        <f t="shared" si="5"/>
        <v>0</v>
      </c>
      <c r="N168" s="20"/>
      <c r="O168" s="21"/>
      <c r="P168" s="20"/>
      <c r="Q168" s="4"/>
      <c r="R168" s="20"/>
      <c r="S168" s="4"/>
      <c r="T168" s="20"/>
      <c r="U168" s="4"/>
      <c r="V168" s="20"/>
      <c r="W168" s="4"/>
      <c r="X168" s="20"/>
      <c r="Y168" s="4"/>
      <c r="Z168" s="20"/>
      <c r="AA168" s="21"/>
      <c r="AB168" s="21"/>
      <c r="AC168" s="21"/>
    </row>
    <row r="169" spans="1:29" ht="15" customHeight="1" x14ac:dyDescent="0.25">
      <c r="A169" s="46"/>
      <c r="B169" s="46"/>
      <c r="C169" s="21"/>
      <c r="D169" s="47"/>
      <c r="E169" s="21"/>
      <c r="F169" s="21"/>
      <c r="G169" s="21"/>
      <c r="H169" s="21"/>
      <c r="I169" s="21"/>
      <c r="J169" s="21"/>
      <c r="K169" s="21"/>
      <c r="L169" s="21"/>
      <c r="M169" s="91">
        <f t="shared" si="5"/>
        <v>0</v>
      </c>
      <c r="N169" s="20"/>
      <c r="O169" s="21"/>
      <c r="P169" s="20"/>
      <c r="Q169" s="4"/>
      <c r="R169" s="20"/>
      <c r="S169" s="4"/>
      <c r="T169" s="20"/>
      <c r="U169" s="4"/>
      <c r="V169" s="20"/>
      <c r="W169" s="4"/>
      <c r="X169" s="20"/>
      <c r="Y169" s="4"/>
      <c r="Z169" s="20"/>
      <c r="AA169" s="21"/>
      <c r="AB169" s="21"/>
      <c r="AC169" s="21"/>
    </row>
    <row r="170" spans="1:29" ht="15" customHeight="1" x14ac:dyDescent="0.25">
      <c r="A170" s="46"/>
      <c r="B170" s="46"/>
      <c r="C170" s="21"/>
      <c r="D170" s="47"/>
      <c r="E170" s="21"/>
      <c r="F170" s="21"/>
      <c r="G170" s="21"/>
      <c r="H170" s="21"/>
      <c r="I170" s="21"/>
      <c r="J170" s="21"/>
      <c r="K170" s="21"/>
      <c r="L170" s="21"/>
      <c r="M170" s="91">
        <f t="shared" si="5"/>
        <v>0</v>
      </c>
      <c r="N170" s="20"/>
      <c r="O170" s="21"/>
      <c r="P170" s="20"/>
      <c r="Q170" s="4"/>
      <c r="R170" s="20"/>
      <c r="S170" s="4"/>
      <c r="T170" s="20"/>
      <c r="U170" s="4"/>
      <c r="V170" s="20"/>
      <c r="W170" s="4"/>
      <c r="X170" s="20"/>
      <c r="Y170" s="4"/>
      <c r="Z170" s="20"/>
      <c r="AA170" s="21"/>
      <c r="AB170" s="21"/>
      <c r="AC170" s="21"/>
    </row>
    <row r="171" spans="1:29" ht="15" customHeight="1" x14ac:dyDescent="0.25">
      <c r="A171" s="46"/>
      <c r="B171" s="46"/>
      <c r="C171" s="21"/>
      <c r="D171" s="47"/>
      <c r="E171" s="21"/>
      <c r="F171" s="21"/>
      <c r="G171" s="21"/>
      <c r="H171" s="21"/>
      <c r="I171" s="21"/>
      <c r="J171" s="21"/>
      <c r="K171" s="21"/>
      <c r="L171" s="21"/>
      <c r="M171" s="91">
        <f t="shared" si="5"/>
        <v>0</v>
      </c>
      <c r="N171" s="20"/>
      <c r="O171" s="21"/>
      <c r="P171" s="20"/>
      <c r="Q171" s="4"/>
      <c r="R171" s="20"/>
      <c r="S171" s="4"/>
      <c r="T171" s="20"/>
      <c r="U171" s="4"/>
      <c r="V171" s="20"/>
      <c r="W171" s="4"/>
      <c r="X171" s="20"/>
      <c r="Y171" s="4"/>
      <c r="Z171" s="20"/>
      <c r="AA171" s="21"/>
      <c r="AB171" s="21"/>
      <c r="AC171" s="21"/>
    </row>
    <row r="172" spans="1:29" ht="15" customHeight="1" x14ac:dyDescent="0.25">
      <c r="A172" s="46"/>
      <c r="B172" s="46"/>
      <c r="C172" s="21"/>
      <c r="D172" s="47"/>
      <c r="E172" s="21"/>
      <c r="F172" s="21"/>
      <c r="G172" s="21"/>
      <c r="H172" s="21"/>
      <c r="I172" s="21"/>
      <c r="J172" s="21"/>
      <c r="K172" s="21"/>
      <c r="L172" s="21"/>
      <c r="M172" s="91">
        <f t="shared" si="5"/>
        <v>0</v>
      </c>
      <c r="N172" s="20"/>
      <c r="O172" s="21"/>
      <c r="P172" s="20"/>
      <c r="Q172" s="4"/>
      <c r="R172" s="20"/>
      <c r="S172" s="4"/>
      <c r="T172" s="20"/>
      <c r="U172" s="4"/>
      <c r="V172" s="20"/>
      <c r="W172" s="4"/>
      <c r="X172" s="20"/>
      <c r="Y172" s="4"/>
      <c r="Z172" s="20"/>
      <c r="AA172" s="21"/>
      <c r="AB172" s="21"/>
      <c r="AC172" s="21"/>
    </row>
    <row r="173" spans="1:29" ht="15" customHeight="1" x14ac:dyDescent="0.25">
      <c r="A173" s="46"/>
      <c r="B173" s="46"/>
      <c r="C173" s="21"/>
      <c r="D173" s="47"/>
      <c r="E173" s="21"/>
      <c r="F173" s="21"/>
      <c r="G173" s="21"/>
      <c r="H173" s="21"/>
      <c r="I173" s="21"/>
      <c r="J173" s="21"/>
      <c r="K173" s="21"/>
      <c r="L173" s="21"/>
      <c r="M173" s="91">
        <f t="shared" si="5"/>
        <v>0</v>
      </c>
      <c r="N173" s="20"/>
      <c r="O173" s="21"/>
      <c r="P173" s="20"/>
      <c r="Q173" s="4"/>
      <c r="R173" s="20"/>
      <c r="S173" s="4"/>
      <c r="T173" s="20"/>
      <c r="U173" s="4"/>
      <c r="V173" s="20"/>
      <c r="W173" s="4"/>
      <c r="X173" s="20"/>
      <c r="Y173" s="4"/>
      <c r="Z173" s="20"/>
      <c r="AA173" s="21"/>
      <c r="AB173" s="21"/>
      <c r="AC173" s="21"/>
    </row>
    <row r="174" spans="1:29" ht="15" customHeight="1" x14ac:dyDescent="0.25">
      <c r="A174" s="46"/>
      <c r="B174" s="46"/>
      <c r="C174" s="21"/>
      <c r="D174" s="47"/>
      <c r="E174" s="21"/>
      <c r="F174" s="21"/>
      <c r="G174" s="21"/>
      <c r="H174" s="21"/>
      <c r="I174" s="21"/>
      <c r="J174" s="21"/>
      <c r="K174" s="21"/>
      <c r="L174" s="21"/>
      <c r="M174" s="91">
        <f t="shared" si="5"/>
        <v>0</v>
      </c>
      <c r="N174" s="20"/>
      <c r="O174" s="21"/>
      <c r="P174" s="20"/>
      <c r="Q174" s="4"/>
      <c r="R174" s="20"/>
      <c r="S174" s="4"/>
      <c r="T174" s="20"/>
      <c r="U174" s="4"/>
      <c r="V174" s="20"/>
      <c r="W174" s="4"/>
      <c r="X174" s="20"/>
      <c r="Y174" s="4"/>
      <c r="Z174" s="20"/>
      <c r="AA174" s="21"/>
      <c r="AB174" s="21"/>
      <c r="AC174" s="21"/>
    </row>
    <row r="175" spans="1:29" ht="15" customHeight="1" x14ac:dyDescent="0.25">
      <c r="A175" s="46"/>
      <c r="B175" s="46"/>
      <c r="C175" s="21"/>
      <c r="D175" s="47"/>
      <c r="E175" s="21"/>
      <c r="F175" s="21"/>
      <c r="G175" s="21"/>
      <c r="H175" s="21"/>
      <c r="I175" s="21"/>
      <c r="J175" s="21"/>
      <c r="K175" s="21"/>
      <c r="L175" s="21"/>
      <c r="M175" s="91">
        <f t="shared" si="5"/>
        <v>0</v>
      </c>
      <c r="N175" s="20"/>
      <c r="O175" s="21"/>
      <c r="P175" s="20"/>
      <c r="Q175" s="4"/>
      <c r="R175" s="20"/>
      <c r="S175" s="4"/>
      <c r="T175" s="20"/>
      <c r="U175" s="4"/>
      <c r="V175" s="20"/>
      <c r="W175" s="4"/>
      <c r="X175" s="20"/>
      <c r="Y175" s="4"/>
      <c r="Z175" s="20"/>
      <c r="AA175" s="21"/>
      <c r="AB175" s="21"/>
      <c r="AC175" s="21"/>
    </row>
    <row r="176" spans="1:29" ht="15" customHeight="1" x14ac:dyDescent="0.25">
      <c r="A176" s="46"/>
      <c r="B176" s="46"/>
      <c r="C176" s="21"/>
      <c r="D176" s="47"/>
      <c r="E176" s="21"/>
      <c r="F176" s="21"/>
      <c r="G176" s="21"/>
      <c r="H176" s="21"/>
      <c r="I176" s="21"/>
      <c r="J176" s="21"/>
      <c r="K176" s="21"/>
      <c r="L176" s="21"/>
      <c r="M176" s="91">
        <f t="shared" si="5"/>
        <v>0</v>
      </c>
      <c r="N176" s="20"/>
      <c r="O176" s="21"/>
      <c r="P176" s="20"/>
      <c r="Q176" s="4"/>
      <c r="R176" s="20"/>
      <c r="S176" s="4"/>
      <c r="T176" s="20"/>
      <c r="U176" s="4"/>
      <c r="V176" s="20"/>
      <c r="W176" s="4"/>
      <c r="X176" s="20"/>
      <c r="Y176" s="4"/>
      <c r="Z176" s="20"/>
      <c r="AA176" s="21"/>
      <c r="AB176" s="21"/>
      <c r="AC176" s="21"/>
    </row>
    <row r="177" spans="1:29" ht="15" customHeight="1" x14ac:dyDescent="0.25">
      <c r="A177" s="46"/>
      <c r="B177" s="46"/>
      <c r="C177" s="21"/>
      <c r="D177" s="47"/>
      <c r="E177" s="21"/>
      <c r="F177" s="21"/>
      <c r="G177" s="21"/>
      <c r="H177" s="21"/>
      <c r="I177" s="21"/>
      <c r="J177" s="21"/>
      <c r="K177" s="21"/>
      <c r="L177" s="21"/>
      <c r="M177" s="91">
        <f t="shared" si="5"/>
        <v>0</v>
      </c>
      <c r="N177" s="20"/>
      <c r="O177" s="21"/>
      <c r="P177" s="20"/>
      <c r="Q177" s="4"/>
      <c r="R177" s="20"/>
      <c r="S177" s="4"/>
      <c r="T177" s="20"/>
      <c r="U177" s="4"/>
      <c r="V177" s="20"/>
      <c r="W177" s="4"/>
      <c r="X177" s="20"/>
      <c r="Y177" s="4"/>
      <c r="Z177" s="20"/>
      <c r="AA177" s="21"/>
      <c r="AB177" s="21"/>
      <c r="AC177" s="21"/>
    </row>
    <row r="178" spans="1:29" ht="15" customHeight="1" x14ac:dyDescent="0.25">
      <c r="A178" s="46"/>
      <c r="B178" s="46"/>
      <c r="C178" s="21"/>
      <c r="D178" s="47"/>
      <c r="E178" s="21"/>
      <c r="F178" s="21"/>
      <c r="G178" s="21"/>
      <c r="H178" s="21"/>
      <c r="I178" s="21"/>
      <c r="J178" s="21"/>
      <c r="K178" s="21"/>
      <c r="L178" s="21"/>
      <c r="M178" s="91">
        <f t="shared" si="5"/>
        <v>0</v>
      </c>
      <c r="N178" s="20"/>
      <c r="O178" s="21"/>
      <c r="P178" s="20"/>
      <c r="Q178" s="4"/>
      <c r="R178" s="20"/>
      <c r="S178" s="4"/>
      <c r="T178" s="20"/>
      <c r="U178" s="4"/>
      <c r="V178" s="20"/>
      <c r="W178" s="4"/>
      <c r="X178" s="20"/>
      <c r="Y178" s="4"/>
      <c r="Z178" s="20"/>
      <c r="AA178" s="21"/>
      <c r="AB178" s="21"/>
      <c r="AC178" s="21"/>
    </row>
    <row r="179" spans="1:29" ht="15" customHeight="1" x14ac:dyDescent="0.25">
      <c r="A179" s="46"/>
      <c r="B179" s="46"/>
      <c r="C179" s="21"/>
      <c r="D179" s="47"/>
      <c r="E179" s="21"/>
      <c r="F179" s="21"/>
      <c r="G179" s="21"/>
      <c r="H179" s="21"/>
      <c r="I179" s="21"/>
      <c r="J179" s="21"/>
      <c r="K179" s="21"/>
      <c r="L179" s="21"/>
      <c r="M179" s="91">
        <f t="shared" si="5"/>
        <v>0</v>
      </c>
      <c r="N179" s="20"/>
      <c r="O179" s="21"/>
      <c r="P179" s="20"/>
      <c r="Q179" s="4"/>
      <c r="R179" s="20"/>
      <c r="S179" s="4"/>
      <c r="T179" s="20"/>
      <c r="U179" s="4"/>
      <c r="V179" s="20"/>
      <c r="W179" s="4"/>
      <c r="X179" s="20"/>
      <c r="Y179" s="4"/>
      <c r="Z179" s="20"/>
      <c r="AA179" s="21"/>
      <c r="AB179" s="21"/>
      <c r="AC179" s="21"/>
    </row>
    <row r="180" spans="1:29" ht="15" customHeight="1" x14ac:dyDescent="0.25">
      <c r="A180" s="46"/>
      <c r="B180" s="46"/>
      <c r="C180" s="21"/>
      <c r="D180" s="47"/>
      <c r="E180" s="21"/>
      <c r="F180" s="21"/>
      <c r="G180" s="21"/>
      <c r="H180" s="21"/>
      <c r="I180" s="21"/>
      <c r="J180" s="21"/>
      <c r="K180" s="21"/>
      <c r="L180" s="21"/>
      <c r="M180" s="91">
        <f t="shared" si="5"/>
        <v>0</v>
      </c>
      <c r="N180" s="20"/>
      <c r="O180" s="21"/>
      <c r="P180" s="20"/>
      <c r="Q180" s="4"/>
      <c r="R180" s="20"/>
      <c r="S180" s="4"/>
      <c r="T180" s="20"/>
      <c r="U180" s="4"/>
      <c r="V180" s="20"/>
      <c r="W180" s="4"/>
      <c r="X180" s="20"/>
      <c r="Y180" s="4"/>
      <c r="Z180" s="20"/>
      <c r="AA180" s="21"/>
      <c r="AB180" s="21"/>
      <c r="AC180" s="21"/>
    </row>
    <row r="181" spans="1:29" ht="15" customHeight="1" x14ac:dyDescent="0.25">
      <c r="A181" s="46"/>
      <c r="B181" s="46"/>
      <c r="C181" s="21"/>
      <c r="D181" s="47"/>
      <c r="E181" s="21"/>
      <c r="F181" s="21"/>
      <c r="G181" s="21"/>
      <c r="H181" s="21"/>
      <c r="I181" s="21"/>
      <c r="J181" s="21"/>
      <c r="K181" s="21"/>
      <c r="L181" s="21"/>
      <c r="M181" s="91">
        <f t="shared" si="5"/>
        <v>0</v>
      </c>
      <c r="N181" s="20"/>
      <c r="O181" s="21"/>
      <c r="P181" s="20"/>
      <c r="Q181" s="4"/>
      <c r="R181" s="20"/>
      <c r="S181" s="4"/>
      <c r="T181" s="20"/>
      <c r="U181" s="4"/>
      <c r="V181" s="20"/>
      <c r="W181" s="4"/>
      <c r="X181" s="20"/>
      <c r="Y181" s="4"/>
      <c r="Z181" s="20"/>
      <c r="AA181" s="21"/>
      <c r="AB181" s="21"/>
      <c r="AC181" s="21"/>
    </row>
    <row r="182" spans="1:29" ht="15" customHeight="1" x14ac:dyDescent="0.25">
      <c r="A182" s="46"/>
      <c r="B182" s="46"/>
      <c r="C182" s="21"/>
      <c r="D182" s="47"/>
      <c r="E182" s="21"/>
      <c r="F182" s="21"/>
      <c r="G182" s="21"/>
      <c r="H182" s="21"/>
      <c r="I182" s="21"/>
      <c r="J182" s="21"/>
      <c r="K182" s="21"/>
      <c r="L182" s="21"/>
      <c r="M182" s="91">
        <f t="shared" si="5"/>
        <v>0</v>
      </c>
      <c r="N182" s="20"/>
      <c r="O182" s="21"/>
      <c r="P182" s="20"/>
      <c r="Q182" s="4"/>
      <c r="R182" s="20"/>
      <c r="S182" s="4"/>
      <c r="T182" s="20"/>
      <c r="U182" s="4"/>
      <c r="V182" s="20"/>
      <c r="W182" s="4"/>
      <c r="X182" s="20"/>
      <c r="Y182" s="4"/>
      <c r="Z182" s="20"/>
      <c r="AA182" s="21"/>
      <c r="AB182" s="21"/>
      <c r="AC182" s="21"/>
    </row>
    <row r="183" spans="1:29" ht="15" customHeight="1" x14ac:dyDescent="0.25">
      <c r="A183" s="46"/>
      <c r="B183" s="46"/>
      <c r="C183" s="21"/>
      <c r="D183" s="47"/>
      <c r="E183" s="21"/>
      <c r="F183" s="21"/>
      <c r="G183" s="21"/>
      <c r="H183" s="21"/>
      <c r="I183" s="21"/>
      <c r="J183" s="21"/>
      <c r="K183" s="21"/>
      <c r="L183" s="21"/>
      <c r="M183" s="91">
        <f t="shared" si="5"/>
        <v>0</v>
      </c>
      <c r="N183" s="20"/>
      <c r="O183" s="21"/>
      <c r="P183" s="20"/>
      <c r="Q183" s="4"/>
      <c r="R183" s="20"/>
      <c r="S183" s="4"/>
      <c r="T183" s="20"/>
      <c r="U183" s="4"/>
      <c r="V183" s="20"/>
      <c r="W183" s="4"/>
      <c r="X183" s="20"/>
      <c r="Y183" s="4"/>
      <c r="Z183" s="20"/>
      <c r="AA183" s="21"/>
      <c r="AB183" s="21"/>
      <c r="AC183" s="21"/>
    </row>
    <row r="184" spans="1:29" ht="15" customHeight="1" x14ac:dyDescent="0.25">
      <c r="A184" s="46"/>
      <c r="B184" s="46"/>
      <c r="C184" s="21"/>
      <c r="D184" s="47"/>
      <c r="E184" s="21"/>
      <c r="F184" s="21"/>
      <c r="G184" s="21"/>
      <c r="H184" s="21"/>
      <c r="I184" s="21"/>
      <c r="J184" s="21"/>
      <c r="K184" s="21"/>
      <c r="L184" s="21"/>
      <c r="M184" s="91">
        <f t="shared" si="5"/>
        <v>0</v>
      </c>
      <c r="N184" s="20"/>
      <c r="O184" s="21"/>
      <c r="P184" s="20"/>
      <c r="Q184" s="4"/>
      <c r="R184" s="20"/>
      <c r="S184" s="4"/>
      <c r="T184" s="20"/>
      <c r="U184" s="4"/>
      <c r="V184" s="20"/>
      <c r="W184" s="4"/>
      <c r="X184" s="20"/>
      <c r="Y184" s="4"/>
      <c r="Z184" s="20"/>
      <c r="AA184" s="21"/>
      <c r="AB184" s="21"/>
      <c r="AC184" s="21"/>
    </row>
    <row r="185" spans="1:29" ht="15" customHeight="1" x14ac:dyDescent="0.25">
      <c r="A185" s="46"/>
      <c r="B185" s="46"/>
      <c r="C185" s="21"/>
      <c r="D185" s="47"/>
      <c r="E185" s="21"/>
      <c r="F185" s="21"/>
      <c r="G185" s="21"/>
      <c r="H185" s="21"/>
      <c r="I185" s="21"/>
      <c r="J185" s="21"/>
      <c r="K185" s="21"/>
      <c r="L185" s="21"/>
      <c r="M185" s="91">
        <f t="shared" si="5"/>
        <v>0</v>
      </c>
      <c r="N185" s="20"/>
      <c r="O185" s="21"/>
      <c r="P185" s="20"/>
      <c r="Q185" s="4"/>
      <c r="R185" s="20"/>
      <c r="S185" s="4"/>
      <c r="T185" s="20"/>
      <c r="U185" s="4"/>
      <c r="V185" s="20"/>
      <c r="W185" s="4"/>
      <c r="X185" s="20"/>
      <c r="Y185" s="4"/>
      <c r="Z185" s="20"/>
      <c r="AA185" s="21"/>
      <c r="AB185" s="21"/>
      <c r="AC185" s="21"/>
    </row>
    <row r="186" spans="1:29" ht="15" customHeight="1" x14ac:dyDescent="0.25">
      <c r="A186" s="46"/>
      <c r="B186" s="46"/>
      <c r="C186" s="21"/>
      <c r="D186" s="47"/>
      <c r="E186" s="21"/>
      <c r="F186" s="21"/>
      <c r="G186" s="21"/>
      <c r="H186" s="21"/>
      <c r="I186" s="21"/>
      <c r="J186" s="21"/>
      <c r="K186" s="21"/>
      <c r="L186" s="21"/>
      <c r="M186" s="91">
        <f t="shared" si="5"/>
        <v>0</v>
      </c>
      <c r="N186" s="20"/>
      <c r="O186" s="21"/>
      <c r="P186" s="20"/>
      <c r="Q186" s="4"/>
      <c r="R186" s="20"/>
      <c r="S186" s="4"/>
      <c r="T186" s="20"/>
      <c r="U186" s="4"/>
      <c r="V186" s="20"/>
      <c r="W186" s="4"/>
      <c r="X186" s="20"/>
      <c r="Y186" s="4"/>
      <c r="Z186" s="20"/>
      <c r="AA186" s="21"/>
      <c r="AB186" s="21"/>
      <c r="AC186" s="21"/>
    </row>
    <row r="187" spans="1:29" ht="15" customHeight="1" x14ac:dyDescent="0.25">
      <c r="A187" s="46"/>
      <c r="B187" s="46"/>
      <c r="C187" s="21"/>
      <c r="D187" s="47"/>
      <c r="E187" s="21"/>
      <c r="F187" s="21"/>
      <c r="G187" s="21"/>
      <c r="H187" s="21"/>
      <c r="I187" s="21"/>
      <c r="J187" s="21"/>
      <c r="K187" s="21"/>
      <c r="L187" s="21"/>
      <c r="M187" s="91">
        <f t="shared" si="5"/>
        <v>0</v>
      </c>
      <c r="N187" s="20"/>
      <c r="O187" s="21"/>
      <c r="P187" s="20"/>
      <c r="Q187" s="4"/>
      <c r="R187" s="20"/>
      <c r="S187" s="4"/>
      <c r="T187" s="20"/>
      <c r="U187" s="4"/>
      <c r="V187" s="20"/>
      <c r="W187" s="4"/>
      <c r="X187" s="20"/>
      <c r="Y187" s="4"/>
      <c r="Z187" s="20"/>
      <c r="AA187" s="21"/>
      <c r="AB187" s="21"/>
      <c r="AC187" s="21"/>
    </row>
    <row r="188" spans="1:29" ht="15" customHeight="1" x14ac:dyDescent="0.25">
      <c r="A188" s="46"/>
      <c r="B188" s="46"/>
      <c r="C188" s="21"/>
      <c r="D188" s="47"/>
      <c r="E188" s="21"/>
      <c r="F188" s="21"/>
      <c r="G188" s="21"/>
      <c r="H188" s="21"/>
      <c r="I188" s="21"/>
      <c r="J188" s="21"/>
      <c r="K188" s="21"/>
      <c r="L188" s="21"/>
      <c r="M188" s="91">
        <f t="shared" si="5"/>
        <v>0</v>
      </c>
      <c r="N188" s="20"/>
      <c r="O188" s="21"/>
      <c r="P188" s="20"/>
      <c r="Q188" s="4"/>
      <c r="R188" s="20"/>
      <c r="S188" s="4"/>
      <c r="T188" s="20"/>
      <c r="U188" s="4"/>
      <c r="V188" s="20"/>
      <c r="W188" s="4"/>
      <c r="X188" s="20"/>
      <c r="Y188" s="4"/>
      <c r="Z188" s="20"/>
      <c r="AA188" s="21"/>
      <c r="AB188" s="21"/>
      <c r="AC188" s="21"/>
    </row>
    <row r="189" spans="1:29" ht="15" customHeight="1" x14ac:dyDescent="0.25">
      <c r="A189" s="46"/>
      <c r="B189" s="46"/>
      <c r="C189" s="21"/>
      <c r="D189" s="47"/>
      <c r="E189" s="21"/>
      <c r="F189" s="21"/>
      <c r="G189" s="21"/>
      <c r="H189" s="21"/>
      <c r="I189" s="21"/>
      <c r="J189" s="21"/>
      <c r="K189" s="21"/>
      <c r="L189" s="21"/>
      <c r="M189" s="91">
        <f t="shared" si="5"/>
        <v>0</v>
      </c>
      <c r="N189" s="20"/>
      <c r="O189" s="21"/>
      <c r="P189" s="20"/>
      <c r="Q189" s="4"/>
      <c r="R189" s="20"/>
      <c r="S189" s="4"/>
      <c r="T189" s="20"/>
      <c r="U189" s="4"/>
      <c r="V189" s="20"/>
      <c r="W189" s="4"/>
      <c r="X189" s="20"/>
      <c r="Y189" s="4"/>
      <c r="Z189" s="20"/>
      <c r="AA189" s="21"/>
      <c r="AB189" s="21"/>
      <c r="AC189" s="21"/>
    </row>
    <row r="190" spans="1:29" ht="15" customHeight="1" x14ac:dyDescent="0.25">
      <c r="A190" s="46"/>
      <c r="B190" s="46"/>
      <c r="C190" s="21"/>
      <c r="D190" s="47"/>
      <c r="E190" s="21"/>
      <c r="F190" s="21"/>
      <c r="G190" s="21"/>
      <c r="H190" s="21"/>
      <c r="I190" s="21"/>
      <c r="J190" s="21"/>
      <c r="K190" s="21"/>
      <c r="L190" s="21"/>
      <c r="M190" s="91">
        <f t="shared" si="5"/>
        <v>0</v>
      </c>
      <c r="N190" s="20"/>
      <c r="O190" s="21"/>
      <c r="P190" s="20"/>
      <c r="Q190" s="4"/>
      <c r="R190" s="20"/>
      <c r="S190" s="4"/>
      <c r="T190" s="20"/>
      <c r="U190" s="4"/>
      <c r="V190" s="20"/>
      <c r="W190" s="4"/>
      <c r="X190" s="20"/>
      <c r="Y190" s="4"/>
      <c r="Z190" s="20"/>
      <c r="AA190" s="21"/>
      <c r="AB190" s="21"/>
      <c r="AC190" s="21"/>
    </row>
    <row r="191" spans="1:29" ht="15" customHeight="1" x14ac:dyDescent="0.25">
      <c r="A191" s="46"/>
      <c r="B191" s="46"/>
      <c r="C191" s="21"/>
      <c r="D191" s="47"/>
      <c r="E191" s="21"/>
      <c r="F191" s="21"/>
      <c r="G191" s="21"/>
      <c r="H191" s="21"/>
      <c r="I191" s="21"/>
      <c r="J191" s="21"/>
      <c r="K191" s="21"/>
      <c r="L191" s="21"/>
      <c r="M191" s="91">
        <f t="shared" si="5"/>
        <v>0</v>
      </c>
      <c r="N191" s="20"/>
      <c r="O191" s="21"/>
      <c r="P191" s="20"/>
      <c r="Q191" s="4"/>
      <c r="R191" s="20"/>
      <c r="S191" s="4"/>
      <c r="T191" s="20"/>
      <c r="U191" s="4"/>
      <c r="V191" s="20"/>
      <c r="W191" s="4"/>
      <c r="X191" s="20"/>
      <c r="Y191" s="4"/>
      <c r="Z191" s="20"/>
      <c r="AA191" s="21"/>
      <c r="AB191" s="21"/>
      <c r="AC191" s="21"/>
    </row>
    <row r="192" spans="1:29" ht="15" customHeight="1" x14ac:dyDescent="0.25">
      <c r="A192" s="46"/>
      <c r="B192" s="46"/>
      <c r="C192" s="21"/>
      <c r="D192" s="47"/>
      <c r="E192" s="21"/>
      <c r="F192" s="21"/>
      <c r="G192" s="21"/>
      <c r="H192" s="21"/>
      <c r="I192" s="21"/>
      <c r="J192" s="21"/>
      <c r="K192" s="21"/>
      <c r="L192" s="21"/>
      <c r="M192" s="91">
        <f t="shared" si="5"/>
        <v>0</v>
      </c>
      <c r="N192" s="20"/>
      <c r="O192" s="21"/>
      <c r="P192" s="20"/>
      <c r="Q192" s="4"/>
      <c r="R192" s="20"/>
      <c r="S192" s="4"/>
      <c r="T192" s="20"/>
      <c r="U192" s="4"/>
      <c r="V192" s="20"/>
      <c r="W192" s="4"/>
      <c r="X192" s="20"/>
      <c r="Y192" s="4"/>
      <c r="Z192" s="20"/>
      <c r="AA192" s="21"/>
      <c r="AB192" s="21"/>
      <c r="AC192" s="21"/>
    </row>
    <row r="193" spans="1:29" ht="15" customHeight="1" x14ac:dyDescent="0.25">
      <c r="A193" s="46"/>
      <c r="B193" s="46"/>
      <c r="C193" s="21"/>
      <c r="D193" s="47"/>
      <c r="E193" s="21"/>
      <c r="F193" s="21"/>
      <c r="G193" s="21"/>
      <c r="H193" s="21"/>
      <c r="I193" s="21"/>
      <c r="J193" s="21"/>
      <c r="K193" s="21"/>
      <c r="L193" s="21"/>
      <c r="M193" s="91">
        <f t="shared" si="5"/>
        <v>0</v>
      </c>
      <c r="N193" s="20"/>
      <c r="O193" s="21"/>
      <c r="P193" s="20"/>
      <c r="Q193" s="4"/>
      <c r="R193" s="20"/>
      <c r="S193" s="4"/>
      <c r="T193" s="20"/>
      <c r="U193" s="4"/>
      <c r="V193" s="20"/>
      <c r="W193" s="4"/>
      <c r="X193" s="20"/>
      <c r="Y193" s="4"/>
      <c r="Z193" s="20"/>
      <c r="AA193" s="21"/>
      <c r="AB193" s="21"/>
      <c r="AC193" s="21"/>
    </row>
    <row r="194" spans="1:29" ht="15" customHeight="1" x14ac:dyDescent="0.25">
      <c r="A194" s="46"/>
      <c r="B194" s="46"/>
      <c r="C194" s="21"/>
      <c r="D194" s="47"/>
      <c r="E194" s="21"/>
      <c r="F194" s="21"/>
      <c r="G194" s="21"/>
      <c r="H194" s="21"/>
      <c r="I194" s="21"/>
      <c r="J194" s="21"/>
      <c r="K194" s="21"/>
      <c r="L194" s="21"/>
      <c r="M194" s="91">
        <f t="shared" si="5"/>
        <v>0</v>
      </c>
      <c r="N194" s="20"/>
      <c r="O194" s="21"/>
      <c r="P194" s="20"/>
      <c r="Q194" s="4"/>
      <c r="R194" s="20"/>
      <c r="S194" s="4"/>
      <c r="T194" s="20"/>
      <c r="U194" s="4"/>
      <c r="V194" s="20"/>
      <c r="W194" s="4"/>
      <c r="X194" s="20"/>
      <c r="Y194" s="4"/>
      <c r="Z194" s="20"/>
      <c r="AA194" s="21"/>
      <c r="AB194" s="21"/>
      <c r="AC194" s="21"/>
    </row>
    <row r="195" spans="1:29" ht="15" customHeight="1" x14ac:dyDescent="0.25">
      <c r="A195" s="46"/>
      <c r="B195" s="46"/>
      <c r="C195" s="21"/>
      <c r="D195" s="47"/>
      <c r="E195" s="21"/>
      <c r="F195" s="21"/>
      <c r="G195" s="21"/>
      <c r="H195" s="21"/>
      <c r="I195" s="21"/>
      <c r="J195" s="21"/>
      <c r="K195" s="21"/>
      <c r="L195" s="21"/>
      <c r="M195" s="91">
        <f t="shared" si="5"/>
        <v>0</v>
      </c>
      <c r="N195" s="20"/>
      <c r="O195" s="21"/>
      <c r="P195" s="20"/>
      <c r="Q195" s="4"/>
      <c r="R195" s="20"/>
      <c r="S195" s="4"/>
      <c r="T195" s="20"/>
      <c r="U195" s="4"/>
      <c r="V195" s="20"/>
      <c r="W195" s="4"/>
      <c r="X195" s="20"/>
      <c r="Y195" s="4"/>
      <c r="Z195" s="20"/>
      <c r="AA195" s="21"/>
      <c r="AB195" s="21"/>
      <c r="AC195" s="21"/>
    </row>
    <row r="196" spans="1:29" ht="15" customHeight="1" x14ac:dyDescent="0.25">
      <c r="A196" s="46"/>
      <c r="B196" s="46"/>
      <c r="C196" s="21"/>
      <c r="D196" s="47"/>
      <c r="E196" s="21"/>
      <c r="F196" s="21"/>
      <c r="G196" s="21"/>
      <c r="H196" s="21"/>
      <c r="I196" s="21"/>
      <c r="J196" s="21"/>
      <c r="K196" s="21"/>
      <c r="L196" s="21"/>
      <c r="M196" s="91">
        <f t="shared" si="5"/>
        <v>0</v>
      </c>
      <c r="N196" s="20"/>
      <c r="O196" s="21"/>
      <c r="P196" s="20"/>
      <c r="Q196" s="4"/>
      <c r="R196" s="20"/>
      <c r="S196" s="4"/>
      <c r="T196" s="20"/>
      <c r="U196" s="4"/>
      <c r="V196" s="20"/>
      <c r="W196" s="4"/>
      <c r="X196" s="20"/>
      <c r="Y196" s="4"/>
      <c r="Z196" s="20"/>
      <c r="AA196" s="21"/>
      <c r="AB196" s="21"/>
      <c r="AC196" s="21"/>
    </row>
    <row r="197" spans="1:29" ht="15" customHeight="1" x14ac:dyDescent="0.25">
      <c r="A197" s="46"/>
      <c r="B197" s="46"/>
      <c r="C197" s="21"/>
      <c r="D197" s="47"/>
      <c r="E197" s="21"/>
      <c r="F197" s="21"/>
      <c r="G197" s="21"/>
      <c r="H197" s="21"/>
      <c r="I197" s="21"/>
      <c r="J197" s="21"/>
      <c r="K197" s="21"/>
      <c r="L197" s="21"/>
      <c r="M197" s="91">
        <f t="shared" si="5"/>
        <v>0</v>
      </c>
      <c r="N197" s="20"/>
      <c r="O197" s="21"/>
      <c r="P197" s="20"/>
      <c r="Q197" s="4"/>
      <c r="R197" s="20"/>
      <c r="S197" s="4"/>
      <c r="T197" s="20"/>
      <c r="U197" s="4"/>
      <c r="V197" s="20"/>
      <c r="W197" s="4"/>
      <c r="X197" s="20"/>
      <c r="Y197" s="4"/>
      <c r="Z197" s="20"/>
      <c r="AA197" s="21"/>
      <c r="AB197" s="21"/>
      <c r="AC197" s="21"/>
    </row>
    <row r="198" spans="1:29" ht="15" customHeight="1" x14ac:dyDescent="0.25">
      <c r="A198" s="46"/>
      <c r="B198" s="46"/>
      <c r="C198" s="21"/>
      <c r="D198" s="47"/>
      <c r="E198" s="21"/>
      <c r="F198" s="21"/>
      <c r="G198" s="21"/>
      <c r="H198" s="21"/>
      <c r="I198" s="21"/>
      <c r="J198" s="21"/>
      <c r="K198" s="21"/>
      <c r="L198" s="21"/>
      <c r="M198" s="91">
        <f t="shared" ref="M198:M261" si="6">SUM(N198:Z198)</f>
        <v>0</v>
      </c>
      <c r="N198" s="20"/>
      <c r="O198" s="21"/>
      <c r="P198" s="20"/>
      <c r="Q198" s="4"/>
      <c r="R198" s="20"/>
      <c r="S198" s="4"/>
      <c r="T198" s="20"/>
      <c r="U198" s="4"/>
      <c r="V198" s="20"/>
      <c r="W198" s="4"/>
      <c r="X198" s="20"/>
      <c r="Y198" s="4"/>
      <c r="Z198" s="20"/>
      <c r="AA198" s="21"/>
      <c r="AB198" s="21"/>
      <c r="AC198" s="21"/>
    </row>
    <row r="199" spans="1:29" ht="15" customHeight="1" x14ac:dyDescent="0.25">
      <c r="A199" s="46"/>
      <c r="B199" s="46"/>
      <c r="C199" s="21"/>
      <c r="D199" s="47"/>
      <c r="E199" s="21"/>
      <c r="F199" s="21"/>
      <c r="G199" s="21"/>
      <c r="H199" s="21"/>
      <c r="I199" s="21"/>
      <c r="J199" s="21"/>
      <c r="K199" s="21"/>
      <c r="L199" s="21"/>
      <c r="M199" s="91">
        <f t="shared" si="6"/>
        <v>0</v>
      </c>
      <c r="N199" s="20"/>
      <c r="O199" s="21"/>
      <c r="P199" s="20"/>
      <c r="Q199" s="4"/>
      <c r="R199" s="20"/>
      <c r="S199" s="4"/>
      <c r="T199" s="20"/>
      <c r="U199" s="4"/>
      <c r="V199" s="20"/>
      <c r="W199" s="4"/>
      <c r="X199" s="20"/>
      <c r="Y199" s="4"/>
      <c r="Z199" s="20"/>
      <c r="AA199" s="21"/>
      <c r="AB199" s="21"/>
      <c r="AC199" s="21"/>
    </row>
    <row r="200" spans="1:29" ht="15" customHeight="1" x14ac:dyDescent="0.25">
      <c r="A200" s="46"/>
      <c r="B200" s="46"/>
      <c r="C200" s="21"/>
      <c r="D200" s="47"/>
      <c r="E200" s="21"/>
      <c r="F200" s="21"/>
      <c r="G200" s="21"/>
      <c r="H200" s="21"/>
      <c r="I200" s="21"/>
      <c r="J200" s="21"/>
      <c r="K200" s="21"/>
      <c r="L200" s="21"/>
      <c r="M200" s="91">
        <f t="shared" si="6"/>
        <v>0</v>
      </c>
      <c r="N200" s="20"/>
      <c r="O200" s="21"/>
      <c r="P200" s="20"/>
      <c r="Q200" s="4"/>
      <c r="R200" s="20"/>
      <c r="S200" s="4"/>
      <c r="T200" s="20"/>
      <c r="U200" s="4"/>
      <c r="V200" s="20"/>
      <c r="W200" s="4"/>
      <c r="X200" s="20"/>
      <c r="Y200" s="4"/>
      <c r="Z200" s="20"/>
      <c r="AA200" s="21"/>
      <c r="AB200" s="21"/>
      <c r="AC200" s="21"/>
    </row>
    <row r="201" spans="1:29" ht="15" customHeight="1" x14ac:dyDescent="0.25">
      <c r="A201" s="46"/>
      <c r="B201" s="46"/>
      <c r="C201" s="21"/>
      <c r="D201" s="47"/>
      <c r="E201" s="21"/>
      <c r="F201" s="21"/>
      <c r="G201" s="21"/>
      <c r="H201" s="21"/>
      <c r="I201" s="21"/>
      <c r="J201" s="21"/>
      <c r="K201" s="21"/>
      <c r="L201" s="21"/>
      <c r="M201" s="91">
        <f t="shared" si="6"/>
        <v>0</v>
      </c>
      <c r="N201" s="20"/>
      <c r="O201" s="21"/>
      <c r="P201" s="20"/>
      <c r="Q201" s="4"/>
      <c r="R201" s="20"/>
      <c r="S201" s="4"/>
      <c r="T201" s="20"/>
      <c r="U201" s="4"/>
      <c r="V201" s="20"/>
      <c r="W201" s="4"/>
      <c r="X201" s="20"/>
      <c r="Y201" s="4"/>
      <c r="Z201" s="20"/>
      <c r="AA201" s="21"/>
      <c r="AB201" s="21"/>
      <c r="AC201" s="21"/>
    </row>
    <row r="202" spans="1:29" ht="15" customHeight="1" x14ac:dyDescent="0.25">
      <c r="A202" s="46"/>
      <c r="B202" s="46"/>
      <c r="C202" s="21"/>
      <c r="D202" s="47"/>
      <c r="E202" s="21"/>
      <c r="F202" s="21"/>
      <c r="G202" s="21"/>
      <c r="H202" s="21"/>
      <c r="I202" s="21"/>
      <c r="J202" s="21"/>
      <c r="K202" s="21"/>
      <c r="L202" s="21"/>
      <c r="M202" s="91">
        <f t="shared" si="6"/>
        <v>0</v>
      </c>
      <c r="N202" s="20"/>
      <c r="O202" s="21"/>
      <c r="P202" s="20"/>
      <c r="Q202" s="4"/>
      <c r="R202" s="20"/>
      <c r="S202" s="4"/>
      <c r="T202" s="20"/>
      <c r="U202" s="4"/>
      <c r="V202" s="20"/>
      <c r="W202" s="4"/>
      <c r="X202" s="20"/>
      <c r="Y202" s="4"/>
      <c r="Z202" s="20"/>
      <c r="AA202" s="21"/>
      <c r="AB202" s="21"/>
      <c r="AC202" s="21"/>
    </row>
    <row r="203" spans="1:29" ht="15" customHeight="1" x14ac:dyDescent="0.25">
      <c r="A203" s="46"/>
      <c r="B203" s="46"/>
      <c r="C203" s="21"/>
      <c r="D203" s="47"/>
      <c r="E203" s="21"/>
      <c r="F203" s="21"/>
      <c r="G203" s="21"/>
      <c r="H203" s="21"/>
      <c r="I203" s="21"/>
      <c r="J203" s="21"/>
      <c r="K203" s="21"/>
      <c r="L203" s="21"/>
      <c r="M203" s="91">
        <f t="shared" si="6"/>
        <v>0</v>
      </c>
      <c r="N203" s="20"/>
      <c r="O203" s="21"/>
      <c r="P203" s="20"/>
      <c r="Q203" s="4"/>
      <c r="R203" s="20"/>
      <c r="S203" s="4"/>
      <c r="T203" s="20"/>
      <c r="U203" s="4"/>
      <c r="V203" s="20"/>
      <c r="W203" s="4"/>
      <c r="X203" s="20"/>
      <c r="Y203" s="4"/>
      <c r="Z203" s="20"/>
      <c r="AA203" s="21"/>
      <c r="AB203" s="21"/>
      <c r="AC203" s="21"/>
    </row>
    <row r="204" spans="1:29" ht="15" customHeight="1" x14ac:dyDescent="0.25">
      <c r="A204" s="46"/>
      <c r="B204" s="46"/>
      <c r="C204" s="21"/>
      <c r="D204" s="47"/>
      <c r="E204" s="21"/>
      <c r="F204" s="21"/>
      <c r="G204" s="21"/>
      <c r="H204" s="21"/>
      <c r="I204" s="21"/>
      <c r="J204" s="21"/>
      <c r="K204" s="21"/>
      <c r="L204" s="21"/>
      <c r="M204" s="91">
        <f t="shared" si="6"/>
        <v>0</v>
      </c>
      <c r="N204" s="20"/>
      <c r="O204" s="21"/>
      <c r="P204" s="20"/>
      <c r="Q204" s="4"/>
      <c r="R204" s="20"/>
      <c r="S204" s="4"/>
      <c r="T204" s="20"/>
      <c r="U204" s="4"/>
      <c r="V204" s="20"/>
      <c r="W204" s="4"/>
      <c r="X204" s="20"/>
      <c r="Y204" s="4"/>
      <c r="Z204" s="20"/>
      <c r="AA204" s="21"/>
      <c r="AB204" s="21"/>
      <c r="AC204" s="21"/>
    </row>
    <row r="205" spans="1:29" ht="15" customHeight="1" x14ac:dyDescent="0.25">
      <c r="A205" s="46"/>
      <c r="B205" s="46"/>
      <c r="C205" s="21"/>
      <c r="D205" s="47"/>
      <c r="E205" s="21"/>
      <c r="F205" s="21"/>
      <c r="G205" s="21"/>
      <c r="H205" s="21"/>
      <c r="I205" s="21"/>
      <c r="J205" s="21"/>
      <c r="K205" s="21"/>
      <c r="L205" s="21"/>
      <c r="M205" s="91">
        <f t="shared" si="6"/>
        <v>0</v>
      </c>
      <c r="N205" s="20"/>
      <c r="O205" s="21"/>
      <c r="P205" s="20"/>
      <c r="Q205" s="4"/>
      <c r="R205" s="20"/>
      <c r="S205" s="4"/>
      <c r="T205" s="20"/>
      <c r="U205" s="4"/>
      <c r="V205" s="20"/>
      <c r="W205" s="4"/>
      <c r="X205" s="20"/>
      <c r="Y205" s="4"/>
      <c r="Z205" s="20"/>
      <c r="AA205" s="21"/>
      <c r="AB205" s="21"/>
      <c r="AC205" s="21"/>
    </row>
    <row r="206" spans="1:29" ht="15" customHeight="1" x14ac:dyDescent="0.25">
      <c r="A206" s="46"/>
      <c r="B206" s="46"/>
      <c r="C206" s="21"/>
      <c r="D206" s="47"/>
      <c r="E206" s="21"/>
      <c r="F206" s="21"/>
      <c r="G206" s="21"/>
      <c r="H206" s="21"/>
      <c r="I206" s="21"/>
      <c r="J206" s="21"/>
      <c r="K206" s="21"/>
      <c r="L206" s="21"/>
      <c r="M206" s="91">
        <f t="shared" si="6"/>
        <v>0</v>
      </c>
      <c r="N206" s="20"/>
      <c r="O206" s="21"/>
      <c r="P206" s="20"/>
      <c r="Q206" s="4"/>
      <c r="R206" s="20"/>
      <c r="S206" s="4"/>
      <c r="T206" s="20"/>
      <c r="U206" s="4"/>
      <c r="V206" s="20"/>
      <c r="W206" s="4"/>
      <c r="X206" s="20"/>
      <c r="Y206" s="4"/>
      <c r="Z206" s="20"/>
      <c r="AA206" s="21"/>
      <c r="AB206" s="21"/>
      <c r="AC206" s="21"/>
    </row>
    <row r="207" spans="1:29" ht="15" customHeight="1" x14ac:dyDescent="0.25">
      <c r="A207" s="46"/>
      <c r="B207" s="46"/>
      <c r="C207" s="21"/>
      <c r="D207" s="47"/>
      <c r="E207" s="21"/>
      <c r="F207" s="21"/>
      <c r="G207" s="21"/>
      <c r="H207" s="21"/>
      <c r="I207" s="21"/>
      <c r="J207" s="21"/>
      <c r="K207" s="21"/>
      <c r="L207" s="21"/>
      <c r="M207" s="91">
        <f t="shared" si="6"/>
        <v>0</v>
      </c>
      <c r="N207" s="20"/>
      <c r="O207" s="21"/>
      <c r="P207" s="20"/>
      <c r="Q207" s="4"/>
      <c r="R207" s="20"/>
      <c r="S207" s="4"/>
      <c r="T207" s="20"/>
      <c r="U207" s="4"/>
      <c r="V207" s="20"/>
      <c r="W207" s="4"/>
      <c r="X207" s="20"/>
      <c r="Y207" s="4"/>
      <c r="Z207" s="20"/>
      <c r="AA207" s="21"/>
      <c r="AB207" s="21"/>
      <c r="AC207" s="21"/>
    </row>
    <row r="208" spans="1:29" ht="15" customHeight="1" x14ac:dyDescent="0.25">
      <c r="A208" s="46"/>
      <c r="B208" s="46"/>
      <c r="C208" s="21"/>
      <c r="D208" s="47"/>
      <c r="E208" s="21"/>
      <c r="F208" s="21"/>
      <c r="G208" s="21"/>
      <c r="H208" s="21"/>
      <c r="I208" s="21"/>
      <c r="J208" s="21"/>
      <c r="K208" s="21"/>
      <c r="L208" s="21"/>
      <c r="M208" s="91">
        <f t="shared" si="6"/>
        <v>0</v>
      </c>
      <c r="N208" s="20"/>
      <c r="O208" s="21"/>
      <c r="P208" s="20"/>
      <c r="Q208" s="4"/>
      <c r="R208" s="20"/>
      <c r="S208" s="4"/>
      <c r="T208" s="20"/>
      <c r="U208" s="4"/>
      <c r="V208" s="20"/>
      <c r="W208" s="4"/>
      <c r="X208" s="20"/>
      <c r="Y208" s="4"/>
      <c r="Z208" s="20"/>
      <c r="AA208" s="21"/>
      <c r="AB208" s="21"/>
      <c r="AC208" s="21"/>
    </row>
    <row r="209" spans="1:29" ht="15" customHeight="1" x14ac:dyDescent="0.25">
      <c r="A209" s="46"/>
      <c r="B209" s="46"/>
      <c r="C209" s="21"/>
      <c r="D209" s="47"/>
      <c r="E209" s="21"/>
      <c r="F209" s="21"/>
      <c r="G209" s="21"/>
      <c r="H209" s="21"/>
      <c r="I209" s="21"/>
      <c r="J209" s="21"/>
      <c r="K209" s="21"/>
      <c r="L209" s="21"/>
      <c r="M209" s="91">
        <f t="shared" si="6"/>
        <v>0</v>
      </c>
      <c r="N209" s="20"/>
      <c r="O209" s="21"/>
      <c r="P209" s="20"/>
      <c r="Q209" s="4"/>
      <c r="R209" s="20"/>
      <c r="S209" s="4"/>
      <c r="T209" s="20"/>
      <c r="U209" s="4"/>
      <c r="V209" s="20"/>
      <c r="W209" s="4"/>
      <c r="X209" s="20"/>
      <c r="Y209" s="4"/>
      <c r="Z209" s="20"/>
      <c r="AA209" s="21"/>
      <c r="AB209" s="21"/>
      <c r="AC209" s="21"/>
    </row>
    <row r="210" spans="1:29" ht="15" customHeight="1" x14ac:dyDescent="0.25">
      <c r="A210" s="46"/>
      <c r="B210" s="46"/>
      <c r="C210" s="21"/>
      <c r="D210" s="47"/>
      <c r="E210" s="21"/>
      <c r="F210" s="21"/>
      <c r="G210" s="21"/>
      <c r="H210" s="21"/>
      <c r="I210" s="21"/>
      <c r="J210" s="21"/>
      <c r="K210" s="21"/>
      <c r="L210" s="21"/>
      <c r="M210" s="91">
        <f t="shared" si="6"/>
        <v>0</v>
      </c>
      <c r="N210" s="20"/>
      <c r="O210" s="21"/>
      <c r="P210" s="20"/>
      <c r="Q210" s="4"/>
      <c r="R210" s="20"/>
      <c r="S210" s="4"/>
      <c r="T210" s="20"/>
      <c r="U210" s="4"/>
      <c r="V210" s="20"/>
      <c r="W210" s="4"/>
      <c r="X210" s="20"/>
      <c r="Y210" s="4"/>
      <c r="Z210" s="20"/>
      <c r="AA210" s="21"/>
      <c r="AB210" s="21"/>
      <c r="AC210" s="21"/>
    </row>
    <row r="211" spans="1:29" ht="15" customHeight="1" x14ac:dyDescent="0.25">
      <c r="A211" s="46"/>
      <c r="B211" s="46"/>
      <c r="C211" s="21"/>
      <c r="D211" s="47"/>
      <c r="E211" s="21"/>
      <c r="F211" s="21"/>
      <c r="G211" s="21"/>
      <c r="H211" s="21"/>
      <c r="I211" s="21"/>
      <c r="J211" s="21"/>
      <c r="K211" s="21"/>
      <c r="L211" s="21"/>
      <c r="M211" s="91">
        <f t="shared" si="6"/>
        <v>0</v>
      </c>
      <c r="N211" s="20"/>
      <c r="O211" s="21"/>
      <c r="P211" s="20"/>
      <c r="Q211" s="4"/>
      <c r="R211" s="20"/>
      <c r="S211" s="4"/>
      <c r="T211" s="20"/>
      <c r="U211" s="4"/>
      <c r="V211" s="20"/>
      <c r="W211" s="4"/>
      <c r="X211" s="20"/>
      <c r="Y211" s="4"/>
      <c r="Z211" s="20"/>
      <c r="AA211" s="21"/>
      <c r="AB211" s="21"/>
      <c r="AC211" s="21"/>
    </row>
    <row r="212" spans="1:29" ht="15" customHeight="1" x14ac:dyDescent="0.25">
      <c r="A212" s="46"/>
      <c r="B212" s="46"/>
      <c r="C212" s="21"/>
      <c r="D212" s="47"/>
      <c r="E212" s="21"/>
      <c r="F212" s="21"/>
      <c r="G212" s="21"/>
      <c r="H212" s="21"/>
      <c r="I212" s="21"/>
      <c r="J212" s="21"/>
      <c r="K212" s="21"/>
      <c r="L212" s="21"/>
      <c r="M212" s="91">
        <f t="shared" si="6"/>
        <v>0</v>
      </c>
      <c r="N212" s="20"/>
      <c r="O212" s="21"/>
      <c r="P212" s="20"/>
      <c r="Q212" s="4"/>
      <c r="R212" s="20"/>
      <c r="S212" s="4"/>
      <c r="T212" s="20"/>
      <c r="U212" s="4"/>
      <c r="V212" s="20"/>
      <c r="W212" s="4"/>
      <c r="X212" s="20"/>
      <c r="Y212" s="4"/>
      <c r="Z212" s="20"/>
      <c r="AA212" s="21"/>
      <c r="AB212" s="21"/>
      <c r="AC212" s="21"/>
    </row>
    <row r="213" spans="1:29" ht="15" customHeight="1" x14ac:dyDescent="0.25">
      <c r="A213" s="46"/>
      <c r="B213" s="46"/>
      <c r="C213" s="21"/>
      <c r="D213" s="47"/>
      <c r="E213" s="21"/>
      <c r="F213" s="21"/>
      <c r="G213" s="21"/>
      <c r="H213" s="21"/>
      <c r="I213" s="21"/>
      <c r="J213" s="21"/>
      <c r="K213" s="21"/>
      <c r="L213" s="21"/>
      <c r="M213" s="91">
        <f t="shared" si="6"/>
        <v>0</v>
      </c>
      <c r="N213" s="20"/>
      <c r="O213" s="21"/>
      <c r="P213" s="20"/>
      <c r="Q213" s="4"/>
      <c r="R213" s="20"/>
      <c r="S213" s="4"/>
      <c r="T213" s="20"/>
      <c r="U213" s="4"/>
      <c r="V213" s="20"/>
      <c r="W213" s="4"/>
      <c r="X213" s="20"/>
      <c r="Y213" s="4"/>
      <c r="Z213" s="20"/>
      <c r="AA213" s="21"/>
      <c r="AB213" s="21"/>
      <c r="AC213" s="21"/>
    </row>
    <row r="214" spans="1:29" ht="15" customHeight="1" x14ac:dyDescent="0.25">
      <c r="A214" s="46"/>
      <c r="B214" s="46"/>
      <c r="C214" s="21"/>
      <c r="D214" s="47"/>
      <c r="E214" s="21"/>
      <c r="F214" s="21"/>
      <c r="G214" s="21"/>
      <c r="H214" s="21"/>
      <c r="I214" s="21"/>
      <c r="J214" s="21"/>
      <c r="K214" s="21"/>
      <c r="L214" s="21"/>
      <c r="M214" s="91">
        <f t="shared" si="6"/>
        <v>0</v>
      </c>
      <c r="N214" s="20"/>
      <c r="O214" s="21"/>
      <c r="P214" s="20"/>
      <c r="Q214" s="4"/>
      <c r="R214" s="20"/>
      <c r="S214" s="4"/>
      <c r="T214" s="20"/>
      <c r="U214" s="4"/>
      <c r="V214" s="20"/>
      <c r="W214" s="4"/>
      <c r="X214" s="20"/>
      <c r="Y214" s="4"/>
      <c r="Z214" s="20"/>
      <c r="AA214" s="21"/>
      <c r="AB214" s="21"/>
      <c r="AC214" s="21"/>
    </row>
    <row r="215" spans="1:29" ht="15" customHeight="1" x14ac:dyDescent="0.25">
      <c r="A215" s="46"/>
      <c r="B215" s="46"/>
      <c r="C215" s="21"/>
      <c r="D215" s="47"/>
      <c r="E215" s="21"/>
      <c r="F215" s="21"/>
      <c r="G215" s="21"/>
      <c r="H215" s="21"/>
      <c r="I215" s="21"/>
      <c r="J215" s="21"/>
      <c r="K215" s="21"/>
      <c r="L215" s="21"/>
      <c r="M215" s="91">
        <f t="shared" si="6"/>
        <v>0</v>
      </c>
      <c r="N215" s="20"/>
      <c r="O215" s="21"/>
      <c r="P215" s="20"/>
      <c r="Q215" s="4"/>
      <c r="R215" s="20"/>
      <c r="S215" s="4"/>
      <c r="T215" s="20"/>
      <c r="U215" s="4"/>
      <c r="V215" s="20"/>
      <c r="W215" s="4"/>
      <c r="X215" s="20"/>
      <c r="Y215" s="4"/>
      <c r="Z215" s="20"/>
      <c r="AA215" s="21"/>
      <c r="AB215" s="21"/>
      <c r="AC215" s="21"/>
    </row>
    <row r="216" spans="1:29" ht="15" customHeight="1" x14ac:dyDescent="0.25">
      <c r="A216" s="46"/>
      <c r="B216" s="46"/>
      <c r="C216" s="21"/>
      <c r="D216" s="47"/>
      <c r="E216" s="21"/>
      <c r="F216" s="21"/>
      <c r="G216" s="21"/>
      <c r="H216" s="21"/>
      <c r="I216" s="21"/>
      <c r="J216" s="21"/>
      <c r="K216" s="21"/>
      <c r="L216" s="21"/>
      <c r="M216" s="91">
        <f t="shared" si="6"/>
        <v>0</v>
      </c>
      <c r="N216" s="20"/>
      <c r="O216" s="21"/>
      <c r="P216" s="20"/>
      <c r="Q216" s="4"/>
      <c r="R216" s="20"/>
      <c r="S216" s="4"/>
      <c r="T216" s="20"/>
      <c r="U216" s="4"/>
      <c r="V216" s="20"/>
      <c r="W216" s="4"/>
      <c r="X216" s="20"/>
      <c r="Y216" s="4"/>
      <c r="Z216" s="20"/>
      <c r="AA216" s="21"/>
      <c r="AB216" s="21"/>
      <c r="AC216" s="21"/>
    </row>
    <row r="217" spans="1:29" ht="15" customHeight="1" x14ac:dyDescent="0.25">
      <c r="A217" s="46"/>
      <c r="B217" s="46"/>
      <c r="C217" s="21"/>
      <c r="D217" s="47"/>
      <c r="E217" s="21"/>
      <c r="F217" s="21"/>
      <c r="G217" s="21"/>
      <c r="H217" s="21"/>
      <c r="I217" s="21"/>
      <c r="J217" s="21"/>
      <c r="K217" s="21"/>
      <c r="L217" s="21"/>
      <c r="M217" s="91">
        <f t="shared" si="6"/>
        <v>0</v>
      </c>
      <c r="N217" s="20"/>
      <c r="O217" s="21"/>
      <c r="P217" s="20"/>
      <c r="Q217" s="4"/>
      <c r="R217" s="20"/>
      <c r="S217" s="4"/>
      <c r="T217" s="20"/>
      <c r="U217" s="4"/>
      <c r="V217" s="20"/>
      <c r="W217" s="4"/>
      <c r="X217" s="20"/>
      <c r="Y217" s="4"/>
      <c r="Z217" s="20"/>
      <c r="AA217" s="21"/>
      <c r="AB217" s="21"/>
      <c r="AC217" s="21"/>
    </row>
    <row r="218" spans="1:29" ht="15" customHeight="1" x14ac:dyDescent="0.25">
      <c r="A218" s="46"/>
      <c r="B218" s="46"/>
      <c r="C218" s="21"/>
      <c r="D218" s="47"/>
      <c r="E218" s="21"/>
      <c r="F218" s="21"/>
      <c r="G218" s="21"/>
      <c r="H218" s="21"/>
      <c r="I218" s="21"/>
      <c r="J218" s="21"/>
      <c r="K218" s="21"/>
      <c r="L218" s="21"/>
      <c r="M218" s="91">
        <f t="shared" si="6"/>
        <v>0</v>
      </c>
      <c r="N218" s="20"/>
      <c r="O218" s="21"/>
      <c r="P218" s="20"/>
      <c r="Q218" s="4"/>
      <c r="R218" s="20"/>
      <c r="S218" s="4"/>
      <c r="T218" s="20"/>
      <c r="U218" s="4"/>
      <c r="V218" s="20"/>
      <c r="W218" s="4"/>
      <c r="X218" s="20"/>
      <c r="Y218" s="4"/>
      <c r="Z218" s="20"/>
      <c r="AA218" s="21"/>
      <c r="AB218" s="21"/>
      <c r="AC218" s="21"/>
    </row>
    <row r="219" spans="1:29" ht="15" customHeight="1" x14ac:dyDescent="0.25">
      <c r="A219" s="46"/>
      <c r="B219" s="46"/>
      <c r="C219" s="21"/>
      <c r="D219" s="47"/>
      <c r="E219" s="21"/>
      <c r="F219" s="21"/>
      <c r="G219" s="21"/>
      <c r="H219" s="21"/>
      <c r="I219" s="21"/>
      <c r="J219" s="21"/>
      <c r="K219" s="21"/>
      <c r="L219" s="21"/>
      <c r="M219" s="91">
        <f t="shared" si="6"/>
        <v>0</v>
      </c>
      <c r="N219" s="20"/>
      <c r="O219" s="21"/>
      <c r="P219" s="20"/>
      <c r="Q219" s="4"/>
      <c r="R219" s="20"/>
      <c r="S219" s="4"/>
      <c r="T219" s="20"/>
      <c r="U219" s="4"/>
      <c r="V219" s="20"/>
      <c r="W219" s="4"/>
      <c r="X219" s="20"/>
      <c r="Y219" s="4"/>
      <c r="Z219" s="20"/>
      <c r="AA219" s="21"/>
      <c r="AB219" s="21"/>
      <c r="AC219" s="21"/>
    </row>
    <row r="220" spans="1:29" ht="15" customHeight="1" x14ac:dyDescent="0.25">
      <c r="A220" s="46"/>
      <c r="B220" s="46"/>
      <c r="C220" s="21"/>
      <c r="D220" s="47"/>
      <c r="E220" s="21"/>
      <c r="F220" s="21"/>
      <c r="G220" s="21"/>
      <c r="H220" s="21"/>
      <c r="I220" s="21"/>
      <c r="J220" s="21"/>
      <c r="K220" s="21"/>
      <c r="L220" s="21"/>
      <c r="M220" s="91">
        <f t="shared" si="6"/>
        <v>0</v>
      </c>
      <c r="N220" s="20"/>
      <c r="O220" s="21"/>
      <c r="P220" s="20"/>
      <c r="Q220" s="4"/>
      <c r="R220" s="20"/>
      <c r="S220" s="4"/>
      <c r="T220" s="20"/>
      <c r="U220" s="4"/>
      <c r="V220" s="20"/>
      <c r="W220" s="4"/>
      <c r="X220" s="20"/>
      <c r="Y220" s="4"/>
      <c r="Z220" s="20"/>
      <c r="AA220" s="21"/>
      <c r="AB220" s="21"/>
      <c r="AC220" s="21"/>
    </row>
    <row r="221" spans="1:29" ht="15" customHeight="1" x14ac:dyDescent="0.25">
      <c r="A221" s="46"/>
      <c r="B221" s="46"/>
      <c r="C221" s="21"/>
      <c r="D221" s="47"/>
      <c r="E221" s="21"/>
      <c r="F221" s="21"/>
      <c r="G221" s="21"/>
      <c r="H221" s="21"/>
      <c r="I221" s="21"/>
      <c r="J221" s="21"/>
      <c r="K221" s="21"/>
      <c r="L221" s="21"/>
      <c r="M221" s="91">
        <f t="shared" si="6"/>
        <v>0</v>
      </c>
      <c r="N221" s="20"/>
      <c r="O221" s="21"/>
      <c r="P221" s="20"/>
      <c r="Q221" s="4"/>
      <c r="R221" s="20"/>
      <c r="S221" s="4"/>
      <c r="T221" s="20"/>
      <c r="U221" s="4"/>
      <c r="V221" s="20"/>
      <c r="W221" s="4"/>
      <c r="X221" s="20"/>
      <c r="Y221" s="4"/>
      <c r="Z221" s="20"/>
      <c r="AA221" s="21"/>
      <c r="AB221" s="21"/>
      <c r="AC221" s="21"/>
    </row>
    <row r="222" spans="1:29" ht="15" customHeight="1" x14ac:dyDescent="0.25">
      <c r="A222" s="46"/>
      <c r="B222" s="46"/>
      <c r="C222" s="21"/>
      <c r="D222" s="47"/>
      <c r="E222" s="21"/>
      <c r="F222" s="21"/>
      <c r="G222" s="21"/>
      <c r="H222" s="21"/>
      <c r="I222" s="21"/>
      <c r="J222" s="21"/>
      <c r="K222" s="21"/>
      <c r="L222" s="21"/>
      <c r="M222" s="91">
        <f t="shared" si="6"/>
        <v>0</v>
      </c>
      <c r="N222" s="20"/>
      <c r="O222" s="21"/>
      <c r="P222" s="20"/>
      <c r="Q222" s="4"/>
      <c r="R222" s="20"/>
      <c r="S222" s="4"/>
      <c r="T222" s="20"/>
      <c r="U222" s="4"/>
      <c r="V222" s="20"/>
      <c r="W222" s="4"/>
      <c r="X222" s="20"/>
      <c r="Y222" s="4"/>
      <c r="Z222" s="20"/>
      <c r="AA222" s="21"/>
      <c r="AB222" s="21"/>
      <c r="AC222" s="21"/>
    </row>
    <row r="223" spans="1:29" ht="15" customHeight="1" x14ac:dyDescent="0.25">
      <c r="A223" s="46"/>
      <c r="B223" s="46"/>
      <c r="C223" s="21"/>
      <c r="D223" s="47"/>
      <c r="E223" s="21"/>
      <c r="F223" s="21"/>
      <c r="G223" s="21"/>
      <c r="H223" s="21"/>
      <c r="I223" s="21"/>
      <c r="J223" s="21"/>
      <c r="K223" s="21"/>
      <c r="L223" s="21"/>
      <c r="M223" s="91">
        <f t="shared" si="6"/>
        <v>0</v>
      </c>
      <c r="N223" s="20"/>
      <c r="O223" s="21"/>
      <c r="P223" s="20"/>
      <c r="Q223" s="4"/>
      <c r="R223" s="20"/>
      <c r="S223" s="4"/>
      <c r="T223" s="20"/>
      <c r="U223" s="4"/>
      <c r="V223" s="20"/>
      <c r="W223" s="4"/>
      <c r="X223" s="20"/>
      <c r="Y223" s="4"/>
      <c r="Z223" s="20"/>
      <c r="AA223" s="21"/>
      <c r="AB223" s="21"/>
      <c r="AC223" s="21"/>
    </row>
    <row r="224" spans="1:29" ht="15" customHeight="1" x14ac:dyDescent="0.25">
      <c r="A224" s="46"/>
      <c r="B224" s="46"/>
      <c r="C224" s="21"/>
      <c r="D224" s="47"/>
      <c r="E224" s="21"/>
      <c r="F224" s="21"/>
      <c r="G224" s="21"/>
      <c r="H224" s="21"/>
      <c r="I224" s="21"/>
      <c r="J224" s="21"/>
      <c r="K224" s="21"/>
      <c r="L224" s="21"/>
      <c r="M224" s="91">
        <f t="shared" si="6"/>
        <v>0</v>
      </c>
      <c r="N224" s="20"/>
      <c r="O224" s="21"/>
      <c r="P224" s="20"/>
      <c r="Q224" s="4"/>
      <c r="R224" s="20"/>
      <c r="S224" s="4"/>
      <c r="T224" s="20"/>
      <c r="U224" s="4"/>
      <c r="V224" s="20"/>
      <c r="W224" s="4"/>
      <c r="X224" s="20"/>
      <c r="Y224" s="4"/>
      <c r="Z224" s="20"/>
      <c r="AA224" s="21"/>
      <c r="AB224" s="21"/>
      <c r="AC224" s="21"/>
    </row>
    <row r="225" spans="1:29" ht="15" customHeight="1" x14ac:dyDescent="0.25">
      <c r="A225" s="46"/>
      <c r="B225" s="46"/>
      <c r="C225" s="21"/>
      <c r="D225" s="47"/>
      <c r="E225" s="21"/>
      <c r="F225" s="21"/>
      <c r="G225" s="21"/>
      <c r="H225" s="21"/>
      <c r="I225" s="21"/>
      <c r="J225" s="21"/>
      <c r="K225" s="21"/>
      <c r="L225" s="21"/>
      <c r="M225" s="91">
        <f t="shared" si="6"/>
        <v>0</v>
      </c>
      <c r="N225" s="20"/>
      <c r="O225" s="21"/>
      <c r="P225" s="20"/>
      <c r="Q225" s="4"/>
      <c r="R225" s="20"/>
      <c r="S225" s="4"/>
      <c r="T225" s="20"/>
      <c r="U225" s="4"/>
      <c r="V225" s="20"/>
      <c r="W225" s="4"/>
      <c r="X225" s="20"/>
      <c r="Y225" s="4"/>
      <c r="Z225" s="20"/>
      <c r="AA225" s="21"/>
      <c r="AB225" s="21"/>
      <c r="AC225" s="21"/>
    </row>
    <row r="226" spans="1:29" ht="15" customHeight="1" x14ac:dyDescent="0.25">
      <c r="A226" s="46"/>
      <c r="B226" s="46"/>
      <c r="C226" s="21"/>
      <c r="D226" s="47"/>
      <c r="E226" s="21"/>
      <c r="F226" s="21"/>
      <c r="G226" s="21"/>
      <c r="H226" s="21"/>
      <c r="I226" s="21"/>
      <c r="J226" s="21"/>
      <c r="K226" s="21"/>
      <c r="L226" s="21"/>
      <c r="M226" s="91">
        <f t="shared" si="6"/>
        <v>0</v>
      </c>
      <c r="N226" s="20"/>
      <c r="O226" s="21"/>
      <c r="P226" s="20"/>
      <c r="Q226" s="4"/>
      <c r="R226" s="20"/>
      <c r="S226" s="4"/>
      <c r="T226" s="20"/>
      <c r="U226" s="4"/>
      <c r="V226" s="20"/>
      <c r="W226" s="4"/>
      <c r="X226" s="20"/>
      <c r="Y226" s="4"/>
      <c r="Z226" s="20"/>
      <c r="AA226" s="21"/>
      <c r="AB226" s="21"/>
      <c r="AC226" s="21"/>
    </row>
    <row r="227" spans="1:29" ht="15" customHeight="1" x14ac:dyDescent="0.25">
      <c r="A227" s="46"/>
      <c r="B227" s="46"/>
      <c r="C227" s="21"/>
      <c r="D227" s="47"/>
      <c r="E227" s="21"/>
      <c r="F227" s="21"/>
      <c r="G227" s="21"/>
      <c r="H227" s="21"/>
      <c r="I227" s="21"/>
      <c r="J227" s="21"/>
      <c r="K227" s="21"/>
      <c r="L227" s="21"/>
      <c r="M227" s="91">
        <f t="shared" si="6"/>
        <v>0</v>
      </c>
      <c r="N227" s="20"/>
      <c r="O227" s="21"/>
      <c r="P227" s="20"/>
      <c r="Q227" s="4"/>
      <c r="R227" s="20"/>
      <c r="S227" s="4"/>
      <c r="T227" s="20"/>
      <c r="U227" s="4"/>
      <c r="V227" s="20"/>
      <c r="W227" s="4"/>
      <c r="X227" s="20"/>
      <c r="Y227" s="4"/>
      <c r="Z227" s="20"/>
      <c r="AA227" s="21"/>
      <c r="AB227" s="21"/>
      <c r="AC227" s="21"/>
    </row>
    <row r="228" spans="1:29" ht="15" customHeight="1" x14ac:dyDescent="0.25">
      <c r="A228" s="46"/>
      <c r="B228" s="46"/>
      <c r="C228" s="21"/>
      <c r="D228" s="47"/>
      <c r="E228" s="21"/>
      <c r="F228" s="21"/>
      <c r="G228" s="21"/>
      <c r="H228" s="21"/>
      <c r="I228" s="21"/>
      <c r="J228" s="21"/>
      <c r="K228" s="21"/>
      <c r="L228" s="21"/>
      <c r="M228" s="91">
        <f t="shared" si="6"/>
        <v>0</v>
      </c>
      <c r="N228" s="20"/>
      <c r="O228" s="21"/>
      <c r="P228" s="20"/>
      <c r="Q228" s="4"/>
      <c r="R228" s="20"/>
      <c r="S228" s="4"/>
      <c r="T228" s="20"/>
      <c r="U228" s="4"/>
      <c r="V228" s="20"/>
      <c r="W228" s="4"/>
      <c r="X228" s="20"/>
      <c r="Y228" s="4"/>
      <c r="Z228" s="20"/>
      <c r="AA228" s="21"/>
      <c r="AB228" s="21"/>
      <c r="AC228" s="21"/>
    </row>
    <row r="229" spans="1:29" ht="15" customHeight="1" x14ac:dyDescent="0.25">
      <c r="A229" s="46"/>
      <c r="B229" s="46"/>
      <c r="C229" s="21"/>
      <c r="D229" s="47"/>
      <c r="E229" s="21"/>
      <c r="F229" s="21"/>
      <c r="G229" s="21"/>
      <c r="H229" s="21"/>
      <c r="I229" s="21"/>
      <c r="J229" s="21"/>
      <c r="K229" s="21"/>
      <c r="L229" s="21"/>
      <c r="M229" s="91">
        <f t="shared" si="6"/>
        <v>0</v>
      </c>
      <c r="N229" s="20"/>
      <c r="O229" s="21"/>
      <c r="P229" s="20"/>
      <c r="Q229" s="4"/>
      <c r="R229" s="20"/>
      <c r="S229" s="4"/>
      <c r="T229" s="20"/>
      <c r="U229" s="4"/>
      <c r="V229" s="20"/>
      <c r="W229" s="4"/>
      <c r="X229" s="20"/>
      <c r="Y229" s="4"/>
      <c r="Z229" s="20"/>
      <c r="AA229" s="21"/>
      <c r="AB229" s="21"/>
      <c r="AC229" s="21"/>
    </row>
    <row r="230" spans="1:29" ht="15" customHeight="1" x14ac:dyDescent="0.25">
      <c r="A230" s="46"/>
      <c r="B230" s="46"/>
      <c r="C230" s="21"/>
      <c r="D230" s="47"/>
      <c r="E230" s="21"/>
      <c r="F230" s="21"/>
      <c r="G230" s="21"/>
      <c r="H230" s="21"/>
      <c r="I230" s="21"/>
      <c r="J230" s="21"/>
      <c r="K230" s="21"/>
      <c r="L230" s="21"/>
      <c r="M230" s="91">
        <f t="shared" si="6"/>
        <v>0</v>
      </c>
      <c r="N230" s="20"/>
      <c r="O230" s="21"/>
      <c r="P230" s="20"/>
      <c r="Q230" s="4"/>
      <c r="R230" s="20"/>
      <c r="S230" s="4"/>
      <c r="T230" s="20"/>
      <c r="U230" s="4"/>
      <c r="V230" s="20"/>
      <c r="W230" s="4"/>
      <c r="X230" s="20"/>
      <c r="Y230" s="4"/>
      <c r="Z230" s="20"/>
      <c r="AA230" s="21"/>
      <c r="AB230" s="21"/>
      <c r="AC230" s="21"/>
    </row>
    <row r="231" spans="1:29" ht="15" customHeight="1" x14ac:dyDescent="0.25">
      <c r="A231" s="46"/>
      <c r="B231" s="46"/>
      <c r="C231" s="21"/>
      <c r="D231" s="47"/>
      <c r="E231" s="21"/>
      <c r="F231" s="21"/>
      <c r="G231" s="21"/>
      <c r="H231" s="21"/>
      <c r="I231" s="21"/>
      <c r="J231" s="21"/>
      <c r="K231" s="21"/>
      <c r="L231" s="21"/>
      <c r="M231" s="91">
        <f t="shared" si="6"/>
        <v>0</v>
      </c>
      <c r="N231" s="20"/>
      <c r="O231" s="21"/>
      <c r="P231" s="20"/>
      <c r="Q231" s="4"/>
      <c r="R231" s="20"/>
      <c r="S231" s="4"/>
      <c r="T231" s="20"/>
      <c r="U231" s="4"/>
      <c r="V231" s="20"/>
      <c r="W231" s="4"/>
      <c r="X231" s="20"/>
      <c r="Y231" s="4"/>
      <c r="Z231" s="20"/>
      <c r="AA231" s="21"/>
      <c r="AB231" s="21"/>
      <c r="AC231" s="21"/>
    </row>
    <row r="232" spans="1:29" ht="15" customHeight="1" x14ac:dyDescent="0.25">
      <c r="A232" s="46"/>
      <c r="B232" s="46"/>
      <c r="C232" s="21"/>
      <c r="D232" s="47"/>
      <c r="E232" s="21"/>
      <c r="F232" s="21"/>
      <c r="G232" s="21"/>
      <c r="H232" s="21"/>
      <c r="I232" s="21"/>
      <c r="J232" s="21"/>
      <c r="K232" s="21"/>
      <c r="L232" s="21"/>
      <c r="M232" s="91">
        <f t="shared" si="6"/>
        <v>0</v>
      </c>
      <c r="N232" s="20"/>
      <c r="O232" s="21"/>
      <c r="P232" s="20"/>
      <c r="Q232" s="4"/>
      <c r="R232" s="20"/>
      <c r="S232" s="4"/>
      <c r="T232" s="20"/>
      <c r="U232" s="4"/>
      <c r="V232" s="20"/>
      <c r="W232" s="4"/>
      <c r="X232" s="20"/>
      <c r="Y232" s="4"/>
      <c r="Z232" s="20"/>
      <c r="AA232" s="21"/>
      <c r="AB232" s="21"/>
      <c r="AC232" s="21"/>
    </row>
    <row r="233" spans="1:29" ht="15" customHeight="1" x14ac:dyDescent="0.25">
      <c r="A233" s="46"/>
      <c r="B233" s="46"/>
      <c r="C233" s="21"/>
      <c r="D233" s="47"/>
      <c r="E233" s="21"/>
      <c r="F233" s="21"/>
      <c r="G233" s="21"/>
      <c r="H233" s="21"/>
      <c r="I233" s="21"/>
      <c r="J233" s="21"/>
      <c r="K233" s="21"/>
      <c r="L233" s="21"/>
      <c r="M233" s="91">
        <f t="shared" si="6"/>
        <v>0</v>
      </c>
      <c r="N233" s="20"/>
      <c r="O233" s="21"/>
      <c r="P233" s="20"/>
      <c r="Q233" s="4"/>
      <c r="R233" s="20"/>
      <c r="S233" s="4"/>
      <c r="T233" s="20"/>
      <c r="U233" s="4"/>
      <c r="V233" s="20"/>
      <c r="W233" s="4"/>
      <c r="X233" s="20"/>
      <c r="Y233" s="4"/>
      <c r="Z233" s="20"/>
      <c r="AA233" s="21"/>
      <c r="AB233" s="21"/>
      <c r="AC233" s="21"/>
    </row>
    <row r="234" spans="1:29" ht="15" customHeight="1" x14ac:dyDescent="0.25">
      <c r="A234" s="46"/>
      <c r="B234" s="46"/>
      <c r="C234" s="21"/>
      <c r="D234" s="47"/>
      <c r="E234" s="21"/>
      <c r="F234" s="21"/>
      <c r="G234" s="21"/>
      <c r="H234" s="21"/>
      <c r="I234" s="21"/>
      <c r="J234" s="21"/>
      <c r="K234" s="21"/>
      <c r="L234" s="21"/>
      <c r="M234" s="91">
        <f t="shared" si="6"/>
        <v>0</v>
      </c>
      <c r="N234" s="20"/>
      <c r="O234" s="21"/>
      <c r="P234" s="20"/>
      <c r="Q234" s="4"/>
      <c r="R234" s="20"/>
      <c r="S234" s="4"/>
      <c r="T234" s="20"/>
      <c r="U234" s="4"/>
      <c r="V234" s="20"/>
      <c r="W234" s="4"/>
      <c r="X234" s="20"/>
      <c r="Y234" s="4"/>
      <c r="Z234" s="20"/>
      <c r="AA234" s="21"/>
      <c r="AB234" s="21"/>
      <c r="AC234" s="21"/>
    </row>
    <row r="235" spans="1:29" ht="15" customHeight="1" x14ac:dyDescent="0.25">
      <c r="A235" s="46"/>
      <c r="B235" s="46"/>
      <c r="C235" s="21"/>
      <c r="D235" s="47"/>
      <c r="E235" s="21"/>
      <c r="F235" s="21"/>
      <c r="G235" s="21"/>
      <c r="H235" s="21"/>
      <c r="I235" s="21"/>
      <c r="J235" s="21"/>
      <c r="K235" s="21"/>
      <c r="L235" s="21"/>
      <c r="M235" s="91">
        <f t="shared" si="6"/>
        <v>0</v>
      </c>
      <c r="N235" s="20"/>
      <c r="O235" s="21"/>
      <c r="P235" s="20"/>
      <c r="Q235" s="4"/>
      <c r="R235" s="20"/>
      <c r="S235" s="4"/>
      <c r="T235" s="20"/>
      <c r="U235" s="4"/>
      <c r="V235" s="20"/>
      <c r="W235" s="4"/>
      <c r="X235" s="20"/>
      <c r="Y235" s="4"/>
      <c r="Z235" s="20"/>
      <c r="AA235" s="21"/>
      <c r="AB235" s="21"/>
      <c r="AC235" s="21"/>
    </row>
    <row r="236" spans="1:29" ht="15" customHeight="1" x14ac:dyDescent="0.25">
      <c r="A236" s="46"/>
      <c r="B236" s="46"/>
      <c r="C236" s="21"/>
      <c r="D236" s="47"/>
      <c r="E236" s="21"/>
      <c r="F236" s="21"/>
      <c r="G236" s="21"/>
      <c r="H236" s="21"/>
      <c r="I236" s="21"/>
      <c r="J236" s="21"/>
      <c r="K236" s="21"/>
      <c r="L236" s="21"/>
      <c r="M236" s="91">
        <f t="shared" si="6"/>
        <v>0</v>
      </c>
      <c r="N236" s="20"/>
      <c r="O236" s="21"/>
      <c r="P236" s="20"/>
      <c r="Q236" s="4"/>
      <c r="R236" s="20"/>
      <c r="S236" s="4"/>
      <c r="T236" s="20"/>
      <c r="U236" s="4"/>
      <c r="V236" s="20"/>
      <c r="W236" s="4"/>
      <c r="X236" s="20"/>
      <c r="Y236" s="4"/>
      <c r="Z236" s="20"/>
      <c r="AA236" s="21"/>
      <c r="AB236" s="21"/>
      <c r="AC236" s="21"/>
    </row>
    <row r="237" spans="1:29" ht="15" customHeight="1" x14ac:dyDescent="0.25">
      <c r="A237" s="46"/>
      <c r="B237" s="46"/>
      <c r="C237" s="21"/>
      <c r="D237" s="47"/>
      <c r="E237" s="21"/>
      <c r="F237" s="21"/>
      <c r="G237" s="21"/>
      <c r="H237" s="21"/>
      <c r="I237" s="21"/>
      <c r="J237" s="21"/>
      <c r="K237" s="21"/>
      <c r="L237" s="21"/>
      <c r="M237" s="91">
        <f t="shared" si="6"/>
        <v>0</v>
      </c>
      <c r="N237" s="20"/>
      <c r="O237" s="21"/>
      <c r="P237" s="20"/>
      <c r="Q237" s="4"/>
      <c r="R237" s="20"/>
      <c r="S237" s="4"/>
      <c r="T237" s="20"/>
      <c r="U237" s="4"/>
      <c r="V237" s="20"/>
      <c r="W237" s="4"/>
      <c r="X237" s="20"/>
      <c r="Y237" s="4"/>
      <c r="Z237" s="20"/>
      <c r="AA237" s="21"/>
      <c r="AB237" s="21"/>
      <c r="AC237" s="21"/>
    </row>
    <row r="238" spans="1:29" ht="15" customHeight="1" x14ac:dyDescent="0.25">
      <c r="A238" s="46"/>
      <c r="B238" s="46"/>
      <c r="C238" s="21"/>
      <c r="D238" s="47"/>
      <c r="E238" s="21"/>
      <c r="F238" s="21"/>
      <c r="G238" s="21"/>
      <c r="H238" s="21"/>
      <c r="I238" s="21"/>
      <c r="J238" s="21"/>
      <c r="K238" s="21"/>
      <c r="L238" s="21"/>
      <c r="M238" s="91">
        <f t="shared" si="6"/>
        <v>0</v>
      </c>
      <c r="N238" s="20"/>
      <c r="O238" s="21"/>
      <c r="P238" s="20"/>
      <c r="Q238" s="4"/>
      <c r="R238" s="20"/>
      <c r="S238" s="4"/>
      <c r="T238" s="20"/>
      <c r="U238" s="4"/>
      <c r="V238" s="20"/>
      <c r="W238" s="4"/>
      <c r="X238" s="20"/>
      <c r="Y238" s="4"/>
      <c r="Z238" s="20"/>
      <c r="AA238" s="21"/>
      <c r="AB238" s="21"/>
      <c r="AC238" s="21"/>
    </row>
    <row r="239" spans="1:29" ht="15" customHeight="1" x14ac:dyDescent="0.25">
      <c r="A239" s="46"/>
      <c r="B239" s="46"/>
      <c r="C239" s="21"/>
      <c r="D239" s="47"/>
      <c r="E239" s="21"/>
      <c r="F239" s="21"/>
      <c r="G239" s="21"/>
      <c r="H239" s="21"/>
      <c r="I239" s="21"/>
      <c r="J239" s="21"/>
      <c r="K239" s="21"/>
      <c r="L239" s="21"/>
      <c r="M239" s="91">
        <f t="shared" si="6"/>
        <v>0</v>
      </c>
      <c r="N239" s="20"/>
      <c r="O239" s="21"/>
      <c r="P239" s="20"/>
      <c r="Q239" s="4"/>
      <c r="R239" s="20"/>
      <c r="S239" s="4"/>
      <c r="T239" s="20"/>
      <c r="U239" s="4"/>
      <c r="V239" s="20"/>
      <c r="W239" s="4"/>
      <c r="X239" s="20"/>
      <c r="Y239" s="4"/>
      <c r="Z239" s="20"/>
      <c r="AA239" s="21"/>
      <c r="AB239" s="21"/>
      <c r="AC239" s="21"/>
    </row>
    <row r="240" spans="1:29" ht="15" customHeight="1" x14ac:dyDescent="0.25">
      <c r="A240" s="46"/>
      <c r="B240" s="46"/>
      <c r="C240" s="21"/>
      <c r="D240" s="47"/>
      <c r="E240" s="21"/>
      <c r="F240" s="21"/>
      <c r="G240" s="21"/>
      <c r="H240" s="21"/>
      <c r="I240" s="21"/>
      <c r="J240" s="21"/>
      <c r="K240" s="21"/>
      <c r="L240" s="21"/>
      <c r="M240" s="91">
        <f t="shared" si="6"/>
        <v>0</v>
      </c>
      <c r="N240" s="20"/>
      <c r="O240" s="21"/>
      <c r="P240" s="20"/>
      <c r="Q240" s="4"/>
      <c r="R240" s="20"/>
      <c r="S240" s="4"/>
      <c r="T240" s="20"/>
      <c r="U240" s="4"/>
      <c r="V240" s="20"/>
      <c r="W240" s="4"/>
      <c r="X240" s="20"/>
      <c r="Y240" s="4"/>
      <c r="Z240" s="20"/>
      <c r="AA240" s="21"/>
      <c r="AB240" s="21"/>
      <c r="AC240" s="21"/>
    </row>
    <row r="241" spans="1:29" ht="15" customHeight="1" x14ac:dyDescent="0.25">
      <c r="A241" s="46"/>
      <c r="B241" s="46"/>
      <c r="C241" s="21"/>
      <c r="D241" s="47"/>
      <c r="E241" s="21"/>
      <c r="F241" s="21"/>
      <c r="G241" s="21"/>
      <c r="H241" s="21"/>
      <c r="I241" s="21"/>
      <c r="J241" s="21"/>
      <c r="K241" s="21"/>
      <c r="L241" s="21"/>
      <c r="M241" s="91">
        <f t="shared" si="6"/>
        <v>0</v>
      </c>
      <c r="N241" s="20"/>
      <c r="O241" s="21"/>
      <c r="P241" s="20"/>
      <c r="Q241" s="4"/>
      <c r="R241" s="20"/>
      <c r="S241" s="4"/>
      <c r="T241" s="20"/>
      <c r="U241" s="4"/>
      <c r="V241" s="20"/>
      <c r="W241" s="4"/>
      <c r="X241" s="20"/>
      <c r="Y241" s="4"/>
      <c r="Z241" s="20"/>
      <c r="AA241" s="21"/>
      <c r="AB241" s="21"/>
      <c r="AC241" s="21"/>
    </row>
    <row r="242" spans="1:29" ht="15" customHeight="1" x14ac:dyDescent="0.25">
      <c r="A242" s="46"/>
      <c r="B242" s="46"/>
      <c r="C242" s="21"/>
      <c r="D242" s="47"/>
      <c r="E242" s="21"/>
      <c r="F242" s="21"/>
      <c r="G242" s="21"/>
      <c r="H242" s="21"/>
      <c r="I242" s="21"/>
      <c r="J242" s="21"/>
      <c r="K242" s="21"/>
      <c r="L242" s="21"/>
      <c r="M242" s="91">
        <f t="shared" si="6"/>
        <v>0</v>
      </c>
      <c r="N242" s="20"/>
      <c r="O242" s="21"/>
      <c r="P242" s="20"/>
      <c r="Q242" s="4"/>
      <c r="R242" s="20"/>
      <c r="S242" s="4"/>
      <c r="T242" s="20"/>
      <c r="U242" s="4"/>
      <c r="V242" s="20"/>
      <c r="W242" s="4"/>
      <c r="X242" s="20"/>
      <c r="Y242" s="4"/>
      <c r="Z242" s="20"/>
      <c r="AA242" s="21"/>
      <c r="AB242" s="21"/>
      <c r="AC242" s="21"/>
    </row>
    <row r="243" spans="1:29" ht="15" customHeight="1" x14ac:dyDescent="0.25">
      <c r="A243" s="46"/>
      <c r="B243" s="46"/>
      <c r="C243" s="21"/>
      <c r="D243" s="47"/>
      <c r="E243" s="21"/>
      <c r="F243" s="21"/>
      <c r="G243" s="21"/>
      <c r="H243" s="21"/>
      <c r="I243" s="21"/>
      <c r="J243" s="21"/>
      <c r="K243" s="21"/>
      <c r="L243" s="21"/>
      <c r="M243" s="91">
        <f t="shared" si="6"/>
        <v>0</v>
      </c>
      <c r="N243" s="20"/>
      <c r="O243" s="21"/>
      <c r="P243" s="20"/>
      <c r="Q243" s="4"/>
      <c r="R243" s="20"/>
      <c r="S243" s="4"/>
      <c r="T243" s="20"/>
      <c r="U243" s="4"/>
      <c r="V243" s="20"/>
      <c r="W243" s="4"/>
      <c r="X243" s="20"/>
      <c r="Y243" s="4"/>
      <c r="Z243" s="20"/>
      <c r="AA243" s="21"/>
      <c r="AB243" s="21"/>
      <c r="AC243" s="21"/>
    </row>
    <row r="244" spans="1:29" ht="15" customHeight="1" x14ac:dyDescent="0.25">
      <c r="A244" s="46"/>
      <c r="B244" s="46"/>
      <c r="C244" s="21"/>
      <c r="D244" s="47"/>
      <c r="E244" s="21"/>
      <c r="F244" s="21"/>
      <c r="G244" s="21"/>
      <c r="H244" s="21"/>
      <c r="I244" s="21"/>
      <c r="J244" s="21"/>
      <c r="K244" s="21"/>
      <c r="L244" s="21"/>
      <c r="M244" s="91">
        <f t="shared" si="6"/>
        <v>0</v>
      </c>
      <c r="N244" s="20"/>
      <c r="O244" s="21"/>
      <c r="P244" s="20"/>
      <c r="Q244" s="4"/>
      <c r="R244" s="20"/>
      <c r="S244" s="4"/>
      <c r="T244" s="20"/>
      <c r="U244" s="4"/>
      <c r="V244" s="20"/>
      <c r="W244" s="4"/>
      <c r="X244" s="20"/>
      <c r="Y244" s="4"/>
      <c r="Z244" s="20"/>
      <c r="AA244" s="21"/>
      <c r="AB244" s="21"/>
      <c r="AC244" s="21"/>
    </row>
    <row r="245" spans="1:29" ht="15" customHeight="1" x14ac:dyDescent="0.25">
      <c r="A245" s="46"/>
      <c r="B245" s="46"/>
      <c r="C245" s="21"/>
      <c r="D245" s="47"/>
      <c r="E245" s="21"/>
      <c r="F245" s="21"/>
      <c r="G245" s="21"/>
      <c r="H245" s="21"/>
      <c r="I245" s="21"/>
      <c r="J245" s="21"/>
      <c r="K245" s="21"/>
      <c r="L245" s="21"/>
      <c r="M245" s="91">
        <f t="shared" si="6"/>
        <v>0</v>
      </c>
      <c r="N245" s="20"/>
      <c r="O245" s="21"/>
      <c r="P245" s="20"/>
      <c r="Q245" s="4"/>
      <c r="R245" s="20"/>
      <c r="S245" s="4"/>
      <c r="T245" s="20"/>
      <c r="U245" s="4"/>
      <c r="V245" s="20"/>
      <c r="W245" s="4"/>
      <c r="X245" s="20"/>
      <c r="Y245" s="4"/>
      <c r="Z245" s="20"/>
      <c r="AA245" s="21"/>
      <c r="AB245" s="21"/>
      <c r="AC245" s="21"/>
    </row>
    <row r="246" spans="1:29" ht="15" customHeight="1" x14ac:dyDescent="0.25">
      <c r="A246" s="46"/>
      <c r="B246" s="46"/>
      <c r="C246" s="21"/>
      <c r="D246" s="47"/>
      <c r="E246" s="21"/>
      <c r="F246" s="21"/>
      <c r="G246" s="21"/>
      <c r="H246" s="21"/>
      <c r="I246" s="21"/>
      <c r="J246" s="21"/>
      <c r="K246" s="21"/>
      <c r="L246" s="21"/>
      <c r="M246" s="91">
        <f t="shared" si="6"/>
        <v>0</v>
      </c>
      <c r="N246" s="20"/>
      <c r="O246" s="21"/>
      <c r="P246" s="20"/>
      <c r="Q246" s="4"/>
      <c r="R246" s="20"/>
      <c r="S246" s="4"/>
      <c r="T246" s="20"/>
      <c r="U246" s="4"/>
      <c r="V246" s="20"/>
      <c r="W246" s="4"/>
      <c r="X246" s="20"/>
      <c r="Y246" s="4"/>
      <c r="Z246" s="20"/>
      <c r="AA246" s="21"/>
      <c r="AB246" s="21"/>
      <c r="AC246" s="21"/>
    </row>
    <row r="247" spans="1:29" ht="15" customHeight="1" x14ac:dyDescent="0.25">
      <c r="A247" s="46"/>
      <c r="B247" s="46"/>
      <c r="C247" s="21"/>
      <c r="D247" s="47"/>
      <c r="E247" s="21"/>
      <c r="F247" s="21"/>
      <c r="G247" s="21"/>
      <c r="H247" s="21"/>
      <c r="I247" s="21"/>
      <c r="J247" s="21"/>
      <c r="K247" s="21"/>
      <c r="L247" s="21"/>
      <c r="M247" s="91">
        <f t="shared" si="6"/>
        <v>0</v>
      </c>
      <c r="N247" s="20"/>
      <c r="O247" s="21"/>
      <c r="P247" s="20"/>
      <c r="Q247" s="4"/>
      <c r="R247" s="20"/>
      <c r="S247" s="4"/>
      <c r="T247" s="20"/>
      <c r="U247" s="4"/>
      <c r="V247" s="20"/>
      <c r="W247" s="4"/>
      <c r="X247" s="20"/>
      <c r="Y247" s="4"/>
      <c r="Z247" s="20"/>
      <c r="AA247" s="21"/>
      <c r="AB247" s="21"/>
      <c r="AC247" s="21"/>
    </row>
    <row r="248" spans="1:29" ht="15" customHeight="1" x14ac:dyDescent="0.25">
      <c r="A248" s="46"/>
      <c r="B248" s="46"/>
      <c r="C248" s="21"/>
      <c r="D248" s="47"/>
      <c r="E248" s="21"/>
      <c r="F248" s="21"/>
      <c r="G248" s="21"/>
      <c r="H248" s="21"/>
      <c r="I248" s="21"/>
      <c r="J248" s="21"/>
      <c r="K248" s="21"/>
      <c r="L248" s="21"/>
      <c r="M248" s="91">
        <f t="shared" si="6"/>
        <v>0</v>
      </c>
      <c r="N248" s="20"/>
      <c r="O248" s="21"/>
      <c r="P248" s="20"/>
      <c r="Q248" s="4"/>
      <c r="R248" s="20"/>
      <c r="S248" s="4"/>
      <c r="T248" s="20"/>
      <c r="U248" s="4"/>
      <c r="V248" s="20"/>
      <c r="W248" s="4"/>
      <c r="X248" s="20"/>
      <c r="Y248" s="4"/>
      <c r="Z248" s="20"/>
      <c r="AA248" s="21"/>
      <c r="AB248" s="21"/>
      <c r="AC248" s="21"/>
    </row>
    <row r="249" spans="1:29" ht="15" customHeight="1" x14ac:dyDescent="0.25">
      <c r="A249" s="46"/>
      <c r="B249" s="46"/>
      <c r="C249" s="21"/>
      <c r="D249" s="47"/>
      <c r="E249" s="21"/>
      <c r="F249" s="21"/>
      <c r="G249" s="21"/>
      <c r="H249" s="21"/>
      <c r="I249" s="21"/>
      <c r="J249" s="21"/>
      <c r="K249" s="21"/>
      <c r="L249" s="21"/>
      <c r="M249" s="91">
        <f t="shared" si="6"/>
        <v>0</v>
      </c>
      <c r="N249" s="20"/>
      <c r="O249" s="21"/>
      <c r="P249" s="20"/>
      <c r="Q249" s="4"/>
      <c r="R249" s="20"/>
      <c r="S249" s="4"/>
      <c r="T249" s="20"/>
      <c r="U249" s="4"/>
      <c r="V249" s="20"/>
      <c r="W249" s="4"/>
      <c r="X249" s="20"/>
      <c r="Y249" s="4"/>
      <c r="Z249" s="20"/>
      <c r="AA249" s="21"/>
      <c r="AB249" s="21"/>
      <c r="AC249" s="21"/>
    </row>
    <row r="250" spans="1:29" ht="15" customHeight="1" x14ac:dyDescent="0.25">
      <c r="A250" s="46"/>
      <c r="B250" s="46"/>
      <c r="C250" s="21"/>
      <c r="D250" s="47"/>
      <c r="E250" s="21"/>
      <c r="F250" s="21"/>
      <c r="G250" s="21"/>
      <c r="H250" s="21"/>
      <c r="I250" s="21"/>
      <c r="J250" s="21"/>
      <c r="K250" s="21"/>
      <c r="L250" s="21"/>
      <c r="M250" s="91">
        <f t="shared" si="6"/>
        <v>0</v>
      </c>
      <c r="N250" s="20"/>
      <c r="O250" s="21"/>
      <c r="P250" s="20"/>
      <c r="Q250" s="4"/>
      <c r="R250" s="20"/>
      <c r="S250" s="4"/>
      <c r="T250" s="20"/>
      <c r="U250" s="4"/>
      <c r="V250" s="20"/>
      <c r="W250" s="4"/>
      <c r="X250" s="20"/>
      <c r="Y250" s="4"/>
      <c r="Z250" s="20"/>
      <c r="AA250" s="21"/>
      <c r="AB250" s="21"/>
      <c r="AC250" s="21"/>
    </row>
    <row r="251" spans="1:29" ht="15" customHeight="1" x14ac:dyDescent="0.25">
      <c r="A251" s="46"/>
      <c r="B251" s="46"/>
      <c r="C251" s="21"/>
      <c r="D251" s="47"/>
      <c r="E251" s="21"/>
      <c r="F251" s="21"/>
      <c r="G251" s="21"/>
      <c r="H251" s="21"/>
      <c r="I251" s="21"/>
      <c r="J251" s="21"/>
      <c r="K251" s="21"/>
      <c r="L251" s="21"/>
      <c r="M251" s="91">
        <f t="shared" si="6"/>
        <v>0</v>
      </c>
      <c r="N251" s="20"/>
      <c r="O251" s="21"/>
      <c r="P251" s="20"/>
      <c r="Q251" s="4"/>
      <c r="R251" s="20"/>
      <c r="S251" s="4"/>
      <c r="T251" s="20"/>
      <c r="U251" s="4"/>
      <c r="V251" s="20"/>
      <c r="W251" s="4"/>
      <c r="X251" s="20"/>
      <c r="Y251" s="4"/>
      <c r="Z251" s="20"/>
      <c r="AA251" s="21"/>
      <c r="AB251" s="21"/>
      <c r="AC251" s="21"/>
    </row>
    <row r="252" spans="1:29" ht="15" customHeight="1" x14ac:dyDescent="0.25">
      <c r="A252" s="46"/>
      <c r="B252" s="46"/>
      <c r="C252" s="21"/>
      <c r="D252" s="47"/>
      <c r="E252" s="21"/>
      <c r="F252" s="21"/>
      <c r="G252" s="21"/>
      <c r="H252" s="21"/>
      <c r="I252" s="21"/>
      <c r="J252" s="21"/>
      <c r="K252" s="21"/>
      <c r="L252" s="21"/>
      <c r="M252" s="91">
        <f t="shared" si="6"/>
        <v>0</v>
      </c>
      <c r="N252" s="20"/>
      <c r="O252" s="21"/>
      <c r="P252" s="20"/>
      <c r="Q252" s="4"/>
      <c r="R252" s="20"/>
      <c r="S252" s="4"/>
      <c r="T252" s="20"/>
      <c r="U252" s="4"/>
      <c r="V252" s="20"/>
      <c r="W252" s="4"/>
      <c r="X252" s="20"/>
      <c r="Y252" s="4"/>
      <c r="Z252" s="20"/>
      <c r="AA252" s="21"/>
      <c r="AB252" s="21"/>
      <c r="AC252" s="21"/>
    </row>
    <row r="253" spans="1:29" ht="15" customHeight="1" x14ac:dyDescent="0.25">
      <c r="A253" s="46"/>
      <c r="B253" s="46"/>
      <c r="C253" s="21"/>
      <c r="D253" s="47"/>
      <c r="E253" s="21"/>
      <c r="F253" s="21"/>
      <c r="G253" s="21"/>
      <c r="H253" s="21"/>
      <c r="I253" s="21"/>
      <c r="J253" s="21"/>
      <c r="K253" s="21"/>
      <c r="L253" s="21"/>
      <c r="M253" s="91">
        <f t="shared" si="6"/>
        <v>0</v>
      </c>
      <c r="N253" s="20"/>
      <c r="O253" s="21"/>
      <c r="P253" s="20"/>
      <c r="Q253" s="4"/>
      <c r="R253" s="20"/>
      <c r="S253" s="4"/>
      <c r="T253" s="20"/>
      <c r="U253" s="4"/>
      <c r="V253" s="20"/>
      <c r="W253" s="4"/>
      <c r="X253" s="20"/>
      <c r="Y253" s="4"/>
      <c r="Z253" s="20"/>
      <c r="AA253" s="21"/>
      <c r="AB253" s="21"/>
      <c r="AC253" s="21"/>
    </row>
    <row r="254" spans="1:29" ht="15" customHeight="1" x14ac:dyDescent="0.25">
      <c r="A254" s="46"/>
      <c r="B254" s="46"/>
      <c r="C254" s="21"/>
      <c r="D254" s="47"/>
      <c r="E254" s="21"/>
      <c r="F254" s="21"/>
      <c r="G254" s="21"/>
      <c r="H254" s="21"/>
      <c r="I254" s="21"/>
      <c r="J254" s="21"/>
      <c r="K254" s="21"/>
      <c r="L254" s="21"/>
      <c r="M254" s="91">
        <f t="shared" si="6"/>
        <v>0</v>
      </c>
      <c r="N254" s="20"/>
      <c r="O254" s="21"/>
      <c r="P254" s="20"/>
      <c r="Q254" s="4"/>
      <c r="R254" s="20"/>
      <c r="S254" s="4"/>
      <c r="T254" s="20"/>
      <c r="U254" s="4"/>
      <c r="V254" s="20"/>
      <c r="W254" s="4"/>
      <c r="X254" s="20"/>
      <c r="Y254" s="4"/>
      <c r="Z254" s="20"/>
      <c r="AA254" s="21"/>
      <c r="AB254" s="21"/>
      <c r="AC254" s="21"/>
    </row>
    <row r="255" spans="1:29" ht="15" customHeight="1" x14ac:dyDescent="0.25">
      <c r="A255" s="46"/>
      <c r="B255" s="46"/>
      <c r="C255" s="21"/>
      <c r="D255" s="47"/>
      <c r="E255" s="21"/>
      <c r="F255" s="21"/>
      <c r="G255" s="21"/>
      <c r="H255" s="21"/>
      <c r="I255" s="21"/>
      <c r="J255" s="21"/>
      <c r="K255" s="21"/>
      <c r="L255" s="21"/>
      <c r="M255" s="91">
        <f t="shared" si="6"/>
        <v>0</v>
      </c>
      <c r="N255" s="20"/>
      <c r="O255" s="21"/>
      <c r="P255" s="20"/>
      <c r="Q255" s="4"/>
      <c r="R255" s="20"/>
      <c r="S255" s="4"/>
      <c r="T255" s="20"/>
      <c r="U255" s="4"/>
      <c r="V255" s="20"/>
      <c r="W255" s="4"/>
      <c r="X255" s="20"/>
      <c r="Y255" s="4"/>
      <c r="Z255" s="20"/>
      <c r="AA255" s="21"/>
      <c r="AB255" s="21"/>
      <c r="AC255" s="21"/>
    </row>
    <row r="256" spans="1:29" ht="15" customHeight="1" x14ac:dyDescent="0.25">
      <c r="A256" s="46"/>
      <c r="B256" s="46"/>
      <c r="C256" s="21"/>
      <c r="D256" s="47"/>
      <c r="E256" s="21"/>
      <c r="F256" s="21"/>
      <c r="G256" s="21"/>
      <c r="H256" s="21"/>
      <c r="I256" s="21"/>
      <c r="J256" s="21"/>
      <c r="K256" s="21"/>
      <c r="L256" s="21"/>
      <c r="M256" s="91">
        <f t="shared" si="6"/>
        <v>0</v>
      </c>
      <c r="N256" s="20"/>
      <c r="O256" s="21"/>
      <c r="P256" s="20"/>
      <c r="Q256" s="4"/>
      <c r="R256" s="20"/>
      <c r="S256" s="4"/>
      <c r="T256" s="20"/>
      <c r="U256" s="4"/>
      <c r="V256" s="20"/>
      <c r="W256" s="4"/>
      <c r="X256" s="20"/>
      <c r="Y256" s="4"/>
      <c r="Z256" s="20"/>
      <c r="AA256" s="21"/>
      <c r="AB256" s="21"/>
      <c r="AC256" s="21"/>
    </row>
    <row r="257" spans="1:29" ht="15" customHeight="1" x14ac:dyDescent="0.25">
      <c r="A257" s="46"/>
      <c r="B257" s="46"/>
      <c r="C257" s="21"/>
      <c r="D257" s="47"/>
      <c r="E257" s="21"/>
      <c r="F257" s="21"/>
      <c r="G257" s="21"/>
      <c r="H257" s="21"/>
      <c r="I257" s="21"/>
      <c r="J257" s="21"/>
      <c r="K257" s="21"/>
      <c r="L257" s="21"/>
      <c r="M257" s="91">
        <f t="shared" si="6"/>
        <v>0</v>
      </c>
      <c r="N257" s="20"/>
      <c r="O257" s="21"/>
      <c r="P257" s="20"/>
      <c r="Q257" s="4"/>
      <c r="R257" s="20"/>
      <c r="S257" s="4"/>
      <c r="T257" s="20"/>
      <c r="U257" s="4"/>
      <c r="V257" s="20"/>
      <c r="W257" s="4"/>
      <c r="X257" s="20"/>
      <c r="Y257" s="4"/>
      <c r="Z257" s="20"/>
      <c r="AA257" s="21"/>
      <c r="AB257" s="21"/>
      <c r="AC257" s="21"/>
    </row>
    <row r="258" spans="1:29" ht="15" customHeight="1" x14ac:dyDescent="0.25">
      <c r="A258" s="46"/>
      <c r="B258" s="46"/>
      <c r="C258" s="21"/>
      <c r="D258" s="47"/>
      <c r="E258" s="21"/>
      <c r="F258" s="21"/>
      <c r="G258" s="21"/>
      <c r="H258" s="21"/>
      <c r="I258" s="21"/>
      <c r="J258" s="21"/>
      <c r="K258" s="21"/>
      <c r="L258" s="21"/>
      <c r="M258" s="91">
        <f t="shared" si="6"/>
        <v>0</v>
      </c>
      <c r="N258" s="20"/>
      <c r="O258" s="21"/>
      <c r="P258" s="20"/>
      <c r="Q258" s="4"/>
      <c r="R258" s="20"/>
      <c r="S258" s="4"/>
      <c r="T258" s="20"/>
      <c r="U258" s="4"/>
      <c r="V258" s="20"/>
      <c r="W258" s="4"/>
      <c r="X258" s="20"/>
      <c r="Y258" s="4"/>
      <c r="Z258" s="20"/>
      <c r="AA258" s="21"/>
      <c r="AB258" s="21"/>
      <c r="AC258" s="21"/>
    </row>
    <row r="259" spans="1:29" ht="15" customHeight="1" x14ac:dyDescent="0.25">
      <c r="A259" s="46"/>
      <c r="B259" s="46"/>
      <c r="C259" s="21"/>
      <c r="D259" s="47"/>
      <c r="E259" s="21"/>
      <c r="F259" s="21"/>
      <c r="G259" s="21"/>
      <c r="H259" s="21"/>
      <c r="I259" s="21"/>
      <c r="J259" s="21"/>
      <c r="K259" s="21"/>
      <c r="L259" s="21"/>
      <c r="M259" s="91">
        <f t="shared" si="6"/>
        <v>0</v>
      </c>
      <c r="N259" s="20"/>
      <c r="O259" s="21"/>
      <c r="P259" s="20"/>
      <c r="Q259" s="4"/>
      <c r="R259" s="20"/>
      <c r="S259" s="4"/>
      <c r="T259" s="20"/>
      <c r="U259" s="4"/>
      <c r="V259" s="20"/>
      <c r="W259" s="4"/>
      <c r="X259" s="20"/>
      <c r="Y259" s="4"/>
      <c r="Z259" s="20"/>
      <c r="AA259" s="21"/>
      <c r="AB259" s="21"/>
      <c r="AC259" s="21"/>
    </row>
    <row r="260" spans="1:29" ht="15" customHeight="1" x14ac:dyDescent="0.25">
      <c r="A260" s="46"/>
      <c r="B260" s="46"/>
      <c r="C260" s="21"/>
      <c r="D260" s="47"/>
      <c r="E260" s="21"/>
      <c r="F260" s="21"/>
      <c r="G260" s="21"/>
      <c r="H260" s="21"/>
      <c r="I260" s="21"/>
      <c r="J260" s="21"/>
      <c r="K260" s="21"/>
      <c r="L260" s="21"/>
      <c r="M260" s="91">
        <f t="shared" si="6"/>
        <v>0</v>
      </c>
      <c r="N260" s="20"/>
      <c r="O260" s="21"/>
      <c r="P260" s="20"/>
      <c r="Q260" s="4"/>
      <c r="R260" s="20"/>
      <c r="S260" s="4"/>
      <c r="T260" s="20"/>
      <c r="U260" s="4"/>
      <c r="V260" s="20"/>
      <c r="W260" s="4"/>
      <c r="X260" s="20"/>
      <c r="Y260" s="4"/>
      <c r="Z260" s="20"/>
      <c r="AA260" s="21"/>
      <c r="AB260" s="21"/>
      <c r="AC260" s="21"/>
    </row>
    <row r="261" spans="1:29" ht="15" customHeight="1" x14ac:dyDescent="0.25">
      <c r="A261" s="46"/>
      <c r="B261" s="46"/>
      <c r="C261" s="21"/>
      <c r="D261" s="47"/>
      <c r="E261" s="21"/>
      <c r="F261" s="21"/>
      <c r="G261" s="21"/>
      <c r="H261" s="21"/>
      <c r="I261" s="21"/>
      <c r="J261" s="21"/>
      <c r="K261" s="21"/>
      <c r="L261" s="21"/>
      <c r="M261" s="91">
        <f t="shared" si="6"/>
        <v>0</v>
      </c>
      <c r="N261" s="20"/>
      <c r="O261" s="21"/>
      <c r="P261" s="20"/>
      <c r="Q261" s="4"/>
      <c r="R261" s="20"/>
      <c r="S261" s="4"/>
      <c r="T261" s="20"/>
      <c r="U261" s="4"/>
      <c r="V261" s="20"/>
      <c r="W261" s="4"/>
      <c r="X261" s="20"/>
      <c r="Y261" s="4"/>
      <c r="Z261" s="20"/>
      <c r="AA261" s="21"/>
      <c r="AB261" s="21"/>
      <c r="AC261" s="21"/>
    </row>
    <row r="262" spans="1:29" ht="15" customHeight="1" x14ac:dyDescent="0.25">
      <c r="A262" s="46"/>
      <c r="B262" s="46"/>
      <c r="C262" s="21"/>
      <c r="D262" s="47"/>
      <c r="E262" s="21"/>
      <c r="F262" s="21"/>
      <c r="G262" s="21"/>
      <c r="H262" s="21"/>
      <c r="I262" s="21"/>
      <c r="J262" s="21"/>
      <c r="K262" s="21"/>
      <c r="L262" s="21"/>
      <c r="M262" s="91">
        <f t="shared" ref="M262:M263" si="7">SUM(N262:Z262)</f>
        <v>0</v>
      </c>
      <c r="N262" s="20"/>
      <c r="O262" s="21"/>
      <c r="P262" s="20"/>
      <c r="Q262" s="4"/>
      <c r="R262" s="20"/>
      <c r="S262" s="4"/>
      <c r="T262" s="20"/>
      <c r="U262" s="4"/>
      <c r="V262" s="20"/>
      <c r="W262" s="4"/>
      <c r="X262" s="20"/>
      <c r="Y262" s="4"/>
      <c r="Z262" s="20"/>
      <c r="AA262" s="21"/>
      <c r="AB262" s="21"/>
      <c r="AC262" s="21"/>
    </row>
    <row r="263" spans="1:29" ht="15" customHeight="1" x14ac:dyDescent="0.25">
      <c r="A263" s="46"/>
      <c r="B263" s="46"/>
      <c r="C263" s="21"/>
      <c r="D263" s="47"/>
      <c r="E263" s="21" t="s">
        <v>93</v>
      </c>
      <c r="F263" s="21"/>
      <c r="G263" s="21"/>
      <c r="H263" s="21"/>
      <c r="I263" s="21"/>
      <c r="J263" s="21"/>
      <c r="K263" s="21"/>
      <c r="L263" s="21"/>
      <c r="M263" s="91">
        <f t="shared" si="7"/>
        <v>0</v>
      </c>
      <c r="N263" s="20"/>
      <c r="O263" s="21"/>
      <c r="P263" s="20"/>
      <c r="Q263" s="4"/>
      <c r="R263" s="20"/>
      <c r="S263" s="4"/>
      <c r="T263" s="20"/>
      <c r="U263" s="4"/>
      <c r="V263" s="20"/>
      <c r="W263" s="4"/>
      <c r="X263" s="20"/>
      <c r="Y263" s="4"/>
      <c r="Z263" s="20"/>
      <c r="AA263" s="21"/>
      <c r="AB263" s="21"/>
      <c r="AC263" s="21"/>
    </row>
    <row r="264" spans="1:29" ht="15" customHeight="1" x14ac:dyDescent="0.25">
      <c r="A264" s="56" t="s">
        <v>5</v>
      </c>
      <c r="B264" s="56"/>
      <c r="C264" s="56"/>
      <c r="E264" s="49" t="s">
        <v>5</v>
      </c>
      <c r="G264" s="49" t="s">
        <v>5</v>
      </c>
    </row>
    <row r="265" spans="1:29" ht="15" customHeight="1" x14ac:dyDescent="0.25">
      <c r="A265" s="56"/>
      <c r="B265" s="56"/>
      <c r="C265" s="56"/>
    </row>
    <row r="266" spans="1:29" ht="15" customHeight="1" x14ac:dyDescent="0.25">
      <c r="A266" s="56"/>
      <c r="B266" s="56"/>
      <c r="C266" s="56"/>
    </row>
    <row r="267" spans="1:29" ht="15" customHeight="1" x14ac:dyDescent="0.25">
      <c r="A267" s="56"/>
      <c r="B267" s="56"/>
      <c r="C267" s="56"/>
    </row>
    <row r="268" spans="1:29" ht="15" customHeight="1" x14ac:dyDescent="0.25">
      <c r="A268" s="56"/>
      <c r="B268" s="56"/>
      <c r="C268" s="56"/>
    </row>
    <row r="269" spans="1:29" ht="15" customHeight="1" x14ac:dyDescent="0.25">
      <c r="A269" s="56"/>
      <c r="B269" s="56"/>
      <c r="C269" s="56"/>
    </row>
    <row r="270" spans="1:29" ht="15" customHeight="1" x14ac:dyDescent="0.25">
      <c r="A270" s="56"/>
      <c r="B270" s="56"/>
      <c r="C270" s="56"/>
    </row>
    <row r="271" spans="1:29" ht="15" customHeight="1" x14ac:dyDescent="0.25">
      <c r="A271" s="56"/>
      <c r="B271" s="56"/>
      <c r="C271" s="56"/>
    </row>
    <row r="272" spans="1:29" ht="15" customHeight="1" x14ac:dyDescent="0.25">
      <c r="A272" s="56"/>
      <c r="B272" s="56"/>
      <c r="C272" s="56"/>
    </row>
    <row r="273" spans="1:3" ht="15" customHeight="1" x14ac:dyDescent="0.25">
      <c r="A273" s="56"/>
      <c r="B273" s="56"/>
      <c r="C273" s="56"/>
    </row>
    <row r="274" spans="1:3" ht="15" customHeight="1" x14ac:dyDescent="0.25">
      <c r="A274" s="56"/>
      <c r="B274" s="56"/>
      <c r="C274" s="56"/>
    </row>
    <row r="275" spans="1:3" ht="15" customHeight="1" x14ac:dyDescent="0.25">
      <c r="A275" s="56"/>
      <c r="B275" s="56"/>
      <c r="C275" s="56"/>
    </row>
    <row r="276" spans="1:3" ht="15" customHeight="1" x14ac:dyDescent="0.25">
      <c r="A276" s="56"/>
      <c r="B276" s="56"/>
      <c r="C276" s="56"/>
    </row>
    <row r="277" spans="1:3" ht="15" customHeight="1" x14ac:dyDescent="0.25">
      <c r="A277" s="56"/>
      <c r="B277" s="56"/>
      <c r="C277" s="56"/>
    </row>
    <row r="278" spans="1:3" ht="15" customHeight="1" x14ac:dyDescent="0.25">
      <c r="A278" s="56"/>
      <c r="B278" s="56"/>
      <c r="C278" s="56"/>
    </row>
    <row r="279" spans="1:3" ht="15" customHeight="1" x14ac:dyDescent="0.25">
      <c r="A279" s="56"/>
      <c r="B279" s="56"/>
      <c r="C279" s="56"/>
    </row>
    <row r="280" spans="1:3" ht="15" customHeight="1" x14ac:dyDescent="0.25">
      <c r="A280" s="56"/>
      <c r="B280" s="56"/>
      <c r="C280" s="56"/>
    </row>
    <row r="281" spans="1:3" ht="15" customHeight="1" x14ac:dyDescent="0.25">
      <c r="A281" s="56"/>
      <c r="B281" s="56"/>
      <c r="C281" s="56"/>
    </row>
    <row r="282" spans="1:3" ht="15" customHeight="1" x14ac:dyDescent="0.25">
      <c r="A282" s="56"/>
      <c r="B282" s="56"/>
      <c r="C282" s="56"/>
    </row>
    <row r="283" spans="1:3" ht="15" customHeight="1" x14ac:dyDescent="0.25">
      <c r="A283" s="56"/>
      <c r="B283" s="56"/>
      <c r="C283" s="56"/>
    </row>
    <row r="284" spans="1:3" ht="15" customHeight="1" x14ac:dyDescent="0.25">
      <c r="A284" s="56"/>
      <c r="B284" s="56"/>
      <c r="C284" s="56"/>
    </row>
    <row r="285" spans="1:3" ht="15" customHeight="1" x14ac:dyDescent="0.25">
      <c r="A285" s="56"/>
      <c r="B285" s="56"/>
      <c r="C285" s="56"/>
    </row>
    <row r="286" spans="1:3" ht="15" customHeight="1" x14ac:dyDescent="0.25">
      <c r="A286" s="56"/>
      <c r="B286" s="56"/>
      <c r="C286" s="56"/>
    </row>
    <row r="287" spans="1:3" ht="15" customHeight="1" x14ac:dyDescent="0.25">
      <c r="A287" s="56"/>
      <c r="B287" s="56"/>
      <c r="C287" s="56"/>
    </row>
    <row r="288" spans="1:3" ht="15" customHeight="1" x14ac:dyDescent="0.25">
      <c r="A288" s="56"/>
      <c r="B288" s="56"/>
      <c r="C288" s="56"/>
    </row>
    <row r="289" spans="1:3" ht="15" customHeight="1" x14ac:dyDescent="0.25">
      <c r="A289" s="56"/>
      <c r="B289" s="56"/>
      <c r="C289" s="56"/>
    </row>
    <row r="290" spans="1:3" ht="15" customHeight="1" x14ac:dyDescent="0.25">
      <c r="A290" s="56"/>
      <c r="B290" s="56"/>
      <c r="C290" s="56"/>
    </row>
    <row r="291" spans="1:3" ht="15" customHeight="1" x14ac:dyDescent="0.25">
      <c r="A291" s="56"/>
      <c r="B291" s="56"/>
      <c r="C291" s="56"/>
    </row>
    <row r="292" spans="1:3" ht="15" customHeight="1" x14ac:dyDescent="0.25">
      <c r="A292" s="56"/>
      <c r="B292" s="56"/>
      <c r="C292" s="56"/>
    </row>
    <row r="293" spans="1:3" ht="15" customHeight="1" x14ac:dyDescent="0.25">
      <c r="A293" s="56"/>
      <c r="B293" s="56"/>
      <c r="C293" s="56"/>
    </row>
    <row r="294" spans="1:3" ht="15" customHeight="1" x14ac:dyDescent="0.25">
      <c r="A294" s="56"/>
      <c r="B294" s="56"/>
      <c r="C294" s="56"/>
    </row>
    <row r="295" spans="1:3" ht="15" customHeight="1" x14ac:dyDescent="0.25">
      <c r="A295" s="56"/>
      <c r="B295" s="56"/>
      <c r="C295" s="56"/>
    </row>
    <row r="296" spans="1:3" ht="15" customHeight="1" x14ac:dyDescent="0.25">
      <c r="A296" s="56"/>
      <c r="B296" s="56"/>
      <c r="C296" s="56"/>
    </row>
    <row r="297" spans="1:3" ht="15" customHeight="1" x14ac:dyDescent="0.25">
      <c r="A297" s="56"/>
      <c r="B297" s="56"/>
      <c r="C297" s="56"/>
    </row>
    <row r="298" spans="1:3" ht="15" customHeight="1" x14ac:dyDescent="0.25">
      <c r="A298" s="56"/>
      <c r="B298" s="56"/>
      <c r="C298" s="56"/>
    </row>
    <row r="299" spans="1:3" ht="15" customHeight="1" x14ac:dyDescent="0.25">
      <c r="A299" s="56"/>
      <c r="B299" s="56"/>
      <c r="C299" s="56"/>
    </row>
    <row r="300" spans="1:3" ht="15" customHeight="1" x14ac:dyDescent="0.25">
      <c r="A300" s="56"/>
      <c r="B300" s="56"/>
      <c r="C300" s="56"/>
    </row>
    <row r="301" spans="1:3" ht="15" customHeight="1" x14ac:dyDescent="0.25">
      <c r="A301" s="56"/>
      <c r="B301" s="56"/>
      <c r="C301" s="56"/>
    </row>
    <row r="302" spans="1:3" ht="15" customHeight="1" x14ac:dyDescent="0.25">
      <c r="A302" s="56"/>
      <c r="B302" s="56"/>
      <c r="C302" s="56"/>
    </row>
    <row r="303" spans="1:3" ht="15" customHeight="1" x14ac:dyDescent="0.25">
      <c r="A303" s="56"/>
      <c r="B303" s="56"/>
      <c r="C303" s="56"/>
    </row>
    <row r="304" spans="1:3" ht="15" customHeight="1" x14ac:dyDescent="0.25">
      <c r="A304" s="56"/>
      <c r="B304" s="56"/>
      <c r="C304" s="56"/>
    </row>
    <row r="305" spans="1:3" ht="15" customHeight="1" x14ac:dyDescent="0.25">
      <c r="A305" s="56"/>
      <c r="B305" s="56"/>
      <c r="C305" s="56"/>
    </row>
    <row r="306" spans="1:3" ht="15" customHeight="1" x14ac:dyDescent="0.25">
      <c r="A306" s="56"/>
      <c r="B306" s="56"/>
      <c r="C306" s="56"/>
    </row>
    <row r="307" spans="1:3" ht="15" customHeight="1" x14ac:dyDescent="0.25">
      <c r="A307" s="56"/>
      <c r="B307" s="56"/>
      <c r="C307" s="56"/>
    </row>
    <row r="308" spans="1:3" ht="15" customHeight="1" x14ac:dyDescent="0.25">
      <c r="A308" s="56"/>
      <c r="B308" s="56"/>
      <c r="C308" s="56"/>
    </row>
    <row r="309" spans="1:3" ht="15" customHeight="1" x14ac:dyDescent="0.25">
      <c r="A309" s="56"/>
      <c r="B309" s="56"/>
      <c r="C309" s="56"/>
    </row>
    <row r="310" spans="1:3" ht="15" customHeight="1" x14ac:dyDescent="0.25">
      <c r="A310" s="56"/>
      <c r="B310" s="56"/>
      <c r="C310" s="56"/>
    </row>
    <row r="311" spans="1:3" ht="15" customHeight="1" x14ac:dyDescent="0.25">
      <c r="A311" s="56"/>
      <c r="B311" s="56"/>
      <c r="C311" s="56"/>
    </row>
    <row r="312" spans="1:3" ht="15" customHeight="1" x14ac:dyDescent="0.25">
      <c r="A312" s="56"/>
      <c r="B312" s="56"/>
      <c r="C312" s="56"/>
    </row>
    <row r="313" spans="1:3" ht="15" customHeight="1" x14ac:dyDescent="0.25">
      <c r="A313" s="56"/>
      <c r="B313" s="56"/>
      <c r="C313" s="56"/>
    </row>
    <row r="314" spans="1:3" ht="15" customHeight="1" x14ac:dyDescent="0.25">
      <c r="A314" s="56"/>
      <c r="B314" s="56"/>
      <c r="C314" s="56"/>
    </row>
    <row r="315" spans="1:3" ht="15" customHeight="1" x14ac:dyDescent="0.25">
      <c r="A315" s="56"/>
      <c r="B315" s="56"/>
      <c r="C315" s="56"/>
    </row>
    <row r="316" spans="1:3" ht="15" customHeight="1" x14ac:dyDescent="0.25">
      <c r="A316" s="56"/>
      <c r="B316" s="56"/>
      <c r="C316" s="56"/>
    </row>
    <row r="317" spans="1:3" ht="15" customHeight="1" x14ac:dyDescent="0.25">
      <c r="A317" s="56"/>
      <c r="B317" s="56"/>
      <c r="C317" s="56"/>
    </row>
    <row r="318" spans="1:3" ht="15" customHeight="1" x14ac:dyDescent="0.25">
      <c r="A318" s="56"/>
      <c r="B318" s="56"/>
      <c r="C318" s="56"/>
    </row>
    <row r="319" spans="1:3" ht="15" customHeight="1" x14ac:dyDescent="0.25">
      <c r="A319" s="56"/>
      <c r="B319" s="56"/>
      <c r="C319" s="56"/>
    </row>
    <row r="320" spans="1:3" ht="15" customHeight="1" x14ac:dyDescent="0.25">
      <c r="A320" s="56"/>
      <c r="B320" s="56"/>
      <c r="C320" s="56"/>
    </row>
    <row r="321" spans="1:3" ht="15" customHeight="1" x14ac:dyDescent="0.25">
      <c r="A321" s="56"/>
      <c r="B321" s="56"/>
      <c r="C321" s="56"/>
    </row>
    <row r="322" spans="1:3" ht="15" customHeight="1" x14ac:dyDescent="0.25">
      <c r="A322" s="56"/>
      <c r="B322" s="56"/>
      <c r="C322" s="56"/>
    </row>
    <row r="323" spans="1:3" ht="15" customHeight="1" x14ac:dyDescent="0.25">
      <c r="A323" s="56"/>
      <c r="B323" s="56"/>
      <c r="C323" s="56"/>
    </row>
    <row r="324" spans="1:3" ht="15" customHeight="1" x14ac:dyDescent="0.25">
      <c r="A324" s="56"/>
      <c r="B324" s="56"/>
      <c r="C324" s="56"/>
    </row>
    <row r="325" spans="1:3" ht="15" customHeight="1" x14ac:dyDescent="0.25">
      <c r="A325" s="56"/>
      <c r="B325" s="56"/>
      <c r="C325" s="56"/>
    </row>
    <row r="326" spans="1:3" ht="15" customHeight="1" x14ac:dyDescent="0.25">
      <c r="A326" s="56"/>
      <c r="B326" s="56"/>
      <c r="C326" s="56"/>
    </row>
    <row r="327" spans="1:3" ht="15" customHeight="1" x14ac:dyDescent="0.25">
      <c r="A327" s="56"/>
      <c r="B327" s="56"/>
      <c r="C327" s="56"/>
    </row>
    <row r="328" spans="1:3" ht="15" customHeight="1" x14ac:dyDescent="0.25">
      <c r="A328" s="56"/>
      <c r="B328" s="56"/>
      <c r="C328" s="56"/>
    </row>
    <row r="329" spans="1:3" ht="15" customHeight="1" x14ac:dyDescent="0.25">
      <c r="A329" s="56"/>
      <c r="B329" s="56"/>
      <c r="C329" s="56"/>
    </row>
    <row r="330" spans="1:3" ht="15" customHeight="1" x14ac:dyDescent="0.25">
      <c r="A330" s="56"/>
      <c r="B330" s="56"/>
      <c r="C330" s="56"/>
    </row>
    <row r="331" spans="1:3" ht="15" customHeight="1" x14ac:dyDescent="0.25">
      <c r="A331" s="56"/>
      <c r="B331" s="56"/>
      <c r="C331" s="56"/>
    </row>
    <row r="332" spans="1:3" ht="15" customHeight="1" x14ac:dyDescent="0.25">
      <c r="A332" s="56"/>
      <c r="B332" s="56"/>
      <c r="C332" s="56"/>
    </row>
    <row r="333" spans="1:3" ht="15" customHeight="1" x14ac:dyDescent="0.25">
      <c r="A333" s="56"/>
      <c r="B333" s="56"/>
      <c r="C333" s="56"/>
    </row>
    <row r="334" spans="1:3" ht="15" customHeight="1" x14ac:dyDescent="0.25">
      <c r="A334" s="56"/>
      <c r="B334" s="56"/>
      <c r="C334" s="56"/>
    </row>
    <row r="335" spans="1:3" ht="15" customHeight="1" x14ac:dyDescent="0.25">
      <c r="A335" s="56"/>
      <c r="B335" s="56"/>
      <c r="C335" s="56"/>
    </row>
    <row r="336" spans="1:3" ht="15" customHeight="1" x14ac:dyDescent="0.25">
      <c r="A336" s="56"/>
      <c r="B336" s="56"/>
      <c r="C336" s="56"/>
    </row>
    <row r="337" spans="1:3" ht="15" customHeight="1" x14ac:dyDescent="0.25">
      <c r="A337" s="56"/>
      <c r="B337" s="56"/>
      <c r="C337" s="56"/>
    </row>
    <row r="338" spans="1:3" ht="15" customHeight="1" x14ac:dyDescent="0.25">
      <c r="A338" s="56"/>
      <c r="B338" s="56"/>
      <c r="C338" s="56"/>
    </row>
    <row r="339" spans="1:3" ht="15" customHeight="1" x14ac:dyDescent="0.25">
      <c r="A339" s="56"/>
      <c r="B339" s="56"/>
      <c r="C339" s="56"/>
    </row>
    <row r="340" spans="1:3" ht="15" customHeight="1" x14ac:dyDescent="0.25">
      <c r="A340" s="56"/>
      <c r="B340" s="56"/>
      <c r="C340" s="56"/>
    </row>
    <row r="341" spans="1:3" ht="15" customHeight="1" x14ac:dyDescent="0.25">
      <c r="A341" s="56"/>
      <c r="B341" s="56"/>
      <c r="C341" s="56"/>
    </row>
    <row r="342" spans="1:3" ht="15" customHeight="1" x14ac:dyDescent="0.25">
      <c r="A342" s="56"/>
      <c r="B342" s="56"/>
      <c r="C342" s="56"/>
    </row>
    <row r="343" spans="1:3" ht="15" customHeight="1" x14ac:dyDescent="0.25">
      <c r="A343" s="56"/>
      <c r="B343" s="56"/>
      <c r="C343" s="56"/>
    </row>
    <row r="344" spans="1:3" ht="15" customHeight="1" x14ac:dyDescent="0.25">
      <c r="A344" s="56"/>
      <c r="B344" s="56"/>
      <c r="C344" s="56"/>
    </row>
    <row r="345" spans="1:3" ht="15" customHeight="1" x14ac:dyDescent="0.25">
      <c r="A345" s="56"/>
      <c r="B345" s="56"/>
      <c r="C345" s="56"/>
    </row>
    <row r="346" spans="1:3" ht="15" customHeight="1" x14ac:dyDescent="0.25">
      <c r="A346" s="56"/>
      <c r="B346" s="56"/>
      <c r="C346" s="56"/>
    </row>
    <row r="347" spans="1:3" ht="15" customHeight="1" x14ac:dyDescent="0.25">
      <c r="A347" s="56"/>
      <c r="B347" s="56"/>
      <c r="C347" s="56"/>
    </row>
    <row r="348" spans="1:3" ht="15" customHeight="1" x14ac:dyDescent="0.25">
      <c r="A348" s="56"/>
      <c r="B348" s="56"/>
      <c r="C348" s="56"/>
    </row>
    <row r="349" spans="1:3" ht="15" customHeight="1" x14ac:dyDescent="0.25">
      <c r="A349" s="56"/>
      <c r="B349" s="56"/>
      <c r="C349" s="56"/>
    </row>
    <row r="350" spans="1:3" ht="15" customHeight="1" x14ac:dyDescent="0.25">
      <c r="A350" s="56"/>
      <c r="B350" s="56"/>
      <c r="C350" s="56"/>
    </row>
    <row r="351" spans="1:3" ht="15" customHeight="1" x14ac:dyDescent="0.25">
      <c r="A351" s="56"/>
      <c r="B351" s="56"/>
      <c r="C351" s="56"/>
    </row>
    <row r="352" spans="1:3" ht="15" customHeight="1" x14ac:dyDescent="0.25">
      <c r="A352" s="56"/>
      <c r="B352" s="56"/>
      <c r="C352" s="56"/>
    </row>
    <row r="353" spans="1:3" ht="15" customHeight="1" x14ac:dyDescent="0.25">
      <c r="A353" s="56"/>
      <c r="B353" s="56"/>
      <c r="C353" s="56"/>
    </row>
    <row r="354" spans="1:3" ht="15" customHeight="1" x14ac:dyDescent="0.25">
      <c r="A354" s="56"/>
      <c r="B354" s="56"/>
      <c r="C354" s="56"/>
    </row>
    <row r="355" spans="1:3" ht="15" customHeight="1" x14ac:dyDescent="0.25">
      <c r="A355" s="56"/>
      <c r="B355" s="56"/>
      <c r="C355" s="56"/>
    </row>
    <row r="356" spans="1:3" ht="15" customHeight="1" x14ac:dyDescent="0.25">
      <c r="A356" s="56"/>
      <c r="B356" s="56"/>
      <c r="C356" s="56"/>
    </row>
    <row r="357" spans="1:3" ht="15" customHeight="1" x14ac:dyDescent="0.25">
      <c r="A357" s="56"/>
      <c r="B357" s="56"/>
      <c r="C357" s="56"/>
    </row>
    <row r="358" spans="1:3" ht="15" customHeight="1" x14ac:dyDescent="0.25">
      <c r="A358" s="56"/>
      <c r="B358" s="56"/>
      <c r="C358" s="56"/>
    </row>
    <row r="359" spans="1:3" ht="15" customHeight="1" x14ac:dyDescent="0.25">
      <c r="A359" s="56"/>
      <c r="B359" s="56"/>
      <c r="C359" s="56"/>
    </row>
    <row r="360" spans="1:3" ht="15" customHeight="1" x14ac:dyDescent="0.25">
      <c r="A360" s="56"/>
      <c r="B360" s="56"/>
      <c r="C360" s="56"/>
    </row>
    <row r="361" spans="1:3" ht="15" customHeight="1" x14ac:dyDescent="0.25">
      <c r="A361" s="56"/>
      <c r="B361" s="56"/>
      <c r="C361" s="56"/>
    </row>
    <row r="362" spans="1:3" ht="15" customHeight="1" x14ac:dyDescent="0.25">
      <c r="A362" s="56"/>
      <c r="B362" s="56"/>
      <c r="C362" s="56"/>
    </row>
    <row r="363" spans="1:3" ht="15" customHeight="1" x14ac:dyDescent="0.25">
      <c r="A363" s="56"/>
      <c r="B363" s="56"/>
      <c r="C363" s="56"/>
    </row>
    <row r="364" spans="1:3" ht="15" customHeight="1" x14ac:dyDescent="0.25">
      <c r="A364" s="56"/>
      <c r="B364" s="56"/>
      <c r="C364" s="56"/>
    </row>
    <row r="365" spans="1:3" ht="15" customHeight="1" x14ac:dyDescent="0.25">
      <c r="A365" s="56"/>
      <c r="B365" s="56"/>
      <c r="C365" s="56"/>
    </row>
    <row r="366" spans="1:3" ht="15" customHeight="1" x14ac:dyDescent="0.25">
      <c r="A366" s="56"/>
      <c r="B366" s="56"/>
      <c r="C366" s="56"/>
    </row>
    <row r="367" spans="1:3" ht="15" customHeight="1" x14ac:dyDescent="0.25">
      <c r="A367" s="56"/>
      <c r="B367" s="56"/>
      <c r="C367" s="56"/>
    </row>
    <row r="368" spans="1:3" ht="15" customHeight="1" x14ac:dyDescent="0.25">
      <c r="A368" s="56"/>
      <c r="B368" s="56"/>
      <c r="C368" s="56"/>
    </row>
    <row r="369" spans="1:3" ht="15" customHeight="1" x14ac:dyDescent="0.25">
      <c r="A369" s="56"/>
      <c r="B369" s="56"/>
      <c r="C369" s="56"/>
    </row>
    <row r="370" spans="1:3" ht="15" customHeight="1" x14ac:dyDescent="0.25">
      <c r="A370" s="56"/>
      <c r="B370" s="56"/>
      <c r="C370" s="56"/>
    </row>
    <row r="371" spans="1:3" ht="15" customHeight="1" x14ac:dyDescent="0.25">
      <c r="A371" s="56"/>
      <c r="B371" s="56"/>
      <c r="C371" s="56"/>
    </row>
    <row r="372" spans="1:3" ht="15" customHeight="1" x14ac:dyDescent="0.25">
      <c r="A372" s="56"/>
      <c r="B372" s="56"/>
      <c r="C372" s="56"/>
    </row>
    <row r="373" spans="1:3" ht="15" customHeight="1" x14ac:dyDescent="0.25">
      <c r="A373" s="56"/>
      <c r="B373" s="56"/>
      <c r="C373" s="56"/>
    </row>
    <row r="374" spans="1:3" ht="15" customHeight="1" x14ac:dyDescent="0.25">
      <c r="A374" s="56"/>
      <c r="B374" s="56"/>
      <c r="C374" s="56"/>
    </row>
    <row r="375" spans="1:3" ht="15" customHeight="1" x14ac:dyDescent="0.25">
      <c r="A375" s="56"/>
      <c r="B375" s="56"/>
      <c r="C375" s="56"/>
    </row>
    <row r="376" spans="1:3" ht="15" customHeight="1" x14ac:dyDescent="0.25">
      <c r="A376" s="56"/>
      <c r="B376" s="56"/>
      <c r="C376" s="56"/>
    </row>
    <row r="377" spans="1:3" ht="15" customHeight="1" x14ac:dyDescent="0.25">
      <c r="A377" s="56"/>
      <c r="B377" s="56"/>
      <c r="C377" s="56"/>
    </row>
    <row r="378" spans="1:3" ht="15" customHeight="1" x14ac:dyDescent="0.25">
      <c r="A378" s="56"/>
      <c r="B378" s="56"/>
      <c r="C378" s="56"/>
    </row>
    <row r="379" spans="1:3" ht="15" customHeight="1" x14ac:dyDescent="0.25">
      <c r="A379" s="56"/>
      <c r="B379" s="56"/>
      <c r="C379" s="56"/>
    </row>
    <row r="380" spans="1:3" ht="15" customHeight="1" x14ac:dyDescent="0.25">
      <c r="A380" s="56"/>
      <c r="B380" s="56"/>
      <c r="C380" s="56"/>
    </row>
    <row r="381" spans="1:3" ht="15" customHeight="1" x14ac:dyDescent="0.25">
      <c r="A381" s="56"/>
      <c r="B381" s="56"/>
      <c r="C381" s="56"/>
    </row>
    <row r="382" spans="1:3" ht="15" customHeight="1" x14ac:dyDescent="0.25">
      <c r="A382" s="56"/>
      <c r="B382" s="56"/>
      <c r="C382" s="56"/>
    </row>
    <row r="383" spans="1:3" ht="15" customHeight="1" x14ac:dyDescent="0.25">
      <c r="A383" s="56"/>
      <c r="B383" s="56"/>
      <c r="C383" s="56"/>
    </row>
    <row r="384" spans="1:3" ht="15" customHeight="1" x14ac:dyDescent="0.25">
      <c r="A384" s="56"/>
      <c r="B384" s="56"/>
      <c r="C384" s="56"/>
    </row>
    <row r="385" spans="1:3" ht="15" customHeight="1" x14ac:dyDescent="0.25">
      <c r="A385" s="56"/>
      <c r="B385" s="56"/>
      <c r="C385" s="56"/>
    </row>
    <row r="386" spans="1:3" ht="15" customHeight="1" x14ac:dyDescent="0.25">
      <c r="A386" s="56"/>
      <c r="B386" s="56"/>
      <c r="C386" s="56"/>
    </row>
    <row r="387" spans="1:3" ht="15" customHeight="1" x14ac:dyDescent="0.25">
      <c r="A387" s="56"/>
      <c r="B387" s="56"/>
      <c r="C387" s="56"/>
    </row>
    <row r="388" spans="1:3" ht="15" customHeight="1" x14ac:dyDescent="0.25">
      <c r="A388" s="56"/>
      <c r="B388" s="56"/>
      <c r="C388" s="56"/>
    </row>
    <row r="389" spans="1:3" ht="15" customHeight="1" x14ac:dyDescent="0.25">
      <c r="A389" s="56"/>
      <c r="B389" s="56"/>
      <c r="C389" s="56"/>
    </row>
    <row r="390" spans="1:3" ht="15" customHeight="1" x14ac:dyDescent="0.25">
      <c r="A390" s="56"/>
      <c r="B390" s="56"/>
      <c r="C390" s="56"/>
    </row>
    <row r="391" spans="1:3" ht="15" customHeight="1" x14ac:dyDescent="0.25">
      <c r="A391" s="56"/>
      <c r="B391" s="56"/>
      <c r="C391" s="56"/>
    </row>
    <row r="392" spans="1:3" ht="15" customHeight="1" x14ac:dyDescent="0.25">
      <c r="A392" s="56"/>
      <c r="B392" s="56"/>
      <c r="C392" s="56"/>
    </row>
    <row r="393" spans="1:3" ht="15" customHeight="1" x14ac:dyDescent="0.25">
      <c r="A393" s="56"/>
      <c r="B393" s="56"/>
      <c r="C393" s="56"/>
    </row>
    <row r="394" spans="1:3" ht="15" customHeight="1" x14ac:dyDescent="0.25">
      <c r="A394" s="56"/>
      <c r="B394" s="56"/>
      <c r="C394" s="56"/>
    </row>
    <row r="395" spans="1:3" ht="15" customHeight="1" x14ac:dyDescent="0.25">
      <c r="A395" s="56"/>
      <c r="B395" s="56"/>
      <c r="C395" s="56"/>
    </row>
    <row r="396" spans="1:3" ht="15" customHeight="1" x14ac:dyDescent="0.25">
      <c r="A396" s="56"/>
      <c r="B396" s="56"/>
      <c r="C396" s="56"/>
    </row>
    <row r="397" spans="1:3" ht="15" customHeight="1" x14ac:dyDescent="0.25">
      <c r="A397" s="56"/>
      <c r="B397" s="56"/>
      <c r="C397" s="56"/>
    </row>
    <row r="398" spans="1:3" ht="15" customHeight="1" x14ac:dyDescent="0.25">
      <c r="A398" s="56"/>
      <c r="B398" s="56"/>
      <c r="C398" s="56"/>
    </row>
    <row r="399" spans="1:3" ht="15" customHeight="1" x14ac:dyDescent="0.25">
      <c r="A399" s="56"/>
      <c r="B399" s="56"/>
      <c r="C399" s="56"/>
    </row>
    <row r="400" spans="1:3" ht="15" customHeight="1" x14ac:dyDescent="0.25">
      <c r="A400" s="56"/>
      <c r="B400" s="56"/>
      <c r="C400" s="56"/>
    </row>
    <row r="401" spans="1:3" ht="15" customHeight="1" x14ac:dyDescent="0.25">
      <c r="A401" s="56"/>
      <c r="B401" s="56"/>
      <c r="C401" s="56"/>
    </row>
    <row r="402" spans="1:3" ht="15" customHeight="1" x14ac:dyDescent="0.25">
      <c r="A402" s="56"/>
      <c r="B402" s="56"/>
      <c r="C402" s="56"/>
    </row>
    <row r="403" spans="1:3" ht="15" customHeight="1" x14ac:dyDescent="0.25">
      <c r="A403" s="56"/>
      <c r="B403" s="56"/>
      <c r="C403" s="56"/>
    </row>
    <row r="404" spans="1:3" ht="15" customHeight="1" x14ac:dyDescent="0.25">
      <c r="A404" s="56"/>
      <c r="B404" s="56"/>
      <c r="C404" s="56"/>
    </row>
    <row r="405" spans="1:3" ht="15" customHeight="1" x14ac:dyDescent="0.25">
      <c r="A405" s="56"/>
      <c r="B405" s="56"/>
      <c r="C405" s="56"/>
    </row>
    <row r="406" spans="1:3" ht="15" customHeight="1" x14ac:dyDescent="0.25">
      <c r="A406" s="56"/>
      <c r="B406" s="56"/>
      <c r="C406" s="56"/>
    </row>
    <row r="407" spans="1:3" ht="15" customHeight="1" x14ac:dyDescent="0.25">
      <c r="A407" s="56"/>
      <c r="B407" s="56"/>
      <c r="C407" s="56"/>
    </row>
    <row r="408" spans="1:3" ht="15" customHeight="1" x14ac:dyDescent="0.25">
      <c r="A408" s="56"/>
      <c r="B408" s="56"/>
      <c r="C408" s="56"/>
    </row>
    <row r="409" spans="1:3" ht="15" customHeight="1" x14ac:dyDescent="0.25">
      <c r="A409" s="56"/>
      <c r="B409" s="56"/>
      <c r="C409" s="56"/>
    </row>
    <row r="410" spans="1:3" ht="15" customHeight="1" x14ac:dyDescent="0.25">
      <c r="A410" s="56"/>
      <c r="B410" s="56"/>
      <c r="C410" s="56"/>
    </row>
    <row r="411" spans="1:3" ht="15" customHeight="1" x14ac:dyDescent="0.25">
      <c r="A411" s="56"/>
      <c r="B411" s="56"/>
      <c r="C411" s="56"/>
    </row>
    <row r="412" spans="1:3" ht="15" customHeight="1" x14ac:dyDescent="0.25">
      <c r="A412" s="56"/>
      <c r="B412" s="56"/>
      <c r="C412" s="56"/>
    </row>
    <row r="413" spans="1:3" ht="15" customHeight="1" x14ac:dyDescent="0.25">
      <c r="A413" s="56"/>
      <c r="B413" s="56"/>
      <c r="C413" s="56"/>
    </row>
    <row r="414" spans="1:3" ht="15" customHeight="1" x14ac:dyDescent="0.25">
      <c r="A414" s="56"/>
      <c r="B414" s="56"/>
      <c r="C414" s="56"/>
    </row>
    <row r="415" spans="1:3" ht="15" customHeight="1" x14ac:dyDescent="0.25">
      <c r="A415" s="56"/>
      <c r="B415" s="56"/>
      <c r="C415" s="56"/>
    </row>
    <row r="416" spans="1:3" ht="15" customHeight="1" x14ac:dyDescent="0.25">
      <c r="A416" s="56"/>
      <c r="B416" s="56"/>
      <c r="C416" s="56"/>
    </row>
    <row r="417" spans="1:3" ht="15" customHeight="1" x14ac:dyDescent="0.25">
      <c r="A417" s="56"/>
      <c r="B417" s="56"/>
      <c r="C417" s="56"/>
    </row>
    <row r="418" spans="1:3" ht="15" customHeight="1" x14ac:dyDescent="0.25">
      <c r="A418" s="56"/>
      <c r="B418" s="56"/>
      <c r="C418" s="56"/>
    </row>
    <row r="419" spans="1:3" ht="15" customHeight="1" x14ac:dyDescent="0.25">
      <c r="A419" s="56"/>
      <c r="B419" s="56"/>
      <c r="C419" s="56"/>
    </row>
    <row r="420" spans="1:3" ht="15" customHeight="1" x14ac:dyDescent="0.25">
      <c r="A420" s="56"/>
      <c r="B420" s="56"/>
      <c r="C420" s="56"/>
    </row>
    <row r="421" spans="1:3" ht="15" customHeight="1" x14ac:dyDescent="0.25">
      <c r="A421" s="56"/>
      <c r="B421" s="56"/>
      <c r="C421" s="56"/>
    </row>
    <row r="422" spans="1:3" ht="15" customHeight="1" x14ac:dyDescent="0.25">
      <c r="A422" s="56"/>
      <c r="B422" s="56"/>
      <c r="C422" s="56"/>
    </row>
    <row r="423" spans="1:3" ht="15" customHeight="1" x14ac:dyDescent="0.25">
      <c r="A423" s="56"/>
      <c r="B423" s="56"/>
      <c r="C423" s="56"/>
    </row>
    <row r="424" spans="1:3" ht="15" customHeight="1" x14ac:dyDescent="0.25">
      <c r="A424" s="56"/>
      <c r="B424" s="56"/>
      <c r="C424" s="56"/>
    </row>
    <row r="425" spans="1:3" ht="15" customHeight="1" x14ac:dyDescent="0.25">
      <c r="A425" s="56"/>
      <c r="B425" s="56"/>
      <c r="C425" s="56"/>
    </row>
    <row r="426" spans="1:3" ht="15" customHeight="1" x14ac:dyDescent="0.25">
      <c r="A426" s="56"/>
      <c r="B426" s="56"/>
      <c r="C426" s="56"/>
    </row>
    <row r="427" spans="1:3" ht="15" customHeight="1" x14ac:dyDescent="0.25">
      <c r="A427" s="56"/>
      <c r="B427" s="56"/>
      <c r="C427" s="56"/>
    </row>
    <row r="428" spans="1:3" ht="15" customHeight="1" x14ac:dyDescent="0.25">
      <c r="A428" s="56"/>
      <c r="B428" s="56"/>
      <c r="C428" s="56"/>
    </row>
    <row r="429" spans="1:3" ht="15" customHeight="1" x14ac:dyDescent="0.25">
      <c r="A429" s="56"/>
      <c r="B429" s="56"/>
      <c r="C429" s="56"/>
    </row>
    <row r="430" spans="1:3" ht="15" customHeight="1" x14ac:dyDescent="0.25">
      <c r="A430" s="56"/>
      <c r="B430" s="56"/>
      <c r="C430" s="56"/>
    </row>
    <row r="431" spans="1:3" ht="15" customHeight="1" x14ac:dyDescent="0.25">
      <c r="A431" s="56"/>
      <c r="B431" s="56"/>
      <c r="C431" s="56"/>
    </row>
    <row r="432" spans="1:3" ht="15" customHeight="1" x14ac:dyDescent="0.25">
      <c r="A432" s="56"/>
      <c r="B432" s="56"/>
      <c r="C432" s="56"/>
    </row>
    <row r="433" spans="1:3" ht="15" customHeight="1" x14ac:dyDescent="0.25">
      <c r="A433" s="56"/>
      <c r="B433" s="56"/>
      <c r="C433" s="56"/>
    </row>
    <row r="434" spans="1:3" ht="15" customHeight="1" x14ac:dyDescent="0.25">
      <c r="A434" s="56"/>
      <c r="B434" s="56"/>
      <c r="C434" s="56"/>
    </row>
    <row r="435" spans="1:3" ht="15" customHeight="1" x14ac:dyDescent="0.25">
      <c r="A435" s="56"/>
      <c r="B435" s="56"/>
      <c r="C435" s="56"/>
    </row>
    <row r="436" spans="1:3" ht="15" customHeight="1" x14ac:dyDescent="0.25">
      <c r="A436" s="56"/>
      <c r="B436" s="56"/>
      <c r="C436" s="56"/>
    </row>
    <row r="437" spans="1:3" ht="15" customHeight="1" x14ac:dyDescent="0.25">
      <c r="A437" s="56"/>
      <c r="B437" s="56"/>
      <c r="C437" s="56"/>
    </row>
    <row r="438" spans="1:3" ht="15" customHeight="1" x14ac:dyDescent="0.25">
      <c r="A438" s="56"/>
      <c r="B438" s="56"/>
      <c r="C438" s="56"/>
    </row>
    <row r="439" spans="1:3" ht="15" customHeight="1" x14ac:dyDescent="0.25">
      <c r="A439" s="56"/>
      <c r="B439" s="56"/>
      <c r="C439" s="56"/>
    </row>
    <row r="440" spans="1:3" ht="15" customHeight="1" x14ac:dyDescent="0.25">
      <c r="A440" s="56"/>
      <c r="B440" s="56"/>
      <c r="C440" s="56"/>
    </row>
    <row r="441" spans="1:3" ht="15" customHeight="1" x14ac:dyDescent="0.25">
      <c r="A441" s="56"/>
      <c r="B441" s="56"/>
      <c r="C441" s="56"/>
    </row>
    <row r="442" spans="1:3" ht="15" customHeight="1" x14ac:dyDescent="0.25">
      <c r="A442" s="56"/>
      <c r="B442" s="56"/>
      <c r="C442" s="56"/>
    </row>
    <row r="443" spans="1:3" ht="15" customHeight="1" x14ac:dyDescent="0.25">
      <c r="A443" s="56"/>
      <c r="B443" s="56"/>
      <c r="C443" s="56"/>
    </row>
    <row r="444" spans="1:3" ht="15" customHeight="1" x14ac:dyDescent="0.25">
      <c r="A444" s="56"/>
      <c r="B444" s="56"/>
      <c r="C444" s="56"/>
    </row>
    <row r="445" spans="1:3" ht="15" customHeight="1" x14ac:dyDescent="0.25">
      <c r="A445" s="56"/>
      <c r="B445" s="56"/>
      <c r="C445" s="56"/>
    </row>
    <row r="446" spans="1:3" ht="15" customHeight="1" x14ac:dyDescent="0.25">
      <c r="A446" s="56"/>
      <c r="B446" s="56"/>
      <c r="C446" s="56"/>
    </row>
    <row r="447" spans="1:3" ht="15" customHeight="1" x14ac:dyDescent="0.25">
      <c r="A447" s="56"/>
      <c r="B447" s="56"/>
      <c r="C447" s="56"/>
    </row>
    <row r="448" spans="1:3" ht="15" customHeight="1" x14ac:dyDescent="0.25">
      <c r="A448" s="56"/>
      <c r="B448" s="56"/>
      <c r="C448" s="56"/>
    </row>
    <row r="449" spans="1:3" ht="15" customHeight="1" x14ac:dyDescent="0.25">
      <c r="A449" s="56"/>
      <c r="B449" s="56"/>
      <c r="C449" s="56"/>
    </row>
    <row r="450" spans="1:3" ht="15" customHeight="1" x14ac:dyDescent="0.25">
      <c r="A450" s="56"/>
      <c r="B450" s="56"/>
      <c r="C450" s="56"/>
    </row>
    <row r="451" spans="1:3" ht="15" customHeight="1" x14ac:dyDescent="0.25">
      <c r="A451" s="56"/>
      <c r="B451" s="56"/>
      <c r="C451" s="56"/>
    </row>
    <row r="452" spans="1:3" ht="15" customHeight="1" x14ac:dyDescent="0.25">
      <c r="A452" s="56"/>
      <c r="B452" s="56"/>
      <c r="C452" s="56"/>
    </row>
    <row r="453" spans="1:3" ht="15" customHeight="1" x14ac:dyDescent="0.25">
      <c r="A453" s="56"/>
      <c r="B453" s="56"/>
      <c r="C453" s="56"/>
    </row>
    <row r="454" spans="1:3" ht="15" customHeight="1" x14ac:dyDescent="0.25">
      <c r="A454" s="56"/>
      <c r="B454" s="56"/>
      <c r="C454" s="56"/>
    </row>
    <row r="455" spans="1:3" ht="15" customHeight="1" x14ac:dyDescent="0.25">
      <c r="A455" s="56"/>
      <c r="B455" s="56"/>
      <c r="C455" s="56"/>
    </row>
    <row r="456" spans="1:3" ht="15" customHeight="1" x14ac:dyDescent="0.25">
      <c r="A456" s="56"/>
      <c r="B456" s="56"/>
      <c r="C456" s="56"/>
    </row>
    <row r="457" spans="1:3" ht="15" customHeight="1" x14ac:dyDescent="0.25">
      <c r="A457" s="56"/>
      <c r="B457" s="56"/>
      <c r="C457" s="56"/>
    </row>
    <row r="458" spans="1:3" ht="15" customHeight="1" x14ac:dyDescent="0.25">
      <c r="A458" s="56"/>
      <c r="B458" s="56"/>
      <c r="C458" s="56"/>
    </row>
    <row r="459" spans="1:3" ht="15" customHeight="1" x14ac:dyDescent="0.25">
      <c r="A459" s="56"/>
      <c r="B459" s="56"/>
      <c r="C459" s="56"/>
    </row>
    <row r="460" spans="1:3" ht="15" customHeight="1" x14ac:dyDescent="0.25">
      <c r="A460" s="56"/>
      <c r="B460" s="56"/>
      <c r="C460" s="56"/>
    </row>
    <row r="461" spans="1:3" ht="15" customHeight="1" x14ac:dyDescent="0.25">
      <c r="A461" s="56"/>
      <c r="B461" s="56"/>
      <c r="C461" s="56"/>
    </row>
    <row r="462" spans="1:3" ht="15" customHeight="1" x14ac:dyDescent="0.25">
      <c r="A462" s="56"/>
      <c r="B462" s="56"/>
      <c r="C462" s="56"/>
    </row>
    <row r="463" spans="1:3" ht="15" customHeight="1" x14ac:dyDescent="0.25">
      <c r="A463" s="56"/>
      <c r="B463" s="56"/>
      <c r="C463" s="56"/>
    </row>
    <row r="464" spans="1:3" ht="15" customHeight="1" x14ac:dyDescent="0.25">
      <c r="A464" s="56"/>
      <c r="B464" s="56"/>
      <c r="C464" s="56"/>
    </row>
  </sheetData>
  <autoFilter ref="E1:E465" xr:uid="{00000000-0009-0000-0000-000005000000}"/>
  <mergeCells count="11">
    <mergeCell ref="A4:L4"/>
    <mergeCell ref="G2:G3"/>
    <mergeCell ref="H2:L2"/>
    <mergeCell ref="M2:AC2"/>
    <mergeCell ref="A1:M1"/>
    <mergeCell ref="A2:A3"/>
    <mergeCell ref="B2:B3"/>
    <mergeCell ref="C2:C3"/>
    <mergeCell ref="D2:D3"/>
    <mergeCell ref="E2:E3"/>
    <mergeCell ref="F2:F3"/>
  </mergeCells>
  <conditionalFormatting sqref="E5:E263">
    <cfRule type="expression" dxfId="11" priority="1">
      <formula>#REF!="OTHER"</formula>
    </cfRule>
    <cfRule type="expression" dxfId="10" priority="2">
      <formula>#REF!="BOF"</formula>
    </cfRule>
    <cfRule type="expression" dxfId="9" priority="3">
      <formula>#REF!="SWS"</formula>
    </cfRule>
    <cfRule type="expression" dxfId="8" priority="4">
      <formula>#REF!="BOD"</formula>
    </cfRule>
  </conditionalFormatting>
  <dataValidations count="2">
    <dataValidation type="list" allowBlank="1" showInputMessage="1" showErrorMessage="1" sqref="C5:C263" xr:uid="{00000000-0002-0000-0500-000000000000}">
      <formula1>"BOD, BOF, SWS,IDNG, 1AX, 1GX, 1PX, 1VX, 1WX, 2CX, 6BX, ADX, ELX, OWX, MHQ, DFR, LPE, SRL"</formula1>
    </dataValidation>
    <dataValidation type="list" allowBlank="1" showInputMessage="1" showErrorMessage="1" sqref="G5:G263" xr:uid="{00000000-0002-0000-0500-000001000000}">
      <formula1>"H, L, A, FA, RFD, O"</formula1>
    </dataValidation>
  </dataValidations>
  <pageMargins left="0.25" right="0.25" top="0.75" bottom="0.75" header="0.3" footer="0.3"/>
  <pageSetup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F465"/>
  <sheetViews>
    <sheetView topLeftCell="A11" zoomScale="110" zoomScaleNormal="110" workbookViewId="0">
      <selection activeCell="A37" sqref="A37"/>
    </sheetView>
  </sheetViews>
  <sheetFormatPr defaultColWidth="8.5703125" defaultRowHeight="15" customHeight="1" x14ac:dyDescent="0.25"/>
  <cols>
    <col min="1" max="3" width="7.7109375" style="49" customWidth="1"/>
    <col min="4" max="4" width="8.42578125" style="50" customWidth="1"/>
    <col min="5" max="5" width="35.42578125" style="49" customWidth="1"/>
    <col min="6" max="6" width="12.5703125" style="49" customWidth="1"/>
    <col min="7" max="16384" width="8.5703125" style="2"/>
  </cols>
  <sheetData>
    <row r="1" spans="1:6" ht="15" customHeight="1" x14ac:dyDescent="0.25">
      <c r="A1" s="424" t="s">
        <v>209</v>
      </c>
      <c r="B1" s="424"/>
      <c r="C1" s="424"/>
      <c r="D1" s="424"/>
      <c r="E1" s="424"/>
      <c r="F1" s="424"/>
    </row>
    <row r="2" spans="1:6" ht="16.5" customHeight="1" x14ac:dyDescent="0.25">
      <c r="A2" s="344" t="s">
        <v>0</v>
      </c>
      <c r="B2" s="344" t="s">
        <v>8</v>
      </c>
      <c r="C2" s="337" t="s">
        <v>86</v>
      </c>
      <c r="D2" s="353" t="s">
        <v>1</v>
      </c>
      <c r="E2" s="344" t="s">
        <v>6</v>
      </c>
      <c r="F2" s="344" t="s">
        <v>9</v>
      </c>
    </row>
    <row r="3" spans="1:6" s="3" customFormat="1" ht="35.25" customHeight="1" x14ac:dyDescent="0.25">
      <c r="A3" s="345"/>
      <c r="B3" s="345"/>
      <c r="C3" s="338"/>
      <c r="D3" s="354"/>
      <c r="E3" s="345"/>
      <c r="F3" s="344"/>
    </row>
    <row r="4" spans="1:6" s="3" customFormat="1" ht="15" customHeight="1" x14ac:dyDescent="0.25">
      <c r="A4" s="196"/>
      <c r="B4" s="195"/>
      <c r="C4" s="195"/>
      <c r="D4" s="195"/>
      <c r="E4" s="195"/>
      <c r="F4" s="195"/>
    </row>
    <row r="5" spans="1:6" ht="15" customHeight="1" x14ac:dyDescent="0.25">
      <c r="A5" s="46">
        <v>45726</v>
      </c>
      <c r="B5" s="46"/>
      <c r="C5" s="46" t="s">
        <v>25</v>
      </c>
      <c r="D5" s="47">
        <v>83</v>
      </c>
      <c r="E5" s="21" t="s">
        <v>266</v>
      </c>
      <c r="F5" s="21" t="s">
        <v>267</v>
      </c>
    </row>
    <row r="6" spans="1:6" ht="15" customHeight="1" x14ac:dyDescent="0.25">
      <c r="A6" s="46">
        <v>45819</v>
      </c>
      <c r="B6" s="46" t="s">
        <v>560</v>
      </c>
      <c r="C6" s="46" t="s">
        <v>25</v>
      </c>
      <c r="D6" s="47">
        <v>430</v>
      </c>
      <c r="E6" s="21" t="s">
        <v>561</v>
      </c>
      <c r="F6" s="21" t="s">
        <v>562</v>
      </c>
    </row>
    <row r="7" spans="1:6" ht="15" customHeight="1" x14ac:dyDescent="0.25">
      <c r="A7" s="46">
        <v>45827</v>
      </c>
      <c r="B7" s="46" t="s">
        <v>669</v>
      </c>
      <c r="C7" s="46" t="s">
        <v>28</v>
      </c>
      <c r="D7" s="47">
        <v>484</v>
      </c>
      <c r="E7" s="21" t="s">
        <v>670</v>
      </c>
      <c r="F7" s="21" t="s">
        <v>668</v>
      </c>
    </row>
    <row r="8" spans="1:6" ht="15" customHeight="1" x14ac:dyDescent="0.25">
      <c r="A8" s="46">
        <v>45834</v>
      </c>
      <c r="B8" s="46" t="s">
        <v>799</v>
      </c>
      <c r="C8" s="46" t="s">
        <v>25</v>
      </c>
      <c r="D8" s="47">
        <v>487</v>
      </c>
      <c r="E8" s="21" t="s">
        <v>798</v>
      </c>
      <c r="F8" s="21" t="s">
        <v>796</v>
      </c>
    </row>
    <row r="9" spans="1:6" ht="15" customHeight="1" x14ac:dyDescent="0.25">
      <c r="A9" s="46">
        <v>45834</v>
      </c>
      <c r="B9" s="46" t="s">
        <v>416</v>
      </c>
      <c r="C9" s="46" t="s">
        <v>26</v>
      </c>
      <c r="D9" s="47">
        <v>618</v>
      </c>
      <c r="E9" s="21" t="s">
        <v>797</v>
      </c>
      <c r="F9" s="21" t="s">
        <v>796</v>
      </c>
    </row>
    <row r="10" spans="1:6" ht="15" customHeight="1" x14ac:dyDescent="0.25">
      <c r="A10" s="46">
        <v>45839</v>
      </c>
      <c r="B10" s="46" t="s">
        <v>869</v>
      </c>
      <c r="C10" s="46" t="s">
        <v>25</v>
      </c>
      <c r="D10" s="47">
        <v>651</v>
      </c>
      <c r="E10" s="21" t="s">
        <v>870</v>
      </c>
      <c r="F10" s="21" t="s">
        <v>871</v>
      </c>
    </row>
    <row r="11" spans="1:6" ht="15" customHeight="1" x14ac:dyDescent="0.25">
      <c r="A11" s="46">
        <v>45840</v>
      </c>
      <c r="B11" s="46" t="s">
        <v>873</v>
      </c>
      <c r="C11" s="46" t="s">
        <v>25</v>
      </c>
      <c r="D11" s="47">
        <v>659</v>
      </c>
      <c r="E11" s="21" t="s">
        <v>872</v>
      </c>
      <c r="F11" s="21" t="s">
        <v>874</v>
      </c>
    </row>
    <row r="12" spans="1:6" ht="15" customHeight="1" x14ac:dyDescent="0.25">
      <c r="A12" s="46">
        <v>45840</v>
      </c>
      <c r="B12" s="46" t="s">
        <v>875</v>
      </c>
      <c r="C12" s="46" t="s">
        <v>25</v>
      </c>
      <c r="D12" s="47">
        <v>660</v>
      </c>
      <c r="E12" s="21" t="s">
        <v>876</v>
      </c>
      <c r="F12" s="21" t="s">
        <v>877</v>
      </c>
    </row>
    <row r="13" spans="1:6" ht="15" customHeight="1" x14ac:dyDescent="0.25">
      <c r="A13" s="46">
        <v>45847</v>
      </c>
      <c r="B13" s="46" t="s">
        <v>977</v>
      </c>
      <c r="C13" s="46" t="s">
        <v>25</v>
      </c>
      <c r="D13" s="47">
        <v>745</v>
      </c>
      <c r="E13" s="21" t="s">
        <v>979</v>
      </c>
      <c r="F13" s="21" t="s">
        <v>981</v>
      </c>
    </row>
    <row r="14" spans="1:6" ht="15" customHeight="1" x14ac:dyDescent="0.25">
      <c r="A14" s="46">
        <v>45847</v>
      </c>
      <c r="B14" s="46" t="s">
        <v>978</v>
      </c>
      <c r="C14" s="46" t="s">
        <v>25</v>
      </c>
      <c r="D14" s="47">
        <v>746</v>
      </c>
      <c r="E14" s="21" t="s">
        <v>980</v>
      </c>
      <c r="F14" s="21" t="s">
        <v>982</v>
      </c>
    </row>
    <row r="15" spans="1:6" ht="15" customHeight="1" x14ac:dyDescent="0.25">
      <c r="A15" s="46">
        <v>45869</v>
      </c>
      <c r="B15" s="46" t="s">
        <v>1271</v>
      </c>
      <c r="C15" s="46" t="s">
        <v>26</v>
      </c>
      <c r="D15" s="47">
        <v>886</v>
      </c>
      <c r="E15" s="21" t="s">
        <v>1267</v>
      </c>
      <c r="F15" s="21" t="s">
        <v>1272</v>
      </c>
    </row>
    <row r="16" spans="1:6" ht="15" customHeight="1" x14ac:dyDescent="0.25">
      <c r="A16" s="46">
        <v>45869</v>
      </c>
      <c r="B16" s="46" t="s">
        <v>1353</v>
      </c>
      <c r="C16" s="46" t="s">
        <v>25</v>
      </c>
      <c r="D16" s="47">
        <v>896</v>
      </c>
      <c r="E16" s="21" t="s">
        <v>1354</v>
      </c>
      <c r="F16" s="21" t="s">
        <v>1355</v>
      </c>
    </row>
    <row r="17" spans="1:6" ht="15" customHeight="1" x14ac:dyDescent="0.25">
      <c r="A17" s="46">
        <v>45871</v>
      </c>
      <c r="B17" s="46" t="s">
        <v>1411</v>
      </c>
      <c r="C17" s="46" t="s">
        <v>28</v>
      </c>
      <c r="D17" s="47">
        <v>914</v>
      </c>
      <c r="E17" s="21" t="s">
        <v>1406</v>
      </c>
      <c r="F17" s="21" t="s">
        <v>1412</v>
      </c>
    </row>
    <row r="18" spans="1:6" ht="15" customHeight="1" x14ac:dyDescent="0.25">
      <c r="A18" s="46">
        <v>45872</v>
      </c>
      <c r="B18" s="46" t="s">
        <v>416</v>
      </c>
      <c r="C18" s="46" t="s">
        <v>26</v>
      </c>
      <c r="D18" s="47">
        <v>919</v>
      </c>
      <c r="E18" s="21" t="s">
        <v>1407</v>
      </c>
      <c r="F18" s="21" t="s">
        <v>1413</v>
      </c>
    </row>
    <row r="19" spans="1:6" ht="15" customHeight="1" x14ac:dyDescent="0.25">
      <c r="A19" s="46">
        <v>45872</v>
      </c>
      <c r="B19" s="46" t="s">
        <v>416</v>
      </c>
      <c r="C19" s="46" t="s">
        <v>26</v>
      </c>
      <c r="D19" s="47">
        <v>922</v>
      </c>
      <c r="E19" s="216" t="s">
        <v>1408</v>
      </c>
      <c r="F19" s="21" t="s">
        <v>1414</v>
      </c>
    </row>
    <row r="20" spans="1:6" ht="15" customHeight="1" x14ac:dyDescent="0.25">
      <c r="A20" s="46">
        <v>45869</v>
      </c>
      <c r="B20" s="46" t="s">
        <v>416</v>
      </c>
      <c r="C20" s="46" t="s">
        <v>26</v>
      </c>
      <c r="D20" s="47">
        <v>889</v>
      </c>
      <c r="E20" s="21" t="s">
        <v>1409</v>
      </c>
      <c r="F20" s="21" t="s">
        <v>1300</v>
      </c>
    </row>
    <row r="21" spans="1:6" ht="15" customHeight="1" x14ac:dyDescent="0.25">
      <c r="A21" s="46">
        <v>45870</v>
      </c>
      <c r="B21" s="46" t="s">
        <v>416</v>
      </c>
      <c r="C21" s="46" t="s">
        <v>26</v>
      </c>
      <c r="D21" s="47">
        <v>899</v>
      </c>
      <c r="E21" s="21" t="s">
        <v>1410</v>
      </c>
      <c r="F21" s="21" t="s">
        <v>1310</v>
      </c>
    </row>
    <row r="22" spans="1:6" ht="15" customHeight="1" x14ac:dyDescent="0.25">
      <c r="A22" s="46">
        <v>45874</v>
      </c>
      <c r="B22" s="46" t="s">
        <v>416</v>
      </c>
      <c r="C22" s="46" t="s">
        <v>26</v>
      </c>
      <c r="D22" s="47">
        <v>938</v>
      </c>
      <c r="E22" s="21" t="s">
        <v>1440</v>
      </c>
      <c r="F22" s="21" t="s">
        <v>1441</v>
      </c>
    </row>
    <row r="23" spans="1:6" ht="15" customHeight="1" x14ac:dyDescent="0.25">
      <c r="A23" s="46">
        <v>45875</v>
      </c>
      <c r="B23" s="46" t="s">
        <v>416</v>
      </c>
      <c r="C23" s="46" t="s">
        <v>26</v>
      </c>
      <c r="D23" s="47">
        <v>962</v>
      </c>
      <c r="E23" s="21" t="s">
        <v>1608</v>
      </c>
      <c r="F23" s="21" t="s">
        <v>1272</v>
      </c>
    </row>
    <row r="24" spans="1:6" ht="15" customHeight="1" x14ac:dyDescent="0.25">
      <c r="A24" s="46">
        <v>45880</v>
      </c>
      <c r="B24" s="46" t="s">
        <v>1589</v>
      </c>
      <c r="C24" s="46" t="s">
        <v>25</v>
      </c>
      <c r="D24" s="47">
        <v>983</v>
      </c>
      <c r="E24" s="21" t="s">
        <v>1609</v>
      </c>
      <c r="F24" s="21" t="s">
        <v>1590</v>
      </c>
    </row>
    <row r="25" spans="1:6" ht="15" customHeight="1" x14ac:dyDescent="0.25">
      <c r="A25" s="46">
        <v>45882</v>
      </c>
      <c r="B25" s="21" t="s">
        <v>416</v>
      </c>
      <c r="C25" s="21" t="s">
        <v>26</v>
      </c>
      <c r="D25" s="21">
        <v>994</v>
      </c>
      <c r="E25" s="21" t="s">
        <v>1584</v>
      </c>
      <c r="F25" s="21" t="s">
        <v>1585</v>
      </c>
    </row>
    <row r="26" spans="1:6" ht="15" customHeight="1" x14ac:dyDescent="0.25">
      <c r="A26" s="46">
        <v>45885</v>
      </c>
      <c r="B26" s="46" t="s">
        <v>1586</v>
      </c>
      <c r="C26" s="46" t="s">
        <v>25</v>
      </c>
      <c r="D26" s="47">
        <v>1022</v>
      </c>
      <c r="E26" s="21" t="s">
        <v>1587</v>
      </c>
      <c r="F26" s="21" t="s">
        <v>1588</v>
      </c>
    </row>
    <row r="27" spans="1:6" ht="15" customHeight="1" x14ac:dyDescent="0.25">
      <c r="A27" s="46">
        <v>45886</v>
      </c>
      <c r="B27" s="21" t="s">
        <v>1603</v>
      </c>
      <c r="C27" s="21" t="s">
        <v>25</v>
      </c>
      <c r="D27" s="21">
        <v>1026</v>
      </c>
      <c r="E27" s="21" t="s">
        <v>1604</v>
      </c>
      <c r="F27" s="21" t="s">
        <v>1605</v>
      </c>
    </row>
    <row r="28" spans="1:6" ht="15" customHeight="1" x14ac:dyDescent="0.25">
      <c r="A28" s="46">
        <v>45869</v>
      </c>
      <c r="B28" s="46" t="s">
        <v>416</v>
      </c>
      <c r="C28" s="46" t="s">
        <v>26</v>
      </c>
      <c r="D28" s="47">
        <v>887</v>
      </c>
      <c r="E28" s="21" t="s">
        <v>1606</v>
      </c>
      <c r="F28" s="36" t="s">
        <v>1607</v>
      </c>
    </row>
    <row r="29" spans="1:6" ht="15" customHeight="1" x14ac:dyDescent="0.25">
      <c r="A29" s="46">
        <v>45899</v>
      </c>
      <c r="B29" s="46" t="s">
        <v>1665</v>
      </c>
      <c r="C29" s="46" t="s">
        <v>25</v>
      </c>
      <c r="D29" s="47">
        <v>1089</v>
      </c>
      <c r="E29" s="21" t="s">
        <v>1666</v>
      </c>
      <c r="F29" s="36" t="s">
        <v>1667</v>
      </c>
    </row>
    <row r="30" spans="1:6" ht="15" customHeight="1" x14ac:dyDescent="0.25">
      <c r="A30" s="46">
        <v>45901</v>
      </c>
      <c r="B30" s="46" t="s">
        <v>416</v>
      </c>
      <c r="C30" s="46" t="s">
        <v>26</v>
      </c>
      <c r="D30" s="47">
        <v>1097</v>
      </c>
      <c r="E30" s="21" t="s">
        <v>1722</v>
      </c>
      <c r="F30" s="36" t="s">
        <v>1723</v>
      </c>
    </row>
    <row r="31" spans="1:6" ht="15" customHeight="1" x14ac:dyDescent="0.25">
      <c r="A31" s="46">
        <v>45915</v>
      </c>
      <c r="B31" s="21" t="s">
        <v>1720</v>
      </c>
      <c r="C31" s="21" t="s">
        <v>28</v>
      </c>
      <c r="D31" s="21">
        <v>1145</v>
      </c>
      <c r="E31" s="21" t="s">
        <v>1721</v>
      </c>
      <c r="F31" s="21" t="s">
        <v>1719</v>
      </c>
    </row>
    <row r="32" spans="1:6" ht="15" customHeight="1" x14ac:dyDescent="0.25">
      <c r="A32" s="46">
        <v>45921</v>
      </c>
      <c r="B32" s="46" t="s">
        <v>1915</v>
      </c>
      <c r="C32" s="46" t="s">
        <v>25</v>
      </c>
      <c r="D32" s="47">
        <v>1175</v>
      </c>
      <c r="E32" s="21" t="s">
        <v>1916</v>
      </c>
      <c r="F32" s="21" t="s">
        <v>1917</v>
      </c>
    </row>
    <row r="33" spans="1:6" ht="15" customHeight="1" x14ac:dyDescent="0.25">
      <c r="A33" s="46">
        <v>45938</v>
      </c>
      <c r="B33" s="46" t="s">
        <v>1997</v>
      </c>
      <c r="C33" s="46" t="s">
        <v>25</v>
      </c>
      <c r="D33" s="47">
        <v>1357</v>
      </c>
      <c r="E33" s="21" t="s">
        <v>1998</v>
      </c>
      <c r="F33" s="21" t="s">
        <v>1999</v>
      </c>
    </row>
    <row r="34" spans="1:6" ht="15" customHeight="1" x14ac:dyDescent="0.25">
      <c r="A34" s="46">
        <v>45942</v>
      </c>
      <c r="B34" s="46" t="s">
        <v>2007</v>
      </c>
      <c r="C34" s="46" t="s">
        <v>25</v>
      </c>
      <c r="D34" s="47">
        <v>1373</v>
      </c>
      <c r="E34" s="21" t="s">
        <v>2008</v>
      </c>
      <c r="F34" s="21" t="s">
        <v>2009</v>
      </c>
    </row>
    <row r="35" spans="1:6" ht="15" customHeight="1" x14ac:dyDescent="0.25">
      <c r="A35" s="46">
        <v>45956</v>
      </c>
      <c r="B35" s="46" t="s">
        <v>416</v>
      </c>
      <c r="C35" s="46" t="s">
        <v>26</v>
      </c>
      <c r="D35" s="47">
        <v>1420</v>
      </c>
      <c r="E35" s="21" t="s">
        <v>2092</v>
      </c>
      <c r="F35" s="21" t="s">
        <v>2093</v>
      </c>
    </row>
    <row r="36" spans="1:6" ht="13.5" customHeight="1" x14ac:dyDescent="0.25">
      <c r="A36" s="46">
        <v>45977</v>
      </c>
      <c r="B36" s="21" t="s">
        <v>2094</v>
      </c>
      <c r="C36" s="21" t="s">
        <v>25</v>
      </c>
      <c r="D36" s="21">
        <v>1512</v>
      </c>
      <c r="E36" s="21" t="s">
        <v>2095</v>
      </c>
      <c r="F36" s="21" t="s">
        <v>802</v>
      </c>
    </row>
    <row r="37" spans="1:6" ht="15" customHeight="1" x14ac:dyDescent="0.25">
      <c r="A37" s="46"/>
      <c r="B37" s="21"/>
      <c r="C37" s="21"/>
      <c r="D37" s="21"/>
      <c r="E37" s="21"/>
      <c r="F37" s="21"/>
    </row>
    <row r="38" spans="1:6" ht="15" customHeight="1" x14ac:dyDescent="0.25">
      <c r="A38" s="46"/>
      <c r="B38" s="21"/>
      <c r="C38" s="21"/>
      <c r="D38" s="21"/>
      <c r="E38" s="21"/>
      <c r="F38" s="21"/>
    </row>
    <row r="39" spans="1:6" ht="15" customHeight="1" x14ac:dyDescent="0.25">
      <c r="A39" s="46"/>
      <c r="B39" s="46"/>
      <c r="C39" s="46"/>
      <c r="D39" s="47"/>
      <c r="E39" s="21"/>
      <c r="F39" s="21"/>
    </row>
    <row r="40" spans="1:6" ht="15" customHeight="1" x14ac:dyDescent="0.25">
      <c r="A40" s="46"/>
      <c r="B40" s="21"/>
      <c r="C40" s="21"/>
      <c r="D40" s="47"/>
      <c r="E40" s="21"/>
      <c r="F40" s="21"/>
    </row>
    <row r="41" spans="1:6" ht="15" customHeight="1" x14ac:dyDescent="0.25">
      <c r="A41" s="46"/>
      <c r="B41" s="46"/>
      <c r="C41" s="46"/>
      <c r="D41" s="47"/>
      <c r="E41" s="21"/>
      <c r="F41" s="21"/>
    </row>
    <row r="42" spans="1:6" ht="15" customHeight="1" x14ac:dyDescent="0.25">
      <c r="A42" s="46"/>
      <c r="B42" s="46"/>
      <c r="C42" s="46"/>
      <c r="D42" s="47"/>
      <c r="E42" s="21"/>
      <c r="F42" s="21"/>
    </row>
    <row r="43" spans="1:6" ht="15" customHeight="1" x14ac:dyDescent="0.25">
      <c r="A43" s="46"/>
      <c r="B43" s="46"/>
      <c r="C43" s="46"/>
      <c r="D43" s="47"/>
      <c r="E43" s="21"/>
      <c r="F43" s="21"/>
    </row>
    <row r="44" spans="1:6" ht="15" customHeight="1" x14ac:dyDescent="0.25">
      <c r="A44" s="46"/>
      <c r="B44" s="46"/>
      <c r="C44" s="46"/>
      <c r="D44" s="47"/>
      <c r="E44" s="21"/>
      <c r="F44" s="21"/>
    </row>
    <row r="45" spans="1:6" ht="15" customHeight="1" x14ac:dyDescent="0.25">
      <c r="A45" s="46"/>
      <c r="B45" s="46"/>
      <c r="C45" s="46"/>
      <c r="D45" s="47"/>
      <c r="E45" s="21"/>
      <c r="F45" s="21"/>
    </row>
    <row r="46" spans="1:6" ht="15" customHeight="1" x14ac:dyDescent="0.25">
      <c r="A46" s="46"/>
      <c r="B46" s="46"/>
      <c r="C46" s="46"/>
      <c r="D46" s="47"/>
      <c r="E46" s="21"/>
      <c r="F46" s="21"/>
    </row>
    <row r="47" spans="1:6" ht="15" customHeight="1" x14ac:dyDescent="0.25">
      <c r="A47" s="46"/>
      <c r="B47" s="46"/>
      <c r="C47" s="46"/>
      <c r="D47" s="47"/>
      <c r="E47" s="21"/>
      <c r="F47" s="21"/>
    </row>
    <row r="48" spans="1:6" ht="15" customHeight="1" x14ac:dyDescent="0.25">
      <c r="A48" s="46"/>
      <c r="B48" s="46"/>
      <c r="C48" s="46"/>
      <c r="D48" s="47"/>
      <c r="E48" s="21"/>
      <c r="F48" s="21"/>
    </row>
    <row r="49" spans="1:6" ht="15" customHeight="1" x14ac:dyDescent="0.25">
      <c r="A49" s="46"/>
      <c r="B49" s="46"/>
      <c r="C49" s="46"/>
      <c r="D49" s="47"/>
      <c r="E49" s="21"/>
      <c r="F49" s="21"/>
    </row>
    <row r="50" spans="1:6" ht="15" customHeight="1" x14ac:dyDescent="0.25">
      <c r="A50" s="46"/>
      <c r="B50" s="46"/>
      <c r="C50" s="46"/>
      <c r="D50" s="47"/>
      <c r="E50" s="21"/>
      <c r="F50" s="21"/>
    </row>
    <row r="51" spans="1:6" ht="15" customHeight="1" x14ac:dyDescent="0.25">
      <c r="A51" s="46"/>
      <c r="B51" s="46"/>
      <c r="C51" s="46"/>
      <c r="D51" s="47"/>
      <c r="E51" s="21"/>
      <c r="F51" s="21"/>
    </row>
    <row r="52" spans="1:6" ht="15" customHeight="1" x14ac:dyDescent="0.25">
      <c r="A52" s="46"/>
      <c r="B52" s="21"/>
      <c r="C52" s="21"/>
      <c r="D52" s="21"/>
      <c r="E52" s="21"/>
      <c r="F52" s="21"/>
    </row>
    <row r="53" spans="1:6" ht="15" customHeight="1" x14ac:dyDescent="0.25">
      <c r="A53" s="46"/>
      <c r="B53" s="21"/>
      <c r="C53" s="21"/>
      <c r="D53" s="21"/>
      <c r="E53" s="21"/>
      <c r="F53" s="21"/>
    </row>
    <row r="54" spans="1:6" ht="15" customHeight="1" x14ac:dyDescent="0.25">
      <c r="A54" s="46"/>
      <c r="B54" s="46"/>
      <c r="C54" s="46"/>
      <c r="D54" s="47"/>
      <c r="E54" s="21"/>
      <c r="F54" s="21"/>
    </row>
    <row r="55" spans="1:6" ht="15" customHeight="1" x14ac:dyDescent="0.25">
      <c r="A55" s="46"/>
      <c r="B55" s="46"/>
      <c r="C55" s="46"/>
      <c r="D55" s="47"/>
      <c r="E55" s="21"/>
      <c r="F55" s="21"/>
    </row>
    <row r="56" spans="1:6" ht="15" customHeight="1" x14ac:dyDescent="0.25">
      <c r="A56" s="46"/>
      <c r="B56" s="46"/>
      <c r="C56" s="46"/>
      <c r="D56" s="47"/>
      <c r="E56" s="21"/>
      <c r="F56" s="21"/>
    </row>
    <row r="57" spans="1:6" ht="15" customHeight="1" x14ac:dyDescent="0.25">
      <c r="A57" s="46"/>
      <c r="B57" s="46"/>
      <c r="C57" s="46"/>
      <c r="D57" s="47"/>
      <c r="E57" s="21"/>
      <c r="F57" s="21"/>
    </row>
    <row r="58" spans="1:6" ht="15" customHeight="1" x14ac:dyDescent="0.25">
      <c r="A58" s="46"/>
      <c r="B58" s="46"/>
      <c r="C58" s="46"/>
      <c r="D58" s="47"/>
      <c r="E58" s="21"/>
      <c r="F58" s="21"/>
    </row>
    <row r="59" spans="1:6" ht="15" customHeight="1" x14ac:dyDescent="0.25">
      <c r="A59" s="46"/>
      <c r="B59" s="21"/>
      <c r="C59" s="21"/>
      <c r="D59" s="21"/>
      <c r="E59" s="21"/>
      <c r="F59" s="21"/>
    </row>
    <row r="60" spans="1:6" ht="15" customHeight="1" x14ac:dyDescent="0.25">
      <c r="A60" s="46"/>
      <c r="B60" s="46"/>
      <c r="C60" s="46"/>
      <c r="D60" s="47"/>
      <c r="E60" s="21"/>
      <c r="F60" s="21"/>
    </row>
    <row r="61" spans="1:6" ht="15" customHeight="1" x14ac:dyDescent="0.25">
      <c r="A61" s="46"/>
      <c r="B61" s="46"/>
      <c r="C61" s="46"/>
      <c r="D61" s="47"/>
      <c r="E61" s="21"/>
      <c r="F61" s="21"/>
    </row>
    <row r="62" spans="1:6" ht="15" customHeight="1" x14ac:dyDescent="0.25">
      <c r="A62" s="46"/>
      <c r="B62" s="21"/>
      <c r="C62" s="21"/>
      <c r="D62" s="21"/>
      <c r="E62" s="21"/>
      <c r="F62" s="21"/>
    </row>
    <row r="63" spans="1:6" ht="15" customHeight="1" x14ac:dyDescent="0.25">
      <c r="A63" s="46"/>
      <c r="B63" s="21"/>
      <c r="C63" s="21"/>
      <c r="D63" s="21"/>
      <c r="E63" s="21"/>
      <c r="F63" s="21"/>
    </row>
    <row r="64" spans="1:6" ht="15" customHeight="1" x14ac:dyDescent="0.25">
      <c r="A64" s="46"/>
      <c r="B64" s="21"/>
      <c r="C64" s="21"/>
      <c r="D64" s="21"/>
      <c r="E64" s="21"/>
      <c r="F64" s="21"/>
    </row>
    <row r="65" spans="1:6" ht="15" customHeight="1" x14ac:dyDescent="0.25">
      <c r="A65" s="46"/>
      <c r="B65" s="46"/>
      <c r="C65" s="46"/>
      <c r="D65" s="47"/>
      <c r="E65" s="21"/>
      <c r="F65" s="21"/>
    </row>
    <row r="66" spans="1:6" ht="15" customHeight="1" x14ac:dyDescent="0.25">
      <c r="A66" s="46"/>
      <c r="B66" s="46"/>
      <c r="C66" s="46"/>
      <c r="D66" s="47"/>
      <c r="E66" s="21"/>
      <c r="F66" s="21"/>
    </row>
    <row r="67" spans="1:6" ht="15" customHeight="1" x14ac:dyDescent="0.25">
      <c r="A67" s="46"/>
      <c r="B67" s="46"/>
      <c r="C67" s="46"/>
      <c r="D67" s="47"/>
      <c r="E67" s="21"/>
      <c r="F67" s="21"/>
    </row>
    <row r="68" spans="1:6" ht="15" customHeight="1" x14ac:dyDescent="0.25">
      <c r="A68" s="46"/>
      <c r="B68" s="46"/>
      <c r="C68" s="46"/>
      <c r="D68" s="47"/>
      <c r="E68" s="21"/>
      <c r="F68" s="21"/>
    </row>
    <row r="69" spans="1:6" ht="15" customHeight="1" x14ac:dyDescent="0.25">
      <c r="A69" s="46"/>
      <c r="B69" s="46"/>
      <c r="C69" s="46"/>
      <c r="D69" s="47"/>
      <c r="E69" s="21"/>
      <c r="F69" s="21"/>
    </row>
    <row r="70" spans="1:6" ht="15" customHeight="1" x14ac:dyDescent="0.25">
      <c r="A70" s="46"/>
      <c r="B70" s="46"/>
      <c r="C70" s="46"/>
      <c r="D70" s="47"/>
      <c r="E70" s="21"/>
      <c r="F70" s="21"/>
    </row>
    <row r="71" spans="1:6" ht="15" customHeight="1" x14ac:dyDescent="0.25">
      <c r="A71" s="46"/>
      <c r="B71" s="46"/>
      <c r="C71" s="46"/>
      <c r="D71" s="47"/>
      <c r="E71" s="21"/>
      <c r="F71" s="21"/>
    </row>
    <row r="72" spans="1:6" ht="15" customHeight="1" x14ac:dyDescent="0.25">
      <c r="A72" s="46"/>
      <c r="B72" s="46"/>
      <c r="C72" s="46"/>
      <c r="D72" s="47"/>
      <c r="E72" s="21"/>
      <c r="F72" s="21"/>
    </row>
    <row r="73" spans="1:6" ht="15" customHeight="1" x14ac:dyDescent="0.25">
      <c r="A73" s="46"/>
      <c r="B73" s="46"/>
      <c r="C73" s="46"/>
      <c r="D73" s="47"/>
      <c r="E73" s="21"/>
      <c r="F73" s="21"/>
    </row>
    <row r="74" spans="1:6" ht="15" customHeight="1" x14ac:dyDescent="0.25">
      <c r="A74" s="46"/>
      <c r="B74" s="46"/>
      <c r="C74" s="46"/>
      <c r="D74" s="47"/>
      <c r="E74" s="21"/>
      <c r="F74" s="21"/>
    </row>
    <row r="75" spans="1:6" ht="15" customHeight="1" x14ac:dyDescent="0.25">
      <c r="A75" s="46"/>
      <c r="B75" s="46"/>
      <c r="C75" s="46"/>
      <c r="D75" s="47"/>
      <c r="E75" s="21"/>
      <c r="F75" s="21"/>
    </row>
    <row r="76" spans="1:6" ht="15" customHeight="1" x14ac:dyDescent="0.25">
      <c r="A76" s="46"/>
      <c r="B76" s="46"/>
      <c r="C76" s="46"/>
      <c r="D76" s="47"/>
      <c r="E76" s="21"/>
      <c r="F76" s="21"/>
    </row>
    <row r="77" spans="1:6" ht="15" customHeight="1" x14ac:dyDescent="0.25">
      <c r="A77" s="46"/>
      <c r="B77" s="46"/>
      <c r="C77" s="46"/>
      <c r="D77" s="47"/>
      <c r="E77" s="21"/>
      <c r="F77" s="21"/>
    </row>
    <row r="78" spans="1:6" ht="15" customHeight="1" x14ac:dyDescent="0.25">
      <c r="A78" s="46"/>
      <c r="B78" s="46"/>
      <c r="C78" s="46"/>
      <c r="D78" s="47"/>
      <c r="E78" s="21"/>
      <c r="F78" s="21"/>
    </row>
    <row r="79" spans="1:6" ht="15" customHeight="1" x14ac:dyDescent="0.25">
      <c r="A79" s="46"/>
      <c r="B79" s="46"/>
      <c r="C79" s="46"/>
      <c r="D79" s="47"/>
      <c r="E79" s="21"/>
      <c r="F79" s="21"/>
    </row>
    <row r="80" spans="1:6" ht="15" customHeight="1" x14ac:dyDescent="0.25">
      <c r="A80" s="46"/>
      <c r="B80" s="46"/>
      <c r="C80" s="46"/>
      <c r="D80" s="47"/>
      <c r="E80" s="21"/>
      <c r="F80" s="21"/>
    </row>
    <row r="81" spans="1:6" ht="15" customHeight="1" x14ac:dyDescent="0.25">
      <c r="A81" s="46"/>
      <c r="B81" s="46"/>
      <c r="C81" s="46"/>
      <c r="D81" s="47"/>
      <c r="E81" s="21"/>
      <c r="F81" s="21"/>
    </row>
    <row r="82" spans="1:6" ht="15" customHeight="1" x14ac:dyDescent="0.25">
      <c r="A82" s="46"/>
      <c r="B82" s="46"/>
      <c r="C82" s="46"/>
      <c r="D82" s="47"/>
      <c r="E82" s="21"/>
      <c r="F82" s="21"/>
    </row>
    <row r="83" spans="1:6" ht="15" customHeight="1" x14ac:dyDescent="0.25">
      <c r="A83" s="46"/>
      <c r="B83" s="46"/>
      <c r="C83" s="46"/>
      <c r="D83" s="47"/>
      <c r="E83" s="21"/>
      <c r="F83" s="21"/>
    </row>
    <row r="84" spans="1:6" ht="15" customHeight="1" x14ac:dyDescent="0.25">
      <c r="A84" s="46"/>
      <c r="B84" s="46"/>
      <c r="C84" s="46"/>
      <c r="D84" s="47"/>
      <c r="E84" s="21"/>
      <c r="F84" s="21"/>
    </row>
    <row r="85" spans="1:6" ht="15" customHeight="1" x14ac:dyDescent="0.25">
      <c r="A85" s="46"/>
      <c r="B85" s="46"/>
      <c r="C85" s="46"/>
      <c r="D85" s="47"/>
      <c r="E85" s="21"/>
      <c r="F85" s="21"/>
    </row>
    <row r="86" spans="1:6" ht="15" customHeight="1" x14ac:dyDescent="0.25">
      <c r="A86" s="46"/>
      <c r="B86" s="46"/>
      <c r="C86" s="46"/>
      <c r="D86" s="47"/>
      <c r="E86" s="21"/>
      <c r="F86" s="21"/>
    </row>
    <row r="87" spans="1:6" ht="15" customHeight="1" x14ac:dyDescent="0.25">
      <c r="A87" s="46"/>
      <c r="B87" s="46"/>
      <c r="C87" s="46"/>
      <c r="D87" s="47"/>
      <c r="E87" s="21"/>
      <c r="F87" s="21"/>
    </row>
    <row r="88" spans="1:6" ht="15" customHeight="1" x14ac:dyDescent="0.25">
      <c r="A88" s="46"/>
      <c r="B88" s="46"/>
      <c r="C88" s="46"/>
      <c r="D88" s="47"/>
      <c r="E88" s="21"/>
      <c r="F88" s="36"/>
    </row>
    <row r="89" spans="1:6" ht="15" customHeight="1" x14ac:dyDescent="0.25">
      <c r="A89" s="46"/>
      <c r="B89" s="46"/>
      <c r="C89" s="46"/>
      <c r="D89" s="47"/>
      <c r="E89" s="21"/>
      <c r="F89" s="21"/>
    </row>
    <row r="90" spans="1:6" ht="15" customHeight="1" x14ac:dyDescent="0.25">
      <c r="A90" s="46"/>
      <c r="B90" s="46"/>
      <c r="C90" s="46"/>
      <c r="D90" s="47"/>
      <c r="E90" s="21"/>
      <c r="F90" s="21"/>
    </row>
    <row r="91" spans="1:6" ht="15" customHeight="1" x14ac:dyDescent="0.25">
      <c r="A91" s="46"/>
      <c r="B91" s="46"/>
      <c r="C91" s="46"/>
      <c r="D91" s="47"/>
      <c r="E91" s="21"/>
      <c r="F91" s="21"/>
    </row>
    <row r="92" spans="1:6" ht="15" customHeight="1" x14ac:dyDescent="0.25">
      <c r="A92" s="46"/>
      <c r="B92" s="46"/>
      <c r="C92" s="46"/>
      <c r="D92" s="47"/>
      <c r="E92" s="21"/>
      <c r="F92" s="21"/>
    </row>
    <row r="93" spans="1:6" ht="15" customHeight="1" x14ac:dyDescent="0.25">
      <c r="A93" s="46"/>
      <c r="B93" s="46"/>
      <c r="C93" s="46"/>
      <c r="D93" s="47"/>
      <c r="E93" s="21"/>
      <c r="F93" s="21"/>
    </row>
    <row r="94" spans="1:6" ht="15" customHeight="1" x14ac:dyDescent="0.25">
      <c r="A94" s="46"/>
      <c r="B94" s="46"/>
      <c r="C94" s="46"/>
      <c r="D94" s="47"/>
      <c r="E94" s="21"/>
      <c r="F94" s="21"/>
    </row>
    <row r="95" spans="1:6" ht="15" customHeight="1" x14ac:dyDescent="0.25">
      <c r="A95" s="46"/>
      <c r="B95" s="46"/>
      <c r="C95" s="46"/>
      <c r="D95" s="47"/>
      <c r="E95" s="21"/>
      <c r="F95" s="21"/>
    </row>
    <row r="96" spans="1:6" ht="15" customHeight="1" x14ac:dyDescent="0.25">
      <c r="A96" s="46"/>
      <c r="B96" s="46"/>
      <c r="C96" s="46"/>
      <c r="D96" s="47"/>
      <c r="E96" s="21"/>
      <c r="F96" s="21"/>
    </row>
    <row r="97" spans="1:6" ht="15" customHeight="1" x14ac:dyDescent="0.25">
      <c r="A97" s="46"/>
      <c r="B97" s="46"/>
      <c r="C97" s="46"/>
      <c r="D97" s="47"/>
      <c r="E97" s="21"/>
      <c r="F97" s="21"/>
    </row>
    <row r="98" spans="1:6" ht="15" customHeight="1" x14ac:dyDescent="0.25">
      <c r="A98" s="46"/>
      <c r="B98" s="46"/>
      <c r="C98" s="46"/>
      <c r="D98" s="47"/>
      <c r="E98" s="21"/>
      <c r="F98" s="21"/>
    </row>
    <row r="99" spans="1:6" ht="16.5" customHeight="1" x14ac:dyDescent="0.25">
      <c r="A99" s="46"/>
      <c r="B99" s="46"/>
      <c r="C99" s="46"/>
      <c r="D99" s="47"/>
      <c r="E99" s="21"/>
      <c r="F99" s="21"/>
    </row>
    <row r="100" spans="1:6" ht="16.5" customHeight="1" x14ac:dyDescent="0.25">
      <c r="A100" s="46"/>
      <c r="B100" s="46"/>
      <c r="C100" s="46"/>
      <c r="D100" s="47"/>
      <c r="E100" s="21"/>
      <c r="F100" s="21"/>
    </row>
    <row r="101" spans="1:6" ht="16.5" customHeight="1" x14ac:dyDescent="0.25">
      <c r="A101" s="46"/>
      <c r="B101" s="46"/>
      <c r="C101" s="46"/>
      <c r="D101" s="47"/>
      <c r="E101" s="21"/>
      <c r="F101" s="21"/>
    </row>
    <row r="102" spans="1:6" ht="16.5" customHeight="1" x14ac:dyDescent="0.25">
      <c r="A102" s="46"/>
      <c r="B102" s="46"/>
      <c r="C102" s="46"/>
      <c r="D102" s="47"/>
      <c r="E102" s="21"/>
      <c r="F102" s="21"/>
    </row>
    <row r="103" spans="1:6" ht="16.5" customHeight="1" x14ac:dyDescent="0.25">
      <c r="A103" s="46"/>
      <c r="B103" s="46"/>
      <c r="C103" s="46"/>
      <c r="D103" s="47"/>
      <c r="E103" s="21"/>
      <c r="F103" s="21"/>
    </row>
    <row r="104" spans="1:6" ht="16.5" customHeight="1" x14ac:dyDescent="0.25">
      <c r="A104" s="46"/>
      <c r="B104" s="46"/>
      <c r="C104" s="46"/>
      <c r="D104" s="47"/>
      <c r="E104" s="21"/>
      <c r="F104" s="21"/>
    </row>
    <row r="105" spans="1:6" ht="16.5" customHeight="1" x14ac:dyDescent="0.25">
      <c r="A105" s="46"/>
      <c r="B105" s="46"/>
      <c r="C105" s="46"/>
      <c r="D105" s="47"/>
      <c r="E105" s="21"/>
      <c r="F105" s="21"/>
    </row>
    <row r="106" spans="1:6" ht="16.5" customHeight="1" x14ac:dyDescent="0.25">
      <c r="A106" s="46"/>
      <c r="B106" s="46"/>
      <c r="C106" s="46"/>
      <c r="D106" s="47"/>
      <c r="E106" s="21"/>
      <c r="F106" s="21"/>
    </row>
    <row r="107" spans="1:6" ht="16.5" customHeight="1" x14ac:dyDescent="0.25">
      <c r="A107" s="46"/>
      <c r="B107" s="46"/>
      <c r="C107" s="46"/>
      <c r="D107" s="47"/>
      <c r="E107" s="21"/>
      <c r="F107" s="21"/>
    </row>
    <row r="108" spans="1:6" ht="15" customHeight="1" x14ac:dyDescent="0.25">
      <c r="A108" s="46"/>
      <c r="B108" s="46"/>
      <c r="C108" s="46"/>
      <c r="D108" s="47"/>
      <c r="E108" s="21"/>
      <c r="F108" s="21"/>
    </row>
    <row r="109" spans="1:6" ht="15" customHeight="1" x14ac:dyDescent="0.25">
      <c r="A109" s="46"/>
      <c r="B109" s="46"/>
      <c r="C109" s="46"/>
      <c r="D109" s="47"/>
      <c r="E109" s="21"/>
      <c r="F109" s="21"/>
    </row>
    <row r="110" spans="1:6" ht="15" customHeight="1" x14ac:dyDescent="0.25">
      <c r="A110" s="46"/>
      <c r="B110" s="46"/>
      <c r="C110" s="46"/>
      <c r="D110" s="47"/>
      <c r="E110" s="21"/>
      <c r="F110" s="21"/>
    </row>
    <row r="111" spans="1:6" ht="15" customHeight="1" x14ac:dyDescent="0.25">
      <c r="A111" s="46"/>
      <c r="B111" s="46"/>
      <c r="C111" s="46"/>
      <c r="D111" s="47"/>
      <c r="E111" s="21"/>
      <c r="F111" s="21"/>
    </row>
    <row r="112" spans="1:6" ht="15" customHeight="1" x14ac:dyDescent="0.25">
      <c r="A112" s="46"/>
      <c r="B112" s="46"/>
      <c r="C112" s="46"/>
      <c r="D112" s="47"/>
      <c r="E112" s="21"/>
      <c r="F112" s="21"/>
    </row>
    <row r="113" spans="1:6" ht="15" customHeight="1" x14ac:dyDescent="0.25">
      <c r="A113" s="46"/>
      <c r="B113" s="46"/>
      <c r="C113" s="46"/>
      <c r="D113" s="47"/>
      <c r="E113" s="21"/>
      <c r="F113" s="21"/>
    </row>
    <row r="114" spans="1:6" ht="15" customHeight="1" x14ac:dyDescent="0.25">
      <c r="A114" s="46"/>
      <c r="B114" s="46"/>
      <c r="C114" s="46"/>
      <c r="D114" s="47"/>
      <c r="E114" s="21"/>
      <c r="F114" s="21"/>
    </row>
    <row r="115" spans="1:6" ht="15" customHeight="1" x14ac:dyDescent="0.25">
      <c r="A115" s="46"/>
      <c r="B115" s="46"/>
      <c r="C115" s="46"/>
      <c r="D115" s="47"/>
      <c r="E115" s="21"/>
      <c r="F115" s="21"/>
    </row>
    <row r="116" spans="1:6" ht="15" customHeight="1" x14ac:dyDescent="0.25">
      <c r="A116" s="46"/>
      <c r="B116" s="46"/>
      <c r="C116" s="46"/>
      <c r="D116" s="47"/>
      <c r="E116" s="21"/>
      <c r="F116" s="21"/>
    </row>
    <row r="117" spans="1:6" ht="15" customHeight="1" x14ac:dyDescent="0.25">
      <c r="A117" s="46"/>
      <c r="B117" s="46"/>
      <c r="C117" s="46"/>
      <c r="D117" s="47"/>
      <c r="E117" s="21"/>
      <c r="F117" s="21"/>
    </row>
    <row r="118" spans="1:6" ht="15" customHeight="1" x14ac:dyDescent="0.25">
      <c r="A118" s="46"/>
      <c r="B118" s="46"/>
      <c r="C118" s="46"/>
      <c r="D118" s="47"/>
      <c r="E118" s="21"/>
      <c r="F118" s="21"/>
    </row>
    <row r="119" spans="1:6" ht="15" customHeight="1" x14ac:dyDescent="0.25">
      <c r="A119" s="46"/>
      <c r="B119" s="46"/>
      <c r="C119" s="46"/>
      <c r="D119" s="47"/>
      <c r="E119" s="21"/>
      <c r="F119" s="21"/>
    </row>
    <row r="120" spans="1:6" ht="15" customHeight="1" x14ac:dyDescent="0.25">
      <c r="A120" s="46"/>
      <c r="B120" s="46"/>
      <c r="C120" s="46"/>
      <c r="D120" s="47"/>
      <c r="E120" s="21"/>
      <c r="F120" s="21"/>
    </row>
    <row r="121" spans="1:6" ht="15" customHeight="1" x14ac:dyDescent="0.25">
      <c r="A121" s="46"/>
      <c r="B121" s="46"/>
      <c r="C121" s="46"/>
      <c r="D121" s="47"/>
      <c r="E121" s="21"/>
      <c r="F121" s="21"/>
    </row>
    <row r="122" spans="1:6" ht="15" customHeight="1" x14ac:dyDescent="0.25">
      <c r="A122" s="46"/>
      <c r="B122" s="46"/>
      <c r="C122" s="46"/>
      <c r="D122" s="47"/>
      <c r="E122" s="21"/>
      <c r="F122" s="21"/>
    </row>
    <row r="123" spans="1:6" ht="15.75" customHeight="1" x14ac:dyDescent="0.25">
      <c r="A123" s="46"/>
      <c r="B123" s="46"/>
      <c r="C123" s="46"/>
      <c r="D123" s="47"/>
      <c r="E123" s="21"/>
      <c r="F123" s="21"/>
    </row>
    <row r="124" spans="1:6" ht="15" customHeight="1" x14ac:dyDescent="0.25">
      <c r="A124" s="46"/>
      <c r="B124" s="46"/>
      <c r="C124" s="46"/>
      <c r="D124" s="47"/>
      <c r="E124" s="21"/>
      <c r="F124" s="21"/>
    </row>
    <row r="125" spans="1:6" ht="15" customHeight="1" x14ac:dyDescent="0.25">
      <c r="A125" s="46"/>
      <c r="B125" s="46"/>
      <c r="C125" s="46"/>
      <c r="D125" s="47"/>
      <c r="E125" s="21"/>
      <c r="F125" s="21"/>
    </row>
    <row r="126" spans="1:6" ht="15" customHeight="1" x14ac:dyDescent="0.25">
      <c r="A126" s="46"/>
      <c r="B126" s="46"/>
      <c r="C126" s="46"/>
      <c r="D126" s="47"/>
      <c r="E126" s="21"/>
      <c r="F126" s="21"/>
    </row>
    <row r="127" spans="1:6" ht="15" customHeight="1" x14ac:dyDescent="0.25">
      <c r="A127" s="46"/>
      <c r="B127" s="46"/>
      <c r="C127" s="46"/>
      <c r="D127" s="47"/>
      <c r="E127" s="21"/>
      <c r="F127" s="21"/>
    </row>
    <row r="128" spans="1:6" ht="15" customHeight="1" x14ac:dyDescent="0.25">
      <c r="A128" s="46"/>
      <c r="B128" s="46"/>
      <c r="C128" s="46"/>
      <c r="D128" s="47"/>
      <c r="E128" s="21"/>
      <c r="F128" s="21"/>
    </row>
    <row r="129" spans="1:6" ht="15" customHeight="1" x14ac:dyDescent="0.25">
      <c r="A129" s="46"/>
      <c r="B129" s="46"/>
      <c r="C129" s="46"/>
      <c r="D129" s="47"/>
      <c r="E129" s="21"/>
      <c r="F129" s="21"/>
    </row>
    <row r="130" spans="1:6" ht="15" customHeight="1" x14ac:dyDescent="0.25">
      <c r="A130" s="46"/>
      <c r="B130" s="46"/>
      <c r="C130" s="46"/>
      <c r="D130" s="47"/>
      <c r="E130" s="21"/>
      <c r="F130" s="21"/>
    </row>
    <row r="131" spans="1:6" ht="15" customHeight="1" x14ac:dyDescent="0.25">
      <c r="A131" s="46"/>
      <c r="B131" s="46"/>
      <c r="C131" s="46"/>
      <c r="D131" s="47"/>
      <c r="E131" s="21"/>
      <c r="F131" s="21"/>
    </row>
    <row r="132" spans="1:6" ht="15" customHeight="1" x14ac:dyDescent="0.25">
      <c r="A132" s="46"/>
      <c r="B132" s="46"/>
      <c r="C132" s="46"/>
      <c r="D132" s="47"/>
      <c r="E132" s="21"/>
      <c r="F132" s="21"/>
    </row>
    <row r="133" spans="1:6" ht="15" customHeight="1" x14ac:dyDescent="0.25">
      <c r="A133" s="46"/>
      <c r="B133" s="46"/>
      <c r="C133" s="46"/>
      <c r="D133" s="47"/>
      <c r="E133" s="21"/>
      <c r="F133" s="21"/>
    </row>
    <row r="134" spans="1:6" ht="15" customHeight="1" x14ac:dyDescent="0.25">
      <c r="A134" s="46"/>
      <c r="B134" s="46"/>
      <c r="C134" s="46"/>
      <c r="D134" s="47"/>
      <c r="E134" s="21"/>
      <c r="F134" s="21"/>
    </row>
    <row r="135" spans="1:6" ht="15" customHeight="1" x14ac:dyDescent="0.25">
      <c r="A135" s="46"/>
      <c r="B135" s="46"/>
      <c r="C135" s="46"/>
      <c r="D135" s="47"/>
      <c r="E135" s="21"/>
      <c r="F135" s="21"/>
    </row>
    <row r="136" spans="1:6" ht="15" customHeight="1" x14ac:dyDescent="0.25">
      <c r="A136" s="46"/>
      <c r="B136" s="46"/>
      <c r="C136" s="46"/>
      <c r="D136" s="47"/>
      <c r="E136" s="21"/>
      <c r="F136" s="21"/>
    </row>
    <row r="137" spans="1:6" ht="15" customHeight="1" x14ac:dyDescent="0.25">
      <c r="A137" s="46"/>
      <c r="B137" s="46"/>
      <c r="C137" s="46"/>
      <c r="D137" s="47"/>
      <c r="E137" s="21"/>
      <c r="F137" s="21"/>
    </row>
    <row r="138" spans="1:6" ht="15" customHeight="1" x14ac:dyDescent="0.25">
      <c r="A138" s="46"/>
      <c r="B138" s="46"/>
      <c r="C138" s="46"/>
      <c r="D138" s="47"/>
      <c r="E138" s="21"/>
      <c r="F138" s="21"/>
    </row>
    <row r="139" spans="1:6" ht="15" customHeight="1" x14ac:dyDescent="0.25">
      <c r="A139" s="46"/>
      <c r="B139" s="21"/>
      <c r="C139" s="21"/>
      <c r="D139" s="21"/>
      <c r="E139" s="21"/>
      <c r="F139" s="21"/>
    </row>
    <row r="140" spans="1:6" ht="15" customHeight="1" x14ac:dyDescent="0.25">
      <c r="A140" s="46"/>
      <c r="B140" s="46"/>
      <c r="C140" s="46"/>
      <c r="D140" s="47"/>
      <c r="E140" s="21"/>
      <c r="F140" s="21"/>
    </row>
    <row r="141" spans="1:6" ht="15" customHeight="1" x14ac:dyDescent="0.25">
      <c r="A141" s="46"/>
      <c r="B141" s="46"/>
      <c r="C141" s="46"/>
      <c r="D141" s="47"/>
      <c r="E141" s="21"/>
      <c r="F141" s="21"/>
    </row>
    <row r="142" spans="1:6" ht="15" customHeight="1" x14ac:dyDescent="0.25">
      <c r="A142" s="46"/>
      <c r="B142" s="46"/>
      <c r="C142" s="46"/>
      <c r="D142" s="47"/>
      <c r="E142" s="21"/>
      <c r="F142" s="21"/>
    </row>
    <row r="143" spans="1:6" ht="15" customHeight="1" x14ac:dyDescent="0.25">
      <c r="A143" s="68"/>
      <c r="B143" s="21"/>
      <c r="C143" s="21"/>
      <c r="D143" s="21"/>
      <c r="E143" s="21"/>
      <c r="F143" s="21"/>
    </row>
    <row r="144" spans="1:6" ht="15" customHeight="1" x14ac:dyDescent="0.25">
      <c r="A144" s="46"/>
      <c r="B144" s="46"/>
      <c r="C144" s="46"/>
      <c r="D144" s="47"/>
      <c r="E144" s="21"/>
      <c r="F144" s="21"/>
    </row>
    <row r="145" spans="1:6" ht="15" customHeight="1" x14ac:dyDescent="0.25">
      <c r="A145" s="46"/>
      <c r="B145" s="46"/>
      <c r="C145" s="46"/>
      <c r="D145" s="47"/>
      <c r="E145" s="21"/>
      <c r="F145" s="21"/>
    </row>
    <row r="146" spans="1:6" ht="15" customHeight="1" x14ac:dyDescent="0.25">
      <c r="A146" s="46"/>
      <c r="B146" s="46"/>
      <c r="C146" s="46"/>
      <c r="D146" s="47"/>
      <c r="E146" s="21"/>
      <c r="F146" s="21"/>
    </row>
    <row r="147" spans="1:6" ht="15" customHeight="1" x14ac:dyDescent="0.25">
      <c r="A147" s="46"/>
      <c r="B147" s="46"/>
      <c r="C147" s="46"/>
      <c r="D147" s="47"/>
      <c r="E147" s="21"/>
      <c r="F147" s="21"/>
    </row>
    <row r="148" spans="1:6" ht="15" customHeight="1" x14ac:dyDescent="0.25">
      <c r="A148" s="46"/>
      <c r="B148" s="46"/>
      <c r="C148" s="46"/>
      <c r="D148" s="47"/>
      <c r="E148" s="21"/>
      <c r="F148" s="21"/>
    </row>
    <row r="149" spans="1:6" ht="15" customHeight="1" x14ac:dyDescent="0.25">
      <c r="A149" s="46"/>
      <c r="B149" s="46"/>
      <c r="C149" s="46"/>
      <c r="D149" s="47"/>
      <c r="E149" s="21"/>
      <c r="F149" s="21"/>
    </row>
    <row r="150" spans="1:6" ht="15" customHeight="1" x14ac:dyDescent="0.25">
      <c r="A150" s="46"/>
      <c r="B150" s="46"/>
      <c r="C150" s="46"/>
      <c r="D150" s="47"/>
      <c r="E150" s="21"/>
      <c r="F150" s="21"/>
    </row>
    <row r="151" spans="1:6" ht="15" customHeight="1" x14ac:dyDescent="0.25">
      <c r="A151" s="46"/>
      <c r="B151" s="46"/>
      <c r="C151" s="46"/>
      <c r="D151" s="47"/>
      <c r="E151" s="21"/>
      <c r="F151" s="21"/>
    </row>
    <row r="152" spans="1:6" ht="15" customHeight="1" x14ac:dyDescent="0.25">
      <c r="A152" s="46"/>
      <c r="B152" s="46"/>
      <c r="C152" s="46"/>
      <c r="D152" s="47"/>
      <c r="E152" s="21"/>
      <c r="F152" s="21"/>
    </row>
    <row r="153" spans="1:6" ht="15" customHeight="1" x14ac:dyDescent="0.25">
      <c r="A153" s="46"/>
      <c r="B153" s="46"/>
      <c r="C153" s="46"/>
      <c r="D153" s="47"/>
      <c r="E153" s="21"/>
      <c r="F153" s="21"/>
    </row>
    <row r="154" spans="1:6" ht="15" customHeight="1" x14ac:dyDescent="0.25">
      <c r="A154" s="46"/>
      <c r="B154" s="46"/>
      <c r="C154" s="46"/>
      <c r="D154" s="47"/>
      <c r="E154" s="21"/>
      <c r="F154" s="21"/>
    </row>
    <row r="155" spans="1:6" ht="15" customHeight="1" x14ac:dyDescent="0.25">
      <c r="A155" s="46"/>
      <c r="B155" s="46"/>
      <c r="C155" s="46"/>
      <c r="D155" s="47"/>
      <c r="E155" s="21"/>
      <c r="F155" s="21"/>
    </row>
    <row r="156" spans="1:6" ht="15" customHeight="1" x14ac:dyDescent="0.25">
      <c r="A156" s="58"/>
      <c r="B156" s="58"/>
      <c r="C156" s="58"/>
      <c r="D156" s="59"/>
      <c r="E156" s="21"/>
      <c r="F156" s="21"/>
    </row>
    <row r="157" spans="1:6" s="43" customFormat="1" ht="15" customHeight="1" x14ac:dyDescent="0.25">
      <c r="A157" s="46"/>
      <c r="B157" s="46"/>
      <c r="C157" s="46"/>
      <c r="D157" s="47"/>
      <c r="E157" s="21"/>
      <c r="F157" s="21"/>
    </row>
    <row r="158" spans="1:6" ht="15" customHeight="1" x14ac:dyDescent="0.25">
      <c r="A158" s="46"/>
      <c r="B158" s="46"/>
      <c r="C158" s="46"/>
      <c r="D158" s="47"/>
      <c r="E158" s="21"/>
      <c r="F158" s="21"/>
    </row>
    <row r="159" spans="1:6" ht="15" customHeight="1" x14ac:dyDescent="0.25">
      <c r="A159" s="46"/>
      <c r="B159" s="46"/>
      <c r="C159" s="46"/>
      <c r="D159" s="47"/>
      <c r="E159" s="21"/>
      <c r="F159" s="21"/>
    </row>
    <row r="160" spans="1:6" ht="15" customHeight="1" x14ac:dyDescent="0.25">
      <c r="A160" s="46"/>
      <c r="B160" s="46"/>
      <c r="C160" s="46"/>
      <c r="D160" s="47"/>
      <c r="E160" s="21"/>
      <c r="F160" s="21"/>
    </row>
    <row r="161" spans="1:6" ht="15" customHeight="1" x14ac:dyDescent="0.25">
      <c r="A161" s="46"/>
      <c r="B161" s="46"/>
      <c r="C161" s="46"/>
      <c r="D161" s="47"/>
      <c r="E161" s="21"/>
      <c r="F161" s="21"/>
    </row>
    <row r="162" spans="1:6" ht="15" customHeight="1" x14ac:dyDescent="0.25">
      <c r="A162" s="46"/>
      <c r="B162" s="46"/>
      <c r="C162" s="46"/>
      <c r="D162" s="47"/>
      <c r="E162" s="21"/>
      <c r="F162" s="21"/>
    </row>
    <row r="163" spans="1:6" ht="15" customHeight="1" x14ac:dyDescent="0.25">
      <c r="A163" s="46"/>
      <c r="B163" s="46"/>
      <c r="C163" s="46"/>
      <c r="D163" s="47"/>
      <c r="E163" s="21"/>
      <c r="F163" s="21"/>
    </row>
    <row r="164" spans="1:6" ht="15" customHeight="1" x14ac:dyDescent="0.25">
      <c r="A164" s="46"/>
      <c r="B164" s="46"/>
      <c r="C164" s="46"/>
      <c r="D164" s="47"/>
      <c r="E164" s="21"/>
      <c r="F164" s="21"/>
    </row>
    <row r="165" spans="1:6" ht="15" customHeight="1" x14ac:dyDescent="0.25">
      <c r="A165" s="46"/>
      <c r="B165" s="46"/>
      <c r="C165" s="46"/>
      <c r="D165" s="47"/>
      <c r="E165" s="21"/>
      <c r="F165" s="21"/>
    </row>
    <row r="166" spans="1:6" ht="15" customHeight="1" x14ac:dyDescent="0.25">
      <c r="A166" s="46"/>
      <c r="B166" s="46"/>
      <c r="C166" s="46"/>
      <c r="D166" s="47"/>
      <c r="E166" s="21"/>
      <c r="F166" s="21"/>
    </row>
    <row r="167" spans="1:6" ht="15" customHeight="1" x14ac:dyDescent="0.25">
      <c r="A167" s="46"/>
      <c r="B167" s="46"/>
      <c r="C167" s="46"/>
      <c r="D167" s="47"/>
      <c r="E167" s="21"/>
      <c r="F167" s="21"/>
    </row>
    <row r="168" spans="1:6" ht="15" customHeight="1" x14ac:dyDescent="0.25">
      <c r="A168" s="46"/>
      <c r="B168" s="46"/>
      <c r="C168" s="46"/>
      <c r="D168" s="47"/>
      <c r="E168" s="21"/>
      <c r="F168" s="21"/>
    </row>
    <row r="169" spans="1:6" ht="15" customHeight="1" x14ac:dyDescent="0.25">
      <c r="A169" s="46"/>
      <c r="B169" s="46"/>
      <c r="C169" s="46"/>
      <c r="D169" s="47"/>
      <c r="E169" s="21"/>
      <c r="F169" s="21"/>
    </row>
    <row r="170" spans="1:6" ht="15" customHeight="1" x14ac:dyDescent="0.25">
      <c r="A170" s="46"/>
      <c r="B170" s="46"/>
      <c r="C170" s="46"/>
      <c r="D170" s="47"/>
      <c r="E170" s="21"/>
      <c r="F170" s="21"/>
    </row>
    <row r="171" spans="1:6" ht="15" customHeight="1" x14ac:dyDescent="0.25">
      <c r="A171" s="46"/>
      <c r="B171" s="46"/>
      <c r="C171" s="46"/>
      <c r="D171" s="47"/>
      <c r="E171" s="21"/>
      <c r="F171" s="21"/>
    </row>
    <row r="172" spans="1:6" ht="15" customHeight="1" x14ac:dyDescent="0.25">
      <c r="A172" s="46"/>
      <c r="B172" s="46"/>
      <c r="C172" s="46"/>
      <c r="D172" s="47"/>
      <c r="E172" s="21"/>
      <c r="F172" s="21"/>
    </row>
    <row r="173" spans="1:6" ht="15" customHeight="1" x14ac:dyDescent="0.25">
      <c r="A173" s="46"/>
      <c r="B173" s="46"/>
      <c r="C173" s="46"/>
      <c r="D173" s="47"/>
      <c r="E173" s="21"/>
      <c r="F173" s="21"/>
    </row>
    <row r="174" spans="1:6" ht="15" customHeight="1" x14ac:dyDescent="0.25">
      <c r="A174" s="46"/>
      <c r="B174" s="46"/>
      <c r="C174" s="46"/>
      <c r="D174" s="47"/>
      <c r="E174" s="21"/>
      <c r="F174" s="21"/>
    </row>
    <row r="175" spans="1:6" ht="15" customHeight="1" x14ac:dyDescent="0.25">
      <c r="A175" s="46"/>
      <c r="B175" s="46"/>
      <c r="C175" s="46"/>
      <c r="D175" s="47"/>
      <c r="E175" s="21"/>
      <c r="F175" s="21"/>
    </row>
    <row r="176" spans="1:6" ht="15" customHeight="1" x14ac:dyDescent="0.25">
      <c r="A176" s="46"/>
      <c r="B176" s="46"/>
      <c r="C176" s="46"/>
      <c r="D176" s="47"/>
      <c r="E176" s="21"/>
      <c r="F176" s="21"/>
    </row>
    <row r="177" spans="1:6" ht="15" customHeight="1" x14ac:dyDescent="0.25">
      <c r="A177" s="46"/>
      <c r="B177" s="46"/>
      <c r="C177" s="46"/>
      <c r="D177" s="47"/>
      <c r="E177" s="21"/>
      <c r="F177" s="21"/>
    </row>
    <row r="178" spans="1:6" ht="15" customHeight="1" x14ac:dyDescent="0.25">
      <c r="A178" s="46"/>
      <c r="B178" s="46"/>
      <c r="C178" s="46"/>
      <c r="D178" s="47"/>
      <c r="E178" s="21"/>
      <c r="F178" s="21"/>
    </row>
    <row r="179" spans="1:6" ht="15" customHeight="1" x14ac:dyDescent="0.25">
      <c r="A179" s="46"/>
      <c r="B179" s="46"/>
      <c r="C179" s="46"/>
      <c r="D179" s="47"/>
      <c r="E179" s="21"/>
      <c r="F179" s="21"/>
    </row>
    <row r="180" spans="1:6" ht="15" customHeight="1" x14ac:dyDescent="0.25">
      <c r="A180" s="46"/>
      <c r="B180" s="46"/>
      <c r="C180" s="46"/>
      <c r="D180" s="47"/>
      <c r="E180" s="21"/>
      <c r="F180" s="21"/>
    </row>
    <row r="181" spans="1:6" ht="15" customHeight="1" x14ac:dyDescent="0.25">
      <c r="A181" s="46"/>
      <c r="B181" s="46"/>
      <c r="C181" s="46"/>
      <c r="D181" s="47"/>
      <c r="E181" s="21"/>
      <c r="F181" s="21"/>
    </row>
    <row r="182" spans="1:6" ht="15" customHeight="1" x14ac:dyDescent="0.25">
      <c r="A182" s="46"/>
      <c r="B182" s="46"/>
      <c r="C182" s="46"/>
      <c r="D182" s="47"/>
      <c r="E182" s="21"/>
      <c r="F182" s="21"/>
    </row>
    <row r="183" spans="1:6" ht="15" customHeight="1" x14ac:dyDescent="0.25">
      <c r="A183" s="46"/>
      <c r="B183" s="46"/>
      <c r="C183" s="46"/>
      <c r="D183" s="47"/>
      <c r="E183" s="21"/>
      <c r="F183" s="21"/>
    </row>
    <row r="184" spans="1:6" ht="15" customHeight="1" x14ac:dyDescent="0.25">
      <c r="A184" s="46"/>
      <c r="B184" s="46"/>
      <c r="C184" s="46"/>
      <c r="D184" s="47"/>
      <c r="E184" s="21"/>
      <c r="F184" s="21"/>
    </row>
    <row r="185" spans="1:6" ht="15" customHeight="1" x14ac:dyDescent="0.25">
      <c r="A185" s="46"/>
      <c r="B185" s="46"/>
      <c r="C185" s="46"/>
      <c r="D185" s="47"/>
      <c r="E185" s="21"/>
      <c r="F185" s="21"/>
    </row>
    <row r="186" spans="1:6" ht="15" customHeight="1" x14ac:dyDescent="0.25">
      <c r="A186" s="46"/>
      <c r="B186" s="46"/>
      <c r="C186" s="46"/>
      <c r="D186" s="47"/>
      <c r="E186" s="21"/>
      <c r="F186" s="21"/>
    </row>
    <row r="187" spans="1:6" ht="15" customHeight="1" x14ac:dyDescent="0.25">
      <c r="A187" s="46"/>
      <c r="B187" s="46"/>
      <c r="C187" s="46"/>
      <c r="D187" s="47"/>
      <c r="E187" s="21"/>
      <c r="F187" s="21"/>
    </row>
    <row r="188" spans="1:6" ht="15" customHeight="1" x14ac:dyDescent="0.25">
      <c r="A188" s="46"/>
      <c r="B188" s="46"/>
      <c r="C188" s="46"/>
      <c r="D188" s="47"/>
      <c r="E188" s="21"/>
      <c r="F188" s="21"/>
    </row>
    <row r="189" spans="1:6" ht="15" customHeight="1" x14ac:dyDescent="0.25">
      <c r="A189" s="46"/>
      <c r="B189" s="46"/>
      <c r="C189" s="46"/>
      <c r="D189" s="47"/>
      <c r="E189" s="21"/>
      <c r="F189" s="21"/>
    </row>
    <row r="190" spans="1:6" ht="15" customHeight="1" x14ac:dyDescent="0.25">
      <c r="A190" s="46"/>
      <c r="B190" s="46"/>
      <c r="C190" s="46"/>
      <c r="D190" s="47"/>
      <c r="E190" s="21"/>
      <c r="F190" s="21"/>
    </row>
    <row r="191" spans="1:6" ht="15" customHeight="1" x14ac:dyDescent="0.25">
      <c r="A191" s="46"/>
      <c r="B191" s="46"/>
      <c r="C191" s="46"/>
      <c r="D191" s="47"/>
      <c r="E191" s="21"/>
      <c r="F191" s="21"/>
    </row>
    <row r="192" spans="1:6" ht="15" customHeight="1" x14ac:dyDescent="0.25">
      <c r="A192" s="46"/>
      <c r="B192" s="46"/>
      <c r="C192" s="46"/>
      <c r="D192" s="47"/>
      <c r="E192" s="21"/>
      <c r="F192" s="21"/>
    </row>
    <row r="193" spans="1:6" ht="15" customHeight="1" x14ac:dyDescent="0.25">
      <c r="A193" s="46"/>
      <c r="B193" s="46"/>
      <c r="C193" s="46"/>
      <c r="D193" s="47"/>
      <c r="E193" s="21"/>
      <c r="F193" s="21"/>
    </row>
    <row r="194" spans="1:6" ht="15" customHeight="1" x14ac:dyDescent="0.25">
      <c r="A194" s="46"/>
      <c r="B194" s="46"/>
      <c r="C194" s="46"/>
      <c r="D194" s="47"/>
      <c r="E194" s="21"/>
      <c r="F194" s="21"/>
    </row>
    <row r="195" spans="1:6" ht="15" customHeight="1" x14ac:dyDescent="0.25">
      <c r="A195" s="46"/>
      <c r="B195" s="46"/>
      <c r="C195" s="46"/>
      <c r="D195" s="47"/>
      <c r="E195" s="21"/>
      <c r="F195" s="21"/>
    </row>
    <row r="196" spans="1:6" ht="15" customHeight="1" x14ac:dyDescent="0.25">
      <c r="A196" s="46"/>
      <c r="B196" s="46"/>
      <c r="C196" s="46"/>
      <c r="D196" s="47"/>
      <c r="E196" s="21"/>
      <c r="F196" s="21"/>
    </row>
    <row r="197" spans="1:6" ht="15" customHeight="1" x14ac:dyDescent="0.25">
      <c r="A197" s="46"/>
      <c r="B197" s="46"/>
      <c r="C197" s="46"/>
      <c r="D197" s="47"/>
      <c r="E197" s="21"/>
      <c r="F197" s="21"/>
    </row>
    <row r="198" spans="1:6" ht="15" customHeight="1" x14ac:dyDescent="0.25">
      <c r="A198" s="46"/>
      <c r="B198" s="46"/>
      <c r="C198" s="46"/>
      <c r="D198" s="47"/>
      <c r="E198" s="21"/>
      <c r="F198" s="21"/>
    </row>
    <row r="199" spans="1:6" ht="15" customHeight="1" x14ac:dyDescent="0.25">
      <c r="A199" s="46"/>
      <c r="B199" s="46"/>
      <c r="C199" s="46"/>
      <c r="D199" s="47"/>
      <c r="E199" s="21"/>
      <c r="F199" s="21"/>
    </row>
    <row r="200" spans="1:6" ht="15" customHeight="1" x14ac:dyDescent="0.25">
      <c r="A200" s="46"/>
      <c r="B200" s="46"/>
      <c r="C200" s="46"/>
      <c r="D200" s="47"/>
      <c r="E200" s="21"/>
      <c r="F200" s="21"/>
    </row>
    <row r="201" spans="1:6" ht="15" customHeight="1" x14ac:dyDescent="0.25">
      <c r="A201" s="46"/>
      <c r="B201" s="46"/>
      <c r="C201" s="46"/>
      <c r="D201" s="47"/>
      <c r="E201" s="21"/>
      <c r="F201" s="21"/>
    </row>
    <row r="202" spans="1:6" ht="15" customHeight="1" x14ac:dyDescent="0.25">
      <c r="A202" s="46"/>
      <c r="B202" s="46"/>
      <c r="C202" s="46"/>
      <c r="D202" s="47"/>
      <c r="E202" s="21"/>
      <c r="F202" s="21"/>
    </row>
    <row r="203" spans="1:6" ht="15" customHeight="1" x14ac:dyDescent="0.25">
      <c r="A203" s="46"/>
      <c r="B203" s="46"/>
      <c r="C203" s="46"/>
      <c r="D203" s="47"/>
      <c r="E203" s="21"/>
      <c r="F203" s="21"/>
    </row>
    <row r="204" spans="1:6" ht="15" customHeight="1" x14ac:dyDescent="0.25">
      <c r="A204" s="46"/>
      <c r="B204" s="46"/>
      <c r="C204" s="46"/>
      <c r="D204" s="47"/>
      <c r="E204" s="21"/>
      <c r="F204" s="21"/>
    </row>
    <row r="205" spans="1:6" ht="15" customHeight="1" x14ac:dyDescent="0.25">
      <c r="A205" s="46"/>
      <c r="B205" s="46"/>
      <c r="C205" s="46"/>
      <c r="D205" s="47"/>
      <c r="E205" s="21"/>
      <c r="F205" s="21"/>
    </row>
    <row r="206" spans="1:6" ht="15" customHeight="1" x14ac:dyDescent="0.25">
      <c r="A206" s="46"/>
      <c r="B206" s="46"/>
      <c r="C206" s="46"/>
      <c r="D206" s="47"/>
      <c r="E206" s="21"/>
      <c r="F206" s="21"/>
    </row>
    <row r="207" spans="1:6" ht="15" customHeight="1" x14ac:dyDescent="0.25">
      <c r="A207" s="46"/>
      <c r="B207" s="46"/>
      <c r="C207" s="46"/>
      <c r="D207" s="47"/>
      <c r="E207" s="21"/>
      <c r="F207" s="21"/>
    </row>
    <row r="208" spans="1:6" ht="15" customHeight="1" x14ac:dyDescent="0.25">
      <c r="A208" s="46"/>
      <c r="B208" s="46"/>
      <c r="C208" s="46"/>
      <c r="D208" s="47"/>
      <c r="E208" s="21"/>
      <c r="F208" s="21"/>
    </row>
    <row r="209" spans="1:6" ht="15" customHeight="1" x14ac:dyDescent="0.25">
      <c r="A209" s="46"/>
      <c r="B209" s="46"/>
      <c r="C209" s="46"/>
      <c r="D209" s="47"/>
      <c r="E209" s="21"/>
      <c r="F209" s="21"/>
    </row>
    <row r="210" spans="1:6" ht="15" customHeight="1" x14ac:dyDescent="0.25">
      <c r="A210" s="46"/>
      <c r="B210" s="46"/>
      <c r="C210" s="46"/>
      <c r="D210" s="47"/>
      <c r="E210" s="21"/>
      <c r="F210" s="21"/>
    </row>
    <row r="211" spans="1:6" ht="15" customHeight="1" x14ac:dyDescent="0.25">
      <c r="A211" s="46"/>
      <c r="B211" s="46"/>
      <c r="C211" s="46"/>
      <c r="D211" s="47"/>
      <c r="E211" s="21"/>
      <c r="F211" s="21"/>
    </row>
    <row r="212" spans="1:6" ht="15" customHeight="1" x14ac:dyDescent="0.25">
      <c r="A212" s="46"/>
      <c r="B212" s="46"/>
      <c r="C212" s="46"/>
      <c r="D212" s="47"/>
      <c r="E212" s="21"/>
      <c r="F212" s="21"/>
    </row>
    <row r="213" spans="1:6" ht="15" customHeight="1" x14ac:dyDescent="0.25">
      <c r="A213" s="46"/>
      <c r="B213" s="46"/>
      <c r="C213" s="46"/>
      <c r="D213" s="47"/>
      <c r="E213" s="21"/>
      <c r="F213" s="21"/>
    </row>
    <row r="214" spans="1:6" ht="15" customHeight="1" x14ac:dyDescent="0.25">
      <c r="A214" s="46"/>
      <c r="B214" s="46"/>
      <c r="C214" s="46"/>
      <c r="D214" s="47"/>
      <c r="E214" s="21"/>
      <c r="F214" s="21"/>
    </row>
    <row r="215" spans="1:6" ht="15" customHeight="1" x14ac:dyDescent="0.25">
      <c r="A215" s="46"/>
      <c r="B215" s="46"/>
      <c r="C215" s="46"/>
      <c r="D215" s="47"/>
      <c r="E215" s="21"/>
      <c r="F215" s="21"/>
    </row>
    <row r="216" spans="1:6" ht="15" customHeight="1" x14ac:dyDescent="0.25">
      <c r="A216" s="46"/>
      <c r="B216" s="46"/>
      <c r="C216" s="46"/>
      <c r="D216" s="47"/>
      <c r="E216" s="21"/>
      <c r="F216" s="21"/>
    </row>
    <row r="217" spans="1:6" ht="15" customHeight="1" x14ac:dyDescent="0.25">
      <c r="A217" s="46"/>
      <c r="B217" s="46"/>
      <c r="C217" s="46"/>
      <c r="D217" s="47"/>
      <c r="E217" s="21"/>
      <c r="F217" s="21"/>
    </row>
    <row r="218" spans="1:6" ht="15" customHeight="1" x14ac:dyDescent="0.25">
      <c r="A218" s="46"/>
      <c r="B218" s="46"/>
      <c r="C218" s="46"/>
      <c r="D218" s="47"/>
      <c r="E218" s="21"/>
      <c r="F218" s="21"/>
    </row>
    <row r="219" spans="1:6" ht="15" customHeight="1" x14ac:dyDescent="0.25">
      <c r="A219" s="46"/>
      <c r="B219" s="46"/>
      <c r="C219" s="46"/>
      <c r="D219" s="47"/>
      <c r="E219" s="21"/>
      <c r="F219" s="21"/>
    </row>
    <row r="220" spans="1:6" ht="15" customHeight="1" x14ac:dyDescent="0.25">
      <c r="A220" s="46"/>
      <c r="B220" s="46"/>
      <c r="C220" s="46"/>
      <c r="D220" s="47"/>
      <c r="E220" s="21"/>
      <c r="F220" s="21"/>
    </row>
    <row r="221" spans="1:6" ht="15" customHeight="1" x14ac:dyDescent="0.25">
      <c r="A221" s="46"/>
      <c r="B221" s="46"/>
      <c r="C221" s="46"/>
      <c r="D221" s="47"/>
      <c r="E221" s="21"/>
      <c r="F221" s="21"/>
    </row>
    <row r="222" spans="1:6" ht="15" customHeight="1" x14ac:dyDescent="0.25">
      <c r="A222" s="46"/>
      <c r="B222" s="46"/>
      <c r="C222" s="46"/>
      <c r="D222" s="47"/>
      <c r="E222" s="21"/>
      <c r="F222" s="21"/>
    </row>
    <row r="223" spans="1:6" ht="15" customHeight="1" x14ac:dyDescent="0.25">
      <c r="A223" s="46"/>
      <c r="B223" s="46"/>
      <c r="C223" s="46"/>
      <c r="D223" s="47"/>
      <c r="E223" s="21"/>
      <c r="F223" s="21"/>
    </row>
    <row r="224" spans="1:6" ht="15" customHeight="1" x14ac:dyDescent="0.25">
      <c r="A224" s="46"/>
      <c r="B224" s="46"/>
      <c r="C224" s="46"/>
      <c r="D224" s="47"/>
      <c r="E224" s="21"/>
      <c r="F224" s="21"/>
    </row>
    <row r="225" spans="1:6" ht="15" customHeight="1" x14ac:dyDescent="0.25">
      <c r="A225" s="46"/>
      <c r="B225" s="46"/>
      <c r="C225" s="46"/>
      <c r="D225" s="47"/>
      <c r="E225" s="21"/>
      <c r="F225" s="21"/>
    </row>
    <row r="226" spans="1:6" ht="15" customHeight="1" x14ac:dyDescent="0.25">
      <c r="A226" s="46"/>
      <c r="B226" s="46"/>
      <c r="C226" s="46"/>
      <c r="D226" s="47"/>
      <c r="E226" s="21"/>
      <c r="F226" s="21"/>
    </row>
    <row r="227" spans="1:6" ht="15" customHeight="1" x14ac:dyDescent="0.25">
      <c r="A227" s="46"/>
      <c r="B227" s="46"/>
      <c r="C227" s="46"/>
      <c r="D227" s="47"/>
      <c r="E227" s="21"/>
      <c r="F227" s="21"/>
    </row>
    <row r="228" spans="1:6" ht="15" customHeight="1" x14ac:dyDescent="0.25">
      <c r="A228" s="46"/>
      <c r="B228" s="46"/>
      <c r="C228" s="46"/>
      <c r="D228" s="47"/>
      <c r="E228" s="21"/>
      <c r="F228" s="21"/>
    </row>
    <row r="229" spans="1:6" ht="15" customHeight="1" x14ac:dyDescent="0.25">
      <c r="A229" s="46"/>
      <c r="B229" s="46"/>
      <c r="C229" s="46"/>
      <c r="D229" s="47"/>
      <c r="E229" s="21"/>
      <c r="F229" s="21"/>
    </row>
    <row r="230" spans="1:6" ht="15" customHeight="1" x14ac:dyDescent="0.25">
      <c r="A230" s="46"/>
      <c r="B230" s="46"/>
      <c r="C230" s="46"/>
      <c r="D230" s="47"/>
      <c r="E230" s="21"/>
      <c r="F230" s="21"/>
    </row>
    <row r="231" spans="1:6" ht="15" customHeight="1" x14ac:dyDescent="0.25">
      <c r="A231" s="46"/>
      <c r="B231" s="46"/>
      <c r="C231" s="46"/>
      <c r="D231" s="47"/>
      <c r="E231" s="21"/>
      <c r="F231" s="21"/>
    </row>
    <row r="232" spans="1:6" ht="15" customHeight="1" x14ac:dyDescent="0.25">
      <c r="A232" s="46"/>
      <c r="B232" s="46"/>
      <c r="C232" s="46"/>
      <c r="D232" s="47"/>
      <c r="E232" s="21"/>
      <c r="F232" s="21"/>
    </row>
    <row r="233" spans="1:6" ht="15" customHeight="1" x14ac:dyDescent="0.25">
      <c r="A233" s="46"/>
      <c r="B233" s="46"/>
      <c r="C233" s="46"/>
      <c r="D233" s="47"/>
      <c r="E233" s="21"/>
      <c r="F233" s="21"/>
    </row>
    <row r="234" spans="1:6" ht="15" customHeight="1" x14ac:dyDescent="0.25">
      <c r="A234" s="46"/>
      <c r="B234" s="46"/>
      <c r="C234" s="46"/>
      <c r="D234" s="47"/>
      <c r="E234" s="21"/>
      <c r="F234" s="21"/>
    </row>
    <row r="235" spans="1:6" ht="15" customHeight="1" x14ac:dyDescent="0.25">
      <c r="A235" s="46"/>
      <c r="B235" s="46"/>
      <c r="C235" s="46"/>
      <c r="D235" s="47"/>
      <c r="E235" s="21"/>
      <c r="F235" s="21"/>
    </row>
    <row r="236" spans="1:6" ht="15" customHeight="1" x14ac:dyDescent="0.25">
      <c r="A236" s="46"/>
      <c r="B236" s="46"/>
      <c r="C236" s="46"/>
      <c r="D236" s="47"/>
      <c r="E236" s="21"/>
      <c r="F236" s="21"/>
    </row>
    <row r="237" spans="1:6" ht="15" customHeight="1" x14ac:dyDescent="0.25">
      <c r="A237" s="46"/>
      <c r="B237" s="46"/>
      <c r="C237" s="46"/>
      <c r="D237" s="47"/>
      <c r="E237" s="21"/>
      <c r="F237" s="21"/>
    </row>
    <row r="238" spans="1:6" ht="15" customHeight="1" x14ac:dyDescent="0.25">
      <c r="A238" s="46"/>
      <c r="B238" s="46"/>
      <c r="C238" s="46"/>
      <c r="D238" s="47"/>
      <c r="E238" s="21"/>
      <c r="F238" s="21"/>
    </row>
    <row r="239" spans="1:6" ht="15" customHeight="1" x14ac:dyDescent="0.25">
      <c r="A239" s="46"/>
      <c r="B239" s="46"/>
      <c r="C239" s="46"/>
      <c r="D239" s="47"/>
      <c r="E239" s="21"/>
      <c r="F239" s="21"/>
    </row>
    <row r="240" spans="1:6" ht="15" customHeight="1" x14ac:dyDescent="0.25">
      <c r="A240" s="46"/>
      <c r="B240" s="46"/>
      <c r="C240" s="46"/>
      <c r="D240" s="47"/>
      <c r="E240" s="21"/>
      <c r="F240" s="21"/>
    </row>
    <row r="241" spans="1:6" ht="15" customHeight="1" x14ac:dyDescent="0.25">
      <c r="A241" s="46"/>
      <c r="B241" s="46"/>
      <c r="C241" s="46"/>
      <c r="D241" s="47"/>
      <c r="E241" s="21"/>
      <c r="F241" s="21"/>
    </row>
    <row r="242" spans="1:6" ht="15" customHeight="1" x14ac:dyDescent="0.25">
      <c r="A242" s="46"/>
      <c r="B242" s="46"/>
      <c r="C242" s="46"/>
      <c r="D242" s="47"/>
      <c r="E242" s="21"/>
      <c r="F242" s="21"/>
    </row>
    <row r="243" spans="1:6" ht="15" customHeight="1" x14ac:dyDescent="0.25">
      <c r="A243" s="46"/>
      <c r="B243" s="46"/>
      <c r="C243" s="46"/>
      <c r="D243" s="47"/>
      <c r="E243" s="21"/>
      <c r="F243" s="21"/>
    </row>
    <row r="244" spans="1:6" ht="15" customHeight="1" x14ac:dyDescent="0.25">
      <c r="A244" s="46"/>
      <c r="B244" s="46"/>
      <c r="C244" s="46"/>
      <c r="D244" s="47"/>
      <c r="E244" s="21"/>
      <c r="F244" s="21"/>
    </row>
    <row r="245" spans="1:6" ht="15" customHeight="1" x14ac:dyDescent="0.25">
      <c r="A245" s="46"/>
      <c r="B245" s="46"/>
      <c r="C245" s="46"/>
      <c r="D245" s="47"/>
      <c r="E245" s="21"/>
      <c r="F245" s="21"/>
    </row>
    <row r="246" spans="1:6" ht="15" customHeight="1" x14ac:dyDescent="0.25">
      <c r="A246" s="46"/>
      <c r="B246" s="46"/>
      <c r="C246" s="46"/>
      <c r="D246" s="47"/>
      <c r="E246" s="21"/>
      <c r="F246" s="21"/>
    </row>
    <row r="247" spans="1:6" ht="15" customHeight="1" x14ac:dyDescent="0.25">
      <c r="A247" s="46"/>
      <c r="B247" s="46"/>
      <c r="C247" s="46"/>
      <c r="D247" s="47"/>
      <c r="E247" s="21"/>
      <c r="F247" s="21"/>
    </row>
    <row r="248" spans="1:6" ht="15" customHeight="1" x14ac:dyDescent="0.25">
      <c r="A248" s="46"/>
      <c r="B248" s="46"/>
      <c r="C248" s="46"/>
      <c r="D248" s="47"/>
      <c r="E248" s="21"/>
      <c r="F248" s="21"/>
    </row>
    <row r="249" spans="1:6" ht="15" customHeight="1" x14ac:dyDescent="0.25">
      <c r="A249" s="46"/>
      <c r="B249" s="46"/>
      <c r="C249" s="46"/>
      <c r="D249" s="47"/>
      <c r="E249" s="21"/>
      <c r="F249" s="21"/>
    </row>
    <row r="250" spans="1:6" ht="15" customHeight="1" x14ac:dyDescent="0.25">
      <c r="A250" s="46"/>
      <c r="B250" s="46"/>
      <c r="C250" s="46"/>
      <c r="D250" s="47"/>
      <c r="E250" s="21"/>
      <c r="F250" s="21"/>
    </row>
    <row r="251" spans="1:6" ht="15" customHeight="1" x14ac:dyDescent="0.25">
      <c r="A251" s="46"/>
      <c r="B251" s="46"/>
      <c r="C251" s="46"/>
      <c r="D251" s="47"/>
      <c r="E251" s="21"/>
      <c r="F251" s="21"/>
    </row>
    <row r="252" spans="1:6" ht="15" customHeight="1" x14ac:dyDescent="0.25">
      <c r="A252" s="46"/>
      <c r="B252" s="46"/>
      <c r="C252" s="46"/>
      <c r="D252" s="47"/>
      <c r="E252" s="21"/>
      <c r="F252" s="21"/>
    </row>
    <row r="253" spans="1:6" ht="15" customHeight="1" x14ac:dyDescent="0.25">
      <c r="A253" s="46"/>
      <c r="B253" s="46"/>
      <c r="C253" s="46"/>
      <c r="D253" s="47"/>
      <c r="E253" s="21"/>
      <c r="F253" s="21"/>
    </row>
    <row r="254" spans="1:6" ht="15" customHeight="1" x14ac:dyDescent="0.25">
      <c r="A254" s="46"/>
      <c r="B254" s="46"/>
      <c r="C254" s="46"/>
      <c r="D254" s="47"/>
      <c r="E254" s="21"/>
      <c r="F254" s="21"/>
    </row>
    <row r="255" spans="1:6" ht="15" customHeight="1" x14ac:dyDescent="0.25">
      <c r="A255" s="46"/>
      <c r="B255" s="46"/>
      <c r="C255" s="46"/>
      <c r="D255" s="47"/>
      <c r="E255" s="21"/>
      <c r="F255" s="21"/>
    </row>
    <row r="256" spans="1:6" ht="15" customHeight="1" x14ac:dyDescent="0.25">
      <c r="A256" s="46"/>
      <c r="B256" s="46"/>
      <c r="C256" s="46"/>
      <c r="D256" s="47"/>
      <c r="E256" s="21"/>
      <c r="F256" s="21"/>
    </row>
    <row r="257" spans="1:6" ht="15" customHeight="1" x14ac:dyDescent="0.25">
      <c r="A257" s="46"/>
      <c r="B257" s="46"/>
      <c r="C257" s="46"/>
      <c r="D257" s="47"/>
      <c r="E257" s="21"/>
      <c r="F257" s="21"/>
    </row>
    <row r="258" spans="1:6" ht="15" customHeight="1" x14ac:dyDescent="0.25">
      <c r="A258" s="46"/>
      <c r="B258" s="46"/>
      <c r="C258" s="46"/>
      <c r="D258" s="47"/>
      <c r="E258" s="21"/>
      <c r="F258" s="21"/>
    </row>
    <row r="259" spans="1:6" ht="15" customHeight="1" x14ac:dyDescent="0.25">
      <c r="A259" s="46"/>
      <c r="B259" s="46"/>
      <c r="C259" s="46"/>
      <c r="D259" s="47"/>
      <c r="E259" s="21"/>
      <c r="F259" s="21"/>
    </row>
    <row r="260" spans="1:6" ht="15" customHeight="1" x14ac:dyDescent="0.25">
      <c r="A260" s="46"/>
      <c r="B260" s="46"/>
      <c r="C260" s="46"/>
      <c r="D260" s="47"/>
      <c r="E260" s="21"/>
      <c r="F260" s="21"/>
    </row>
    <row r="261" spans="1:6" ht="15" customHeight="1" x14ac:dyDescent="0.25">
      <c r="A261" s="46"/>
      <c r="B261" s="46"/>
      <c r="C261" s="46"/>
      <c r="D261" s="47"/>
      <c r="E261" s="21"/>
      <c r="F261" s="21"/>
    </row>
    <row r="262" spans="1:6" ht="15" customHeight="1" x14ac:dyDescent="0.25">
      <c r="A262" s="46"/>
      <c r="B262" s="46"/>
      <c r="C262" s="46"/>
      <c r="D262" s="47"/>
      <c r="E262" s="21"/>
      <c r="F262" s="21"/>
    </row>
    <row r="263" spans="1:6" ht="15" customHeight="1" x14ac:dyDescent="0.25">
      <c r="A263" s="46"/>
      <c r="B263" s="46"/>
      <c r="C263" s="46"/>
      <c r="D263" s="47"/>
      <c r="E263" s="21"/>
      <c r="F263" s="21"/>
    </row>
    <row r="264" spans="1:6" ht="15" customHeight="1" x14ac:dyDescent="0.25">
      <c r="A264" s="46"/>
      <c r="B264" s="46"/>
      <c r="C264" s="46"/>
      <c r="D264" s="47"/>
      <c r="E264" s="21" t="s">
        <v>93</v>
      </c>
      <c r="F264" s="21"/>
    </row>
    <row r="265" spans="1:6" ht="15" customHeight="1" x14ac:dyDescent="0.25">
      <c r="A265" s="56" t="s">
        <v>5</v>
      </c>
      <c r="B265" s="56"/>
      <c r="C265" s="56"/>
      <c r="E265" s="49" t="s">
        <v>5</v>
      </c>
    </row>
    <row r="266" spans="1:6" ht="15" customHeight="1" x14ac:dyDescent="0.25">
      <c r="A266" s="56"/>
      <c r="B266" s="56"/>
      <c r="C266" s="56"/>
    </row>
    <row r="267" spans="1:6" ht="15" customHeight="1" x14ac:dyDescent="0.25">
      <c r="A267" s="56"/>
      <c r="B267" s="56"/>
      <c r="C267" s="56"/>
    </row>
    <row r="268" spans="1:6" ht="15" customHeight="1" x14ac:dyDescent="0.25">
      <c r="A268" s="56"/>
      <c r="B268" s="56"/>
      <c r="C268" s="56"/>
    </row>
    <row r="269" spans="1:6" ht="15" customHeight="1" x14ac:dyDescent="0.25">
      <c r="A269" s="56"/>
      <c r="B269" s="56"/>
      <c r="C269" s="56"/>
    </row>
    <row r="270" spans="1:6" ht="15" customHeight="1" x14ac:dyDescent="0.25">
      <c r="A270" s="56"/>
      <c r="B270" s="56"/>
      <c r="C270" s="56"/>
    </row>
    <row r="271" spans="1:6" ht="15" customHeight="1" x14ac:dyDescent="0.25">
      <c r="A271" s="56"/>
      <c r="B271" s="56"/>
      <c r="C271" s="56"/>
    </row>
    <row r="272" spans="1:6" ht="15" customHeight="1" x14ac:dyDescent="0.25">
      <c r="A272" s="56"/>
      <c r="B272" s="56"/>
      <c r="C272" s="56"/>
    </row>
    <row r="273" spans="1:3" ht="15" customHeight="1" x14ac:dyDescent="0.25">
      <c r="A273" s="56"/>
      <c r="B273" s="56"/>
      <c r="C273" s="56"/>
    </row>
    <row r="274" spans="1:3" ht="15" customHeight="1" x14ac:dyDescent="0.25">
      <c r="A274" s="56"/>
      <c r="B274" s="56"/>
      <c r="C274" s="56"/>
    </row>
    <row r="275" spans="1:3" ht="15" customHeight="1" x14ac:dyDescent="0.25">
      <c r="A275" s="56"/>
      <c r="B275" s="56"/>
      <c r="C275" s="56"/>
    </row>
    <row r="276" spans="1:3" ht="15" customHeight="1" x14ac:dyDescent="0.25">
      <c r="A276" s="56"/>
      <c r="B276" s="56"/>
      <c r="C276" s="56"/>
    </row>
    <row r="277" spans="1:3" ht="15" customHeight="1" x14ac:dyDescent="0.25">
      <c r="A277" s="56"/>
      <c r="B277" s="56"/>
      <c r="C277" s="56"/>
    </row>
    <row r="278" spans="1:3" ht="15" customHeight="1" x14ac:dyDescent="0.25">
      <c r="A278" s="56"/>
      <c r="B278" s="56"/>
      <c r="C278" s="56"/>
    </row>
    <row r="279" spans="1:3" ht="15" customHeight="1" x14ac:dyDescent="0.25">
      <c r="A279" s="56"/>
      <c r="B279" s="56"/>
      <c r="C279" s="56"/>
    </row>
    <row r="280" spans="1:3" ht="15" customHeight="1" x14ac:dyDescent="0.25">
      <c r="A280" s="56"/>
      <c r="B280" s="56"/>
      <c r="C280" s="56"/>
    </row>
    <row r="281" spans="1:3" ht="15" customHeight="1" x14ac:dyDescent="0.25">
      <c r="A281" s="56"/>
      <c r="B281" s="56"/>
      <c r="C281" s="56"/>
    </row>
    <row r="282" spans="1:3" ht="15" customHeight="1" x14ac:dyDescent="0.25">
      <c r="A282" s="56"/>
      <c r="B282" s="56"/>
      <c r="C282" s="56"/>
    </row>
    <row r="283" spans="1:3" ht="15" customHeight="1" x14ac:dyDescent="0.25">
      <c r="A283" s="56"/>
      <c r="B283" s="56"/>
      <c r="C283" s="56"/>
    </row>
    <row r="284" spans="1:3" ht="15" customHeight="1" x14ac:dyDescent="0.25">
      <c r="A284" s="56"/>
      <c r="B284" s="56"/>
      <c r="C284" s="56"/>
    </row>
    <row r="285" spans="1:3" ht="15" customHeight="1" x14ac:dyDescent="0.25">
      <c r="A285" s="56"/>
      <c r="B285" s="56"/>
      <c r="C285" s="56"/>
    </row>
    <row r="286" spans="1:3" ht="15" customHeight="1" x14ac:dyDescent="0.25">
      <c r="A286" s="56"/>
      <c r="B286" s="56"/>
      <c r="C286" s="56"/>
    </row>
    <row r="287" spans="1:3" ht="15" customHeight="1" x14ac:dyDescent="0.25">
      <c r="A287" s="56"/>
      <c r="B287" s="56"/>
      <c r="C287" s="56"/>
    </row>
    <row r="288" spans="1:3" ht="15" customHeight="1" x14ac:dyDescent="0.25">
      <c r="A288" s="56"/>
      <c r="B288" s="56"/>
      <c r="C288" s="56"/>
    </row>
    <row r="289" spans="1:3" ht="15" customHeight="1" x14ac:dyDescent="0.25">
      <c r="A289" s="56"/>
      <c r="B289" s="56"/>
      <c r="C289" s="56"/>
    </row>
    <row r="290" spans="1:3" ht="15" customHeight="1" x14ac:dyDescent="0.25">
      <c r="A290" s="56"/>
      <c r="B290" s="56"/>
      <c r="C290" s="56"/>
    </row>
    <row r="291" spans="1:3" ht="15" customHeight="1" x14ac:dyDescent="0.25">
      <c r="A291" s="56"/>
      <c r="B291" s="56"/>
      <c r="C291" s="56"/>
    </row>
    <row r="292" spans="1:3" ht="15" customHeight="1" x14ac:dyDescent="0.25">
      <c r="A292" s="56"/>
      <c r="B292" s="56"/>
      <c r="C292" s="56"/>
    </row>
    <row r="293" spans="1:3" ht="15" customHeight="1" x14ac:dyDescent="0.25">
      <c r="A293" s="56"/>
      <c r="B293" s="56"/>
      <c r="C293" s="56"/>
    </row>
    <row r="294" spans="1:3" ht="15" customHeight="1" x14ac:dyDescent="0.25">
      <c r="A294" s="56"/>
      <c r="B294" s="56"/>
      <c r="C294" s="56"/>
    </row>
    <row r="295" spans="1:3" ht="15" customHeight="1" x14ac:dyDescent="0.25">
      <c r="A295" s="56"/>
      <c r="B295" s="56"/>
      <c r="C295" s="56"/>
    </row>
    <row r="296" spans="1:3" ht="15" customHeight="1" x14ac:dyDescent="0.25">
      <c r="A296" s="56"/>
      <c r="B296" s="56"/>
      <c r="C296" s="56"/>
    </row>
    <row r="297" spans="1:3" ht="15" customHeight="1" x14ac:dyDescent="0.25">
      <c r="A297" s="56"/>
      <c r="B297" s="56"/>
      <c r="C297" s="56"/>
    </row>
    <row r="298" spans="1:3" ht="15" customHeight="1" x14ac:dyDescent="0.25">
      <c r="A298" s="56"/>
      <c r="B298" s="56"/>
      <c r="C298" s="56"/>
    </row>
    <row r="299" spans="1:3" ht="15" customHeight="1" x14ac:dyDescent="0.25">
      <c r="A299" s="56"/>
      <c r="B299" s="56"/>
      <c r="C299" s="56"/>
    </row>
    <row r="300" spans="1:3" ht="15" customHeight="1" x14ac:dyDescent="0.25">
      <c r="A300" s="56"/>
      <c r="B300" s="56"/>
      <c r="C300" s="56"/>
    </row>
    <row r="301" spans="1:3" ht="15" customHeight="1" x14ac:dyDescent="0.25">
      <c r="A301" s="56"/>
      <c r="B301" s="56"/>
      <c r="C301" s="56"/>
    </row>
    <row r="302" spans="1:3" ht="15" customHeight="1" x14ac:dyDescent="0.25">
      <c r="A302" s="56"/>
      <c r="B302" s="56"/>
      <c r="C302" s="56"/>
    </row>
    <row r="303" spans="1:3" ht="15" customHeight="1" x14ac:dyDescent="0.25">
      <c r="A303" s="56"/>
      <c r="B303" s="56"/>
      <c r="C303" s="56"/>
    </row>
    <row r="304" spans="1:3" ht="15" customHeight="1" x14ac:dyDescent="0.25">
      <c r="A304" s="56"/>
      <c r="B304" s="56"/>
      <c r="C304" s="56"/>
    </row>
    <row r="305" spans="1:3" ht="15" customHeight="1" x14ac:dyDescent="0.25">
      <c r="A305" s="56"/>
      <c r="B305" s="56"/>
      <c r="C305" s="56"/>
    </row>
    <row r="306" spans="1:3" ht="15" customHeight="1" x14ac:dyDescent="0.25">
      <c r="A306" s="56"/>
      <c r="B306" s="56"/>
      <c r="C306" s="56"/>
    </row>
    <row r="307" spans="1:3" ht="15" customHeight="1" x14ac:dyDescent="0.25">
      <c r="A307" s="56"/>
      <c r="B307" s="56"/>
      <c r="C307" s="56"/>
    </row>
    <row r="308" spans="1:3" ht="15" customHeight="1" x14ac:dyDescent="0.25">
      <c r="A308" s="56"/>
      <c r="B308" s="56"/>
      <c r="C308" s="56"/>
    </row>
    <row r="309" spans="1:3" ht="15" customHeight="1" x14ac:dyDescent="0.25">
      <c r="A309" s="56"/>
      <c r="B309" s="56"/>
      <c r="C309" s="56"/>
    </row>
    <row r="310" spans="1:3" ht="15" customHeight="1" x14ac:dyDescent="0.25">
      <c r="A310" s="56"/>
      <c r="B310" s="56"/>
      <c r="C310" s="56"/>
    </row>
    <row r="311" spans="1:3" ht="15" customHeight="1" x14ac:dyDescent="0.25">
      <c r="A311" s="56"/>
      <c r="B311" s="56"/>
      <c r="C311" s="56"/>
    </row>
    <row r="312" spans="1:3" ht="15" customHeight="1" x14ac:dyDescent="0.25">
      <c r="A312" s="56"/>
      <c r="B312" s="56"/>
      <c r="C312" s="56"/>
    </row>
    <row r="313" spans="1:3" ht="15" customHeight="1" x14ac:dyDescent="0.25">
      <c r="A313" s="56"/>
      <c r="B313" s="56"/>
      <c r="C313" s="56"/>
    </row>
    <row r="314" spans="1:3" ht="15" customHeight="1" x14ac:dyDescent="0.25">
      <c r="A314" s="56"/>
      <c r="B314" s="56"/>
      <c r="C314" s="56"/>
    </row>
    <row r="315" spans="1:3" ht="15" customHeight="1" x14ac:dyDescent="0.25">
      <c r="A315" s="56"/>
      <c r="B315" s="56"/>
      <c r="C315" s="56"/>
    </row>
    <row r="316" spans="1:3" ht="15" customHeight="1" x14ac:dyDescent="0.25">
      <c r="A316" s="56"/>
      <c r="B316" s="56"/>
      <c r="C316" s="56"/>
    </row>
    <row r="317" spans="1:3" ht="15" customHeight="1" x14ac:dyDescent="0.25">
      <c r="A317" s="56"/>
      <c r="B317" s="56"/>
      <c r="C317" s="56"/>
    </row>
    <row r="318" spans="1:3" ht="15" customHeight="1" x14ac:dyDescent="0.25">
      <c r="A318" s="56"/>
      <c r="B318" s="56"/>
      <c r="C318" s="56"/>
    </row>
    <row r="319" spans="1:3" ht="15" customHeight="1" x14ac:dyDescent="0.25">
      <c r="A319" s="56"/>
      <c r="B319" s="56"/>
      <c r="C319" s="56"/>
    </row>
    <row r="320" spans="1:3" ht="15" customHeight="1" x14ac:dyDescent="0.25">
      <c r="A320" s="56"/>
      <c r="B320" s="56"/>
      <c r="C320" s="56"/>
    </row>
    <row r="321" spans="1:3" ht="15" customHeight="1" x14ac:dyDescent="0.25">
      <c r="A321" s="56"/>
      <c r="B321" s="56"/>
      <c r="C321" s="56"/>
    </row>
    <row r="322" spans="1:3" ht="15" customHeight="1" x14ac:dyDescent="0.25">
      <c r="A322" s="56"/>
      <c r="B322" s="56"/>
      <c r="C322" s="56"/>
    </row>
    <row r="323" spans="1:3" ht="15" customHeight="1" x14ac:dyDescent="0.25">
      <c r="A323" s="56"/>
      <c r="B323" s="56"/>
      <c r="C323" s="56"/>
    </row>
    <row r="324" spans="1:3" ht="15" customHeight="1" x14ac:dyDescent="0.25">
      <c r="A324" s="56"/>
      <c r="B324" s="56"/>
      <c r="C324" s="56"/>
    </row>
    <row r="325" spans="1:3" ht="15" customHeight="1" x14ac:dyDescent="0.25">
      <c r="A325" s="56"/>
      <c r="B325" s="56"/>
      <c r="C325" s="56"/>
    </row>
    <row r="326" spans="1:3" ht="15" customHeight="1" x14ac:dyDescent="0.25">
      <c r="A326" s="56"/>
      <c r="B326" s="56"/>
      <c r="C326" s="56"/>
    </row>
    <row r="327" spans="1:3" ht="15" customHeight="1" x14ac:dyDescent="0.25">
      <c r="A327" s="56"/>
      <c r="B327" s="56"/>
      <c r="C327" s="56"/>
    </row>
    <row r="328" spans="1:3" ht="15" customHeight="1" x14ac:dyDescent="0.25">
      <c r="A328" s="56"/>
      <c r="B328" s="56"/>
      <c r="C328" s="56"/>
    </row>
    <row r="329" spans="1:3" ht="15" customHeight="1" x14ac:dyDescent="0.25">
      <c r="A329" s="56"/>
      <c r="B329" s="56"/>
      <c r="C329" s="56"/>
    </row>
    <row r="330" spans="1:3" ht="15" customHeight="1" x14ac:dyDescent="0.25">
      <c r="A330" s="56"/>
      <c r="B330" s="56"/>
      <c r="C330" s="56"/>
    </row>
    <row r="331" spans="1:3" ht="15" customHeight="1" x14ac:dyDescent="0.25">
      <c r="A331" s="56"/>
      <c r="B331" s="56"/>
      <c r="C331" s="56"/>
    </row>
    <row r="332" spans="1:3" ht="15" customHeight="1" x14ac:dyDescent="0.25">
      <c r="A332" s="56"/>
      <c r="B332" s="56"/>
      <c r="C332" s="56"/>
    </row>
    <row r="333" spans="1:3" ht="15" customHeight="1" x14ac:dyDescent="0.25">
      <c r="A333" s="56"/>
      <c r="B333" s="56"/>
      <c r="C333" s="56"/>
    </row>
    <row r="334" spans="1:3" ht="15" customHeight="1" x14ac:dyDescent="0.25">
      <c r="A334" s="56"/>
      <c r="B334" s="56"/>
      <c r="C334" s="56"/>
    </row>
    <row r="335" spans="1:3" ht="15" customHeight="1" x14ac:dyDescent="0.25">
      <c r="A335" s="56"/>
      <c r="B335" s="56"/>
      <c r="C335" s="56"/>
    </row>
    <row r="336" spans="1:3" ht="15" customHeight="1" x14ac:dyDescent="0.25">
      <c r="A336" s="56"/>
      <c r="B336" s="56"/>
      <c r="C336" s="56"/>
    </row>
    <row r="337" spans="1:3" ht="15" customHeight="1" x14ac:dyDescent="0.25">
      <c r="A337" s="56"/>
      <c r="B337" s="56"/>
      <c r="C337" s="56"/>
    </row>
    <row r="338" spans="1:3" ht="15" customHeight="1" x14ac:dyDescent="0.25">
      <c r="A338" s="56"/>
      <c r="B338" s="56"/>
      <c r="C338" s="56"/>
    </row>
    <row r="339" spans="1:3" ht="15" customHeight="1" x14ac:dyDescent="0.25">
      <c r="A339" s="56"/>
      <c r="B339" s="56"/>
      <c r="C339" s="56"/>
    </row>
    <row r="340" spans="1:3" ht="15" customHeight="1" x14ac:dyDescent="0.25">
      <c r="A340" s="56"/>
      <c r="B340" s="56"/>
      <c r="C340" s="56"/>
    </row>
    <row r="341" spans="1:3" ht="15" customHeight="1" x14ac:dyDescent="0.25">
      <c r="A341" s="56"/>
      <c r="B341" s="56"/>
      <c r="C341" s="56"/>
    </row>
    <row r="342" spans="1:3" ht="15" customHeight="1" x14ac:dyDescent="0.25">
      <c r="A342" s="56"/>
      <c r="B342" s="56"/>
      <c r="C342" s="56"/>
    </row>
    <row r="343" spans="1:3" ht="15" customHeight="1" x14ac:dyDescent="0.25">
      <c r="A343" s="56"/>
      <c r="B343" s="56"/>
      <c r="C343" s="56"/>
    </row>
    <row r="344" spans="1:3" ht="15" customHeight="1" x14ac:dyDescent="0.25">
      <c r="A344" s="56"/>
      <c r="B344" s="56"/>
      <c r="C344" s="56"/>
    </row>
    <row r="345" spans="1:3" ht="15" customHeight="1" x14ac:dyDescent="0.25">
      <c r="A345" s="56"/>
      <c r="B345" s="56"/>
      <c r="C345" s="56"/>
    </row>
    <row r="346" spans="1:3" ht="15" customHeight="1" x14ac:dyDescent="0.25">
      <c r="A346" s="56"/>
      <c r="B346" s="56"/>
      <c r="C346" s="56"/>
    </row>
    <row r="347" spans="1:3" ht="15" customHeight="1" x14ac:dyDescent="0.25">
      <c r="A347" s="56"/>
      <c r="B347" s="56"/>
      <c r="C347" s="56"/>
    </row>
    <row r="348" spans="1:3" ht="15" customHeight="1" x14ac:dyDescent="0.25">
      <c r="A348" s="56"/>
      <c r="B348" s="56"/>
      <c r="C348" s="56"/>
    </row>
    <row r="349" spans="1:3" ht="15" customHeight="1" x14ac:dyDescent="0.25">
      <c r="A349" s="56"/>
      <c r="B349" s="56"/>
      <c r="C349" s="56"/>
    </row>
    <row r="350" spans="1:3" ht="15" customHeight="1" x14ac:dyDescent="0.25">
      <c r="A350" s="56"/>
      <c r="B350" s="56"/>
      <c r="C350" s="56"/>
    </row>
    <row r="351" spans="1:3" ht="15" customHeight="1" x14ac:dyDescent="0.25">
      <c r="A351" s="56"/>
      <c r="B351" s="56"/>
      <c r="C351" s="56"/>
    </row>
    <row r="352" spans="1:3" ht="15" customHeight="1" x14ac:dyDescent="0.25">
      <c r="A352" s="56"/>
      <c r="B352" s="56"/>
      <c r="C352" s="56"/>
    </row>
    <row r="353" spans="1:3" ht="15" customHeight="1" x14ac:dyDescent="0.25">
      <c r="A353" s="56"/>
      <c r="B353" s="56"/>
      <c r="C353" s="56"/>
    </row>
    <row r="354" spans="1:3" ht="15" customHeight="1" x14ac:dyDescent="0.25">
      <c r="A354" s="56"/>
      <c r="B354" s="56"/>
      <c r="C354" s="56"/>
    </row>
    <row r="355" spans="1:3" ht="15" customHeight="1" x14ac:dyDescent="0.25">
      <c r="A355" s="56"/>
      <c r="B355" s="56"/>
      <c r="C355" s="56"/>
    </row>
    <row r="356" spans="1:3" ht="15" customHeight="1" x14ac:dyDescent="0.25">
      <c r="A356" s="56"/>
      <c r="B356" s="56"/>
      <c r="C356" s="56"/>
    </row>
    <row r="357" spans="1:3" ht="15" customHeight="1" x14ac:dyDescent="0.25">
      <c r="A357" s="56"/>
      <c r="B357" s="56"/>
      <c r="C357" s="56"/>
    </row>
    <row r="358" spans="1:3" ht="15" customHeight="1" x14ac:dyDescent="0.25">
      <c r="A358" s="56"/>
      <c r="B358" s="56"/>
      <c r="C358" s="56"/>
    </row>
    <row r="359" spans="1:3" ht="15" customHeight="1" x14ac:dyDescent="0.25">
      <c r="A359" s="56"/>
      <c r="B359" s="56"/>
      <c r="C359" s="56"/>
    </row>
    <row r="360" spans="1:3" ht="15" customHeight="1" x14ac:dyDescent="0.25">
      <c r="A360" s="56"/>
      <c r="B360" s="56"/>
      <c r="C360" s="56"/>
    </row>
    <row r="361" spans="1:3" ht="15" customHeight="1" x14ac:dyDescent="0.25">
      <c r="A361" s="56"/>
      <c r="B361" s="56"/>
      <c r="C361" s="56"/>
    </row>
    <row r="362" spans="1:3" ht="15" customHeight="1" x14ac:dyDescent="0.25">
      <c r="A362" s="56"/>
      <c r="B362" s="56"/>
      <c r="C362" s="56"/>
    </row>
    <row r="363" spans="1:3" ht="15" customHeight="1" x14ac:dyDescent="0.25">
      <c r="A363" s="56"/>
      <c r="B363" s="56"/>
      <c r="C363" s="56"/>
    </row>
    <row r="364" spans="1:3" ht="15" customHeight="1" x14ac:dyDescent="0.25">
      <c r="A364" s="56"/>
      <c r="B364" s="56"/>
      <c r="C364" s="56"/>
    </row>
    <row r="365" spans="1:3" ht="15" customHeight="1" x14ac:dyDescent="0.25">
      <c r="A365" s="56"/>
      <c r="B365" s="56"/>
      <c r="C365" s="56"/>
    </row>
    <row r="366" spans="1:3" ht="15" customHeight="1" x14ac:dyDescent="0.25">
      <c r="A366" s="56"/>
      <c r="B366" s="56"/>
      <c r="C366" s="56"/>
    </row>
    <row r="367" spans="1:3" ht="15" customHeight="1" x14ac:dyDescent="0.25">
      <c r="A367" s="56"/>
      <c r="B367" s="56"/>
      <c r="C367" s="56"/>
    </row>
    <row r="368" spans="1:3" ht="15" customHeight="1" x14ac:dyDescent="0.25">
      <c r="A368" s="56"/>
      <c r="B368" s="56"/>
      <c r="C368" s="56"/>
    </row>
    <row r="369" spans="1:3" ht="15" customHeight="1" x14ac:dyDescent="0.25">
      <c r="A369" s="56"/>
      <c r="B369" s="56"/>
      <c r="C369" s="56"/>
    </row>
    <row r="370" spans="1:3" ht="15" customHeight="1" x14ac:dyDescent="0.25">
      <c r="A370" s="56"/>
      <c r="B370" s="56"/>
      <c r="C370" s="56"/>
    </row>
    <row r="371" spans="1:3" ht="15" customHeight="1" x14ac:dyDescent="0.25">
      <c r="A371" s="56"/>
      <c r="B371" s="56"/>
      <c r="C371" s="56"/>
    </row>
    <row r="372" spans="1:3" ht="15" customHeight="1" x14ac:dyDescent="0.25">
      <c r="A372" s="56"/>
      <c r="B372" s="56"/>
      <c r="C372" s="56"/>
    </row>
    <row r="373" spans="1:3" ht="15" customHeight="1" x14ac:dyDescent="0.25">
      <c r="A373" s="56"/>
      <c r="B373" s="56"/>
      <c r="C373" s="56"/>
    </row>
    <row r="374" spans="1:3" ht="15" customHeight="1" x14ac:dyDescent="0.25">
      <c r="A374" s="56"/>
      <c r="B374" s="56"/>
      <c r="C374" s="56"/>
    </row>
    <row r="375" spans="1:3" ht="15" customHeight="1" x14ac:dyDescent="0.25">
      <c r="A375" s="56"/>
      <c r="B375" s="56"/>
      <c r="C375" s="56"/>
    </row>
    <row r="376" spans="1:3" ht="15" customHeight="1" x14ac:dyDescent="0.25">
      <c r="A376" s="56"/>
      <c r="B376" s="56"/>
      <c r="C376" s="56"/>
    </row>
    <row r="377" spans="1:3" ht="15" customHeight="1" x14ac:dyDescent="0.25">
      <c r="A377" s="56"/>
      <c r="B377" s="56"/>
      <c r="C377" s="56"/>
    </row>
    <row r="378" spans="1:3" ht="15" customHeight="1" x14ac:dyDescent="0.25">
      <c r="A378" s="56"/>
      <c r="B378" s="56"/>
      <c r="C378" s="56"/>
    </row>
    <row r="379" spans="1:3" ht="15" customHeight="1" x14ac:dyDescent="0.25">
      <c r="A379" s="56"/>
      <c r="B379" s="56"/>
      <c r="C379" s="56"/>
    </row>
    <row r="380" spans="1:3" ht="15" customHeight="1" x14ac:dyDescent="0.25">
      <c r="A380" s="56"/>
      <c r="B380" s="56"/>
      <c r="C380" s="56"/>
    </row>
    <row r="381" spans="1:3" ht="15" customHeight="1" x14ac:dyDescent="0.25">
      <c r="A381" s="56"/>
      <c r="B381" s="56"/>
      <c r="C381" s="56"/>
    </row>
    <row r="382" spans="1:3" ht="15" customHeight="1" x14ac:dyDescent="0.25">
      <c r="A382" s="56"/>
      <c r="B382" s="56"/>
      <c r="C382" s="56"/>
    </row>
    <row r="383" spans="1:3" ht="15" customHeight="1" x14ac:dyDescent="0.25">
      <c r="A383" s="56"/>
      <c r="B383" s="56"/>
      <c r="C383" s="56"/>
    </row>
    <row r="384" spans="1:3" ht="15" customHeight="1" x14ac:dyDescent="0.25">
      <c r="A384" s="56"/>
      <c r="B384" s="56"/>
      <c r="C384" s="56"/>
    </row>
    <row r="385" spans="1:3" ht="15" customHeight="1" x14ac:dyDescent="0.25">
      <c r="A385" s="56"/>
      <c r="B385" s="56"/>
      <c r="C385" s="56"/>
    </row>
    <row r="386" spans="1:3" ht="15" customHeight="1" x14ac:dyDescent="0.25">
      <c r="A386" s="56"/>
      <c r="B386" s="56"/>
      <c r="C386" s="56"/>
    </row>
    <row r="387" spans="1:3" ht="15" customHeight="1" x14ac:dyDescent="0.25">
      <c r="A387" s="56"/>
      <c r="B387" s="56"/>
      <c r="C387" s="56"/>
    </row>
    <row r="388" spans="1:3" ht="15" customHeight="1" x14ac:dyDescent="0.25">
      <c r="A388" s="56"/>
      <c r="B388" s="56"/>
      <c r="C388" s="56"/>
    </row>
    <row r="389" spans="1:3" ht="15" customHeight="1" x14ac:dyDescent="0.25">
      <c r="A389" s="56"/>
      <c r="B389" s="56"/>
      <c r="C389" s="56"/>
    </row>
    <row r="390" spans="1:3" ht="15" customHeight="1" x14ac:dyDescent="0.25">
      <c r="A390" s="56"/>
      <c r="B390" s="56"/>
      <c r="C390" s="56"/>
    </row>
    <row r="391" spans="1:3" ht="15" customHeight="1" x14ac:dyDescent="0.25">
      <c r="A391" s="56"/>
      <c r="B391" s="56"/>
      <c r="C391" s="56"/>
    </row>
    <row r="392" spans="1:3" ht="15" customHeight="1" x14ac:dyDescent="0.25">
      <c r="A392" s="56"/>
      <c r="B392" s="56"/>
      <c r="C392" s="56"/>
    </row>
    <row r="393" spans="1:3" ht="15" customHeight="1" x14ac:dyDescent="0.25">
      <c r="A393" s="56"/>
      <c r="B393" s="56"/>
      <c r="C393" s="56"/>
    </row>
    <row r="394" spans="1:3" ht="15" customHeight="1" x14ac:dyDescent="0.25">
      <c r="A394" s="56"/>
      <c r="B394" s="56"/>
      <c r="C394" s="56"/>
    </row>
    <row r="395" spans="1:3" ht="15" customHeight="1" x14ac:dyDescent="0.25">
      <c r="A395" s="56"/>
      <c r="B395" s="56"/>
      <c r="C395" s="56"/>
    </row>
    <row r="396" spans="1:3" ht="15" customHeight="1" x14ac:dyDescent="0.25">
      <c r="A396" s="56"/>
      <c r="B396" s="56"/>
      <c r="C396" s="56"/>
    </row>
    <row r="397" spans="1:3" ht="15" customHeight="1" x14ac:dyDescent="0.25">
      <c r="A397" s="56"/>
      <c r="B397" s="56"/>
      <c r="C397" s="56"/>
    </row>
    <row r="398" spans="1:3" ht="15" customHeight="1" x14ac:dyDescent="0.25">
      <c r="A398" s="56"/>
      <c r="B398" s="56"/>
      <c r="C398" s="56"/>
    </row>
    <row r="399" spans="1:3" ht="15" customHeight="1" x14ac:dyDescent="0.25">
      <c r="A399" s="56"/>
      <c r="B399" s="56"/>
      <c r="C399" s="56"/>
    </row>
    <row r="400" spans="1:3" ht="15" customHeight="1" x14ac:dyDescent="0.25">
      <c r="A400" s="56"/>
      <c r="B400" s="56"/>
      <c r="C400" s="56"/>
    </row>
    <row r="401" spans="1:3" ht="15" customHeight="1" x14ac:dyDescent="0.25">
      <c r="A401" s="56"/>
      <c r="B401" s="56"/>
      <c r="C401" s="56"/>
    </row>
    <row r="402" spans="1:3" ht="15" customHeight="1" x14ac:dyDescent="0.25">
      <c r="A402" s="56"/>
      <c r="B402" s="56"/>
      <c r="C402" s="56"/>
    </row>
    <row r="403" spans="1:3" ht="15" customHeight="1" x14ac:dyDescent="0.25">
      <c r="A403" s="56"/>
      <c r="B403" s="56"/>
      <c r="C403" s="56"/>
    </row>
    <row r="404" spans="1:3" ht="15" customHeight="1" x14ac:dyDescent="0.25">
      <c r="A404" s="56"/>
      <c r="B404" s="56"/>
      <c r="C404" s="56"/>
    </row>
    <row r="405" spans="1:3" ht="15" customHeight="1" x14ac:dyDescent="0.25">
      <c r="A405" s="56"/>
      <c r="B405" s="56"/>
      <c r="C405" s="56"/>
    </row>
    <row r="406" spans="1:3" ht="15" customHeight="1" x14ac:dyDescent="0.25">
      <c r="A406" s="56"/>
      <c r="B406" s="56"/>
      <c r="C406" s="56"/>
    </row>
    <row r="407" spans="1:3" ht="15" customHeight="1" x14ac:dyDescent="0.25">
      <c r="A407" s="56"/>
      <c r="B407" s="56"/>
      <c r="C407" s="56"/>
    </row>
    <row r="408" spans="1:3" ht="15" customHeight="1" x14ac:dyDescent="0.25">
      <c r="A408" s="56"/>
      <c r="B408" s="56"/>
      <c r="C408" s="56"/>
    </row>
    <row r="409" spans="1:3" ht="15" customHeight="1" x14ac:dyDescent="0.25">
      <c r="A409" s="56"/>
      <c r="B409" s="56"/>
      <c r="C409" s="56"/>
    </row>
    <row r="410" spans="1:3" ht="15" customHeight="1" x14ac:dyDescent="0.25">
      <c r="A410" s="56"/>
      <c r="B410" s="56"/>
      <c r="C410" s="56"/>
    </row>
    <row r="411" spans="1:3" ht="15" customHeight="1" x14ac:dyDescent="0.25">
      <c r="A411" s="56"/>
      <c r="B411" s="56"/>
      <c r="C411" s="56"/>
    </row>
    <row r="412" spans="1:3" ht="15" customHeight="1" x14ac:dyDescent="0.25">
      <c r="A412" s="56"/>
      <c r="B412" s="56"/>
      <c r="C412" s="56"/>
    </row>
    <row r="413" spans="1:3" ht="15" customHeight="1" x14ac:dyDescent="0.25">
      <c r="A413" s="56"/>
      <c r="B413" s="56"/>
      <c r="C413" s="56"/>
    </row>
    <row r="414" spans="1:3" ht="15" customHeight="1" x14ac:dyDescent="0.25">
      <c r="A414" s="56"/>
      <c r="B414" s="56"/>
      <c r="C414" s="56"/>
    </row>
    <row r="415" spans="1:3" ht="15" customHeight="1" x14ac:dyDescent="0.25">
      <c r="A415" s="56"/>
      <c r="B415" s="56"/>
      <c r="C415" s="56"/>
    </row>
    <row r="416" spans="1:3" ht="15" customHeight="1" x14ac:dyDescent="0.25">
      <c r="A416" s="56"/>
      <c r="B416" s="56"/>
      <c r="C416" s="56"/>
    </row>
    <row r="417" spans="1:3" ht="15" customHeight="1" x14ac:dyDescent="0.25">
      <c r="A417" s="56"/>
      <c r="B417" s="56"/>
      <c r="C417" s="56"/>
    </row>
    <row r="418" spans="1:3" ht="15" customHeight="1" x14ac:dyDescent="0.25">
      <c r="A418" s="56"/>
      <c r="B418" s="56"/>
      <c r="C418" s="56"/>
    </row>
    <row r="419" spans="1:3" ht="15" customHeight="1" x14ac:dyDescent="0.25">
      <c r="A419" s="56"/>
      <c r="B419" s="56"/>
      <c r="C419" s="56"/>
    </row>
    <row r="420" spans="1:3" ht="15" customHeight="1" x14ac:dyDescent="0.25">
      <c r="A420" s="56"/>
      <c r="B420" s="56"/>
      <c r="C420" s="56"/>
    </row>
    <row r="421" spans="1:3" ht="15" customHeight="1" x14ac:dyDescent="0.25">
      <c r="A421" s="56"/>
      <c r="B421" s="56"/>
      <c r="C421" s="56"/>
    </row>
    <row r="422" spans="1:3" ht="15" customHeight="1" x14ac:dyDescent="0.25">
      <c r="A422" s="56"/>
      <c r="B422" s="56"/>
      <c r="C422" s="56"/>
    </row>
    <row r="423" spans="1:3" ht="15" customHeight="1" x14ac:dyDescent="0.25">
      <c r="A423" s="56"/>
      <c r="B423" s="56"/>
      <c r="C423" s="56"/>
    </row>
    <row r="424" spans="1:3" ht="15" customHeight="1" x14ac:dyDescent="0.25">
      <c r="A424" s="56"/>
      <c r="B424" s="56"/>
      <c r="C424" s="56"/>
    </row>
    <row r="425" spans="1:3" ht="15" customHeight="1" x14ac:dyDescent="0.25">
      <c r="A425" s="56"/>
      <c r="B425" s="56"/>
      <c r="C425" s="56"/>
    </row>
    <row r="426" spans="1:3" ht="15" customHeight="1" x14ac:dyDescent="0.25">
      <c r="A426" s="56"/>
      <c r="B426" s="56"/>
      <c r="C426" s="56"/>
    </row>
    <row r="427" spans="1:3" ht="15" customHeight="1" x14ac:dyDescent="0.25">
      <c r="A427" s="56"/>
      <c r="B427" s="56"/>
      <c r="C427" s="56"/>
    </row>
    <row r="428" spans="1:3" ht="15" customHeight="1" x14ac:dyDescent="0.25">
      <c r="A428" s="56"/>
      <c r="B428" s="56"/>
      <c r="C428" s="56"/>
    </row>
    <row r="429" spans="1:3" ht="15" customHeight="1" x14ac:dyDescent="0.25">
      <c r="A429" s="56"/>
      <c r="B429" s="56"/>
      <c r="C429" s="56"/>
    </row>
    <row r="430" spans="1:3" ht="15" customHeight="1" x14ac:dyDescent="0.25">
      <c r="A430" s="56"/>
      <c r="B430" s="56"/>
      <c r="C430" s="56"/>
    </row>
    <row r="431" spans="1:3" ht="15" customHeight="1" x14ac:dyDescent="0.25">
      <c r="A431" s="56"/>
      <c r="B431" s="56"/>
      <c r="C431" s="56"/>
    </row>
    <row r="432" spans="1:3" ht="15" customHeight="1" x14ac:dyDescent="0.25">
      <c r="A432" s="56"/>
      <c r="B432" s="56"/>
      <c r="C432" s="56"/>
    </row>
    <row r="433" spans="1:3" ht="15" customHeight="1" x14ac:dyDescent="0.25">
      <c r="A433" s="56"/>
      <c r="B433" s="56"/>
      <c r="C433" s="56"/>
    </row>
    <row r="434" spans="1:3" ht="15" customHeight="1" x14ac:dyDescent="0.25">
      <c r="A434" s="56"/>
      <c r="B434" s="56"/>
      <c r="C434" s="56"/>
    </row>
    <row r="435" spans="1:3" ht="15" customHeight="1" x14ac:dyDescent="0.25">
      <c r="A435" s="56"/>
      <c r="B435" s="56"/>
      <c r="C435" s="56"/>
    </row>
    <row r="436" spans="1:3" ht="15" customHeight="1" x14ac:dyDescent="0.25">
      <c r="A436" s="56"/>
      <c r="B436" s="56"/>
      <c r="C436" s="56"/>
    </row>
    <row r="437" spans="1:3" ht="15" customHeight="1" x14ac:dyDescent="0.25">
      <c r="A437" s="56"/>
      <c r="B437" s="56"/>
      <c r="C437" s="56"/>
    </row>
    <row r="438" spans="1:3" ht="15" customHeight="1" x14ac:dyDescent="0.25">
      <c r="A438" s="56"/>
      <c r="B438" s="56"/>
      <c r="C438" s="56"/>
    </row>
    <row r="439" spans="1:3" ht="15" customHeight="1" x14ac:dyDescent="0.25">
      <c r="A439" s="56"/>
      <c r="B439" s="56"/>
      <c r="C439" s="56"/>
    </row>
    <row r="440" spans="1:3" ht="15" customHeight="1" x14ac:dyDescent="0.25">
      <c r="A440" s="56"/>
      <c r="B440" s="56"/>
      <c r="C440" s="56"/>
    </row>
    <row r="441" spans="1:3" ht="15" customHeight="1" x14ac:dyDescent="0.25">
      <c r="A441" s="56"/>
      <c r="B441" s="56"/>
      <c r="C441" s="56"/>
    </row>
    <row r="442" spans="1:3" ht="15" customHeight="1" x14ac:dyDescent="0.25">
      <c r="A442" s="56"/>
      <c r="B442" s="56"/>
      <c r="C442" s="56"/>
    </row>
    <row r="443" spans="1:3" ht="15" customHeight="1" x14ac:dyDescent="0.25">
      <c r="A443" s="56"/>
      <c r="B443" s="56"/>
      <c r="C443" s="56"/>
    </row>
    <row r="444" spans="1:3" ht="15" customHeight="1" x14ac:dyDescent="0.25">
      <c r="A444" s="56"/>
      <c r="B444" s="56"/>
      <c r="C444" s="56"/>
    </row>
    <row r="445" spans="1:3" ht="15" customHeight="1" x14ac:dyDescent="0.25">
      <c r="A445" s="56"/>
      <c r="B445" s="56"/>
      <c r="C445" s="56"/>
    </row>
    <row r="446" spans="1:3" ht="15" customHeight="1" x14ac:dyDescent="0.25">
      <c r="A446" s="56"/>
      <c r="B446" s="56"/>
      <c r="C446" s="56"/>
    </row>
    <row r="447" spans="1:3" ht="15" customHeight="1" x14ac:dyDescent="0.25">
      <c r="A447" s="56"/>
      <c r="B447" s="56"/>
      <c r="C447" s="56"/>
    </row>
    <row r="448" spans="1:3" ht="15" customHeight="1" x14ac:dyDescent="0.25">
      <c r="A448" s="56"/>
      <c r="B448" s="56"/>
      <c r="C448" s="56"/>
    </row>
    <row r="449" spans="1:3" ht="15" customHeight="1" x14ac:dyDescent="0.25">
      <c r="A449" s="56"/>
      <c r="B449" s="56"/>
      <c r="C449" s="56"/>
    </row>
    <row r="450" spans="1:3" ht="15" customHeight="1" x14ac:dyDescent="0.25">
      <c r="A450" s="56"/>
      <c r="B450" s="56"/>
      <c r="C450" s="56"/>
    </row>
    <row r="451" spans="1:3" ht="15" customHeight="1" x14ac:dyDescent="0.25">
      <c r="A451" s="56"/>
      <c r="B451" s="56"/>
      <c r="C451" s="56"/>
    </row>
    <row r="452" spans="1:3" ht="15" customHeight="1" x14ac:dyDescent="0.25">
      <c r="A452" s="56"/>
      <c r="B452" s="56"/>
      <c r="C452" s="56"/>
    </row>
    <row r="453" spans="1:3" ht="15" customHeight="1" x14ac:dyDescent="0.25">
      <c r="A453" s="56"/>
      <c r="B453" s="56"/>
      <c r="C453" s="56"/>
    </row>
    <row r="454" spans="1:3" ht="15" customHeight="1" x14ac:dyDescent="0.25">
      <c r="A454" s="56"/>
      <c r="B454" s="56"/>
      <c r="C454" s="56"/>
    </row>
    <row r="455" spans="1:3" ht="15" customHeight="1" x14ac:dyDescent="0.25">
      <c r="A455" s="56"/>
      <c r="B455" s="56"/>
      <c r="C455" s="56"/>
    </row>
    <row r="456" spans="1:3" ht="15" customHeight="1" x14ac:dyDescent="0.25">
      <c r="A456" s="56"/>
      <c r="B456" s="56"/>
      <c r="C456" s="56"/>
    </row>
    <row r="457" spans="1:3" ht="15" customHeight="1" x14ac:dyDescent="0.25">
      <c r="A457" s="56"/>
      <c r="B457" s="56"/>
      <c r="C457" s="56"/>
    </row>
    <row r="458" spans="1:3" ht="15" customHeight="1" x14ac:dyDescent="0.25">
      <c r="A458" s="56"/>
      <c r="B458" s="56"/>
      <c r="C458" s="56"/>
    </row>
    <row r="459" spans="1:3" ht="15" customHeight="1" x14ac:dyDescent="0.25">
      <c r="A459" s="56"/>
      <c r="B459" s="56"/>
      <c r="C459" s="56"/>
    </row>
    <row r="460" spans="1:3" ht="15" customHeight="1" x14ac:dyDescent="0.25">
      <c r="A460" s="56"/>
      <c r="B460" s="56"/>
      <c r="C460" s="56"/>
    </row>
    <row r="461" spans="1:3" ht="15" customHeight="1" x14ac:dyDescent="0.25">
      <c r="A461" s="56"/>
      <c r="B461" s="56"/>
      <c r="C461" s="56"/>
    </row>
    <row r="462" spans="1:3" ht="15" customHeight="1" x14ac:dyDescent="0.25">
      <c r="A462" s="56"/>
      <c r="B462" s="56"/>
      <c r="C462" s="56"/>
    </row>
    <row r="463" spans="1:3" ht="15" customHeight="1" x14ac:dyDescent="0.25">
      <c r="A463" s="56"/>
      <c r="B463" s="56"/>
      <c r="C463" s="56"/>
    </row>
    <row r="464" spans="1:3" ht="15" customHeight="1" x14ac:dyDescent="0.25">
      <c r="A464" s="56"/>
      <c r="B464" s="56"/>
      <c r="C464" s="56"/>
    </row>
    <row r="465" spans="1:3" ht="15" customHeight="1" x14ac:dyDescent="0.25">
      <c r="A465" s="56"/>
      <c r="B465" s="56"/>
      <c r="C465" s="56"/>
    </row>
  </sheetData>
  <autoFilter ref="E1:E466" xr:uid="{00000000-0009-0000-0000-000006000000}"/>
  <mergeCells count="7">
    <mergeCell ref="A1:F1"/>
    <mergeCell ref="A2:A3"/>
    <mergeCell ref="B2:B3"/>
    <mergeCell ref="C2:C3"/>
    <mergeCell ref="D2:D3"/>
    <mergeCell ref="E2:E3"/>
    <mergeCell ref="F2:F3"/>
  </mergeCells>
  <conditionalFormatting sqref="E5:E264">
    <cfRule type="expression" dxfId="7" priority="1">
      <formula>C5="OTHER"</formula>
    </cfRule>
    <cfRule type="expression" dxfId="6" priority="2">
      <formula>C5="BOF"</formula>
    </cfRule>
    <cfRule type="expression" dxfId="5" priority="3">
      <formula>C5="SWS"</formula>
    </cfRule>
    <cfRule type="expression" dxfId="4" priority="4">
      <formula>C5="BOD"</formula>
    </cfRule>
  </conditionalFormatting>
  <dataValidations count="1">
    <dataValidation type="list" allowBlank="1" showInputMessage="1" showErrorMessage="1" sqref="C5:C264" xr:uid="{00000000-0002-0000-0600-000000000000}">
      <formula1>"BOD, BOF, SWS, 1AX, 1GX, 1PX, 1VX, 1WX, 2CX, 6BX, ADX, ELX, OWX, MHQ, DFR, LPE, SRL, OTHER"</formula1>
    </dataValidation>
  </dataValidations>
  <pageMargins left="0.25" right="0.25" top="0.75" bottom="0.75" header="0.3" footer="0.3"/>
  <pageSetup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67B55-E0DF-4546-84D9-DD6C663D2342}">
  <sheetPr>
    <tabColor theme="5" tint="0.39997558519241921"/>
  </sheetPr>
  <dimension ref="A1:F464"/>
  <sheetViews>
    <sheetView workbookViewId="0">
      <selection activeCell="A32" sqref="A32"/>
    </sheetView>
  </sheetViews>
  <sheetFormatPr defaultColWidth="8.5703125" defaultRowHeight="11.25" x14ac:dyDescent="0.25"/>
  <cols>
    <col min="1" max="3" width="7.7109375" style="49" customWidth="1"/>
    <col min="4" max="4" width="8.42578125" style="50" customWidth="1"/>
    <col min="5" max="5" width="35.42578125" style="49" customWidth="1"/>
    <col min="6" max="6" width="12.5703125" style="49" customWidth="1"/>
    <col min="7" max="16384" width="8.5703125" style="2"/>
  </cols>
  <sheetData>
    <row r="1" spans="1:6" ht="15" customHeight="1" x14ac:dyDescent="0.25">
      <c r="A1" s="424" t="s">
        <v>209</v>
      </c>
      <c r="B1" s="424"/>
      <c r="C1" s="424"/>
      <c r="D1" s="424"/>
      <c r="E1" s="424"/>
      <c r="F1" s="424"/>
    </row>
    <row r="2" spans="1:6" ht="16.5" customHeight="1" x14ac:dyDescent="0.25">
      <c r="A2" s="344" t="s">
        <v>0</v>
      </c>
      <c r="B2" s="344" t="s">
        <v>8</v>
      </c>
      <c r="C2" s="337" t="s">
        <v>86</v>
      </c>
      <c r="D2" s="353" t="s">
        <v>1</v>
      </c>
      <c r="E2" s="344" t="s">
        <v>6</v>
      </c>
      <c r="F2" s="344" t="s">
        <v>9</v>
      </c>
    </row>
    <row r="3" spans="1:6" s="3" customFormat="1" ht="35.25" customHeight="1" x14ac:dyDescent="0.25">
      <c r="A3" s="345"/>
      <c r="B3" s="345"/>
      <c r="C3" s="338"/>
      <c r="D3" s="354"/>
      <c r="E3" s="345"/>
      <c r="F3" s="344"/>
    </row>
    <row r="4" spans="1:6" s="3" customFormat="1" ht="15" customHeight="1" x14ac:dyDescent="0.25">
      <c r="A4" s="196"/>
      <c r="B4" s="195"/>
      <c r="C4" s="195"/>
      <c r="D4" s="195"/>
      <c r="E4" s="195"/>
      <c r="F4" s="294"/>
    </row>
    <row r="5" spans="1:6" ht="15" customHeight="1" x14ac:dyDescent="0.25">
      <c r="A5" s="46">
        <v>45764</v>
      </c>
      <c r="B5" s="46"/>
      <c r="C5" s="46" t="s">
        <v>25</v>
      </c>
      <c r="D5" s="47">
        <v>198</v>
      </c>
      <c r="E5" s="21" t="s">
        <v>306</v>
      </c>
      <c r="F5" s="21" t="s">
        <v>307</v>
      </c>
    </row>
    <row r="6" spans="1:6" ht="15" customHeight="1" x14ac:dyDescent="0.25">
      <c r="A6" s="46">
        <v>45771</v>
      </c>
      <c r="B6" s="46"/>
      <c r="C6" s="46" t="s">
        <v>25</v>
      </c>
      <c r="D6" s="47">
        <v>219</v>
      </c>
      <c r="E6" s="21" t="s">
        <v>328</v>
      </c>
      <c r="F6" s="21" t="s">
        <v>329</v>
      </c>
    </row>
    <row r="7" spans="1:6" ht="15" customHeight="1" x14ac:dyDescent="0.25">
      <c r="A7" s="46">
        <v>45779</v>
      </c>
      <c r="B7" s="46" t="s">
        <v>354</v>
      </c>
      <c r="C7" s="46" t="s">
        <v>26</v>
      </c>
      <c r="D7" s="47">
        <v>243</v>
      </c>
      <c r="E7" s="21" t="s">
        <v>352</v>
      </c>
      <c r="F7" s="216" t="s">
        <v>353</v>
      </c>
    </row>
    <row r="8" spans="1:6" ht="15" customHeight="1" x14ac:dyDescent="0.25">
      <c r="A8" s="46">
        <v>45778</v>
      </c>
      <c r="B8" s="46" t="s">
        <v>357</v>
      </c>
      <c r="C8" s="46" t="s">
        <v>25</v>
      </c>
      <c r="D8" s="47">
        <v>245</v>
      </c>
      <c r="E8" s="21" t="s">
        <v>355</v>
      </c>
      <c r="F8" s="21" t="s">
        <v>356</v>
      </c>
    </row>
    <row r="9" spans="1:6" ht="15" customHeight="1" x14ac:dyDescent="0.25">
      <c r="A9" s="46">
        <v>45798</v>
      </c>
      <c r="B9" s="46" t="s">
        <v>416</v>
      </c>
      <c r="C9" s="46" t="s">
        <v>26</v>
      </c>
      <c r="D9" s="47">
        <v>325</v>
      </c>
      <c r="E9" s="21" t="s">
        <v>417</v>
      </c>
      <c r="F9" s="21" t="s">
        <v>418</v>
      </c>
    </row>
    <row r="10" spans="1:6" ht="15" customHeight="1" x14ac:dyDescent="0.25">
      <c r="A10" s="46">
        <v>45814</v>
      </c>
      <c r="B10" s="46" t="s">
        <v>531</v>
      </c>
      <c r="C10" s="46" t="s">
        <v>28</v>
      </c>
      <c r="D10" s="47">
        <v>408</v>
      </c>
      <c r="E10" s="21" t="s">
        <v>529</v>
      </c>
      <c r="F10" s="21" t="s">
        <v>530</v>
      </c>
    </row>
    <row r="11" spans="1:6" ht="15" customHeight="1" x14ac:dyDescent="0.25">
      <c r="A11" s="46">
        <v>45818</v>
      </c>
      <c r="B11" s="46" t="s">
        <v>545</v>
      </c>
      <c r="C11" s="46" t="s">
        <v>25</v>
      </c>
      <c r="D11" s="47">
        <v>428</v>
      </c>
      <c r="E11" s="21" t="s">
        <v>546</v>
      </c>
      <c r="F11" s="21" t="s">
        <v>547</v>
      </c>
    </row>
    <row r="12" spans="1:6" ht="15" customHeight="1" x14ac:dyDescent="0.25">
      <c r="A12" s="46">
        <v>45826</v>
      </c>
      <c r="B12" s="46" t="s">
        <v>661</v>
      </c>
      <c r="C12" s="46" t="s">
        <v>25</v>
      </c>
      <c r="D12" s="47">
        <v>481</v>
      </c>
      <c r="E12" s="21" t="s">
        <v>662</v>
      </c>
      <c r="F12" s="21" t="s">
        <v>663</v>
      </c>
    </row>
    <row r="13" spans="1:6" ht="15" customHeight="1" x14ac:dyDescent="0.25">
      <c r="A13" s="46">
        <v>45838</v>
      </c>
      <c r="B13" s="46" t="s">
        <v>850</v>
      </c>
      <c r="C13" s="46" t="s">
        <v>25</v>
      </c>
      <c r="D13" s="47">
        <v>640</v>
      </c>
      <c r="E13" s="21" t="s">
        <v>848</v>
      </c>
      <c r="F13" s="21" t="s">
        <v>849</v>
      </c>
    </row>
    <row r="14" spans="1:6" ht="15" customHeight="1" x14ac:dyDescent="0.25">
      <c r="A14" s="46">
        <v>45845</v>
      </c>
      <c r="B14" s="46" t="s">
        <v>969</v>
      </c>
      <c r="C14" s="46" t="s">
        <v>28</v>
      </c>
      <c r="D14" s="47">
        <v>738</v>
      </c>
      <c r="E14" s="21" t="s">
        <v>970</v>
      </c>
      <c r="F14" s="21" t="s">
        <v>971</v>
      </c>
    </row>
    <row r="15" spans="1:6" ht="15" customHeight="1" x14ac:dyDescent="0.25">
      <c r="A15" s="46">
        <v>45853</v>
      </c>
      <c r="B15" s="46" t="s">
        <v>1043</v>
      </c>
      <c r="C15" s="46" t="s">
        <v>25</v>
      </c>
      <c r="D15" s="47">
        <v>776</v>
      </c>
      <c r="E15" s="21" t="s">
        <v>1044</v>
      </c>
      <c r="F15" s="21" t="s">
        <v>1045</v>
      </c>
    </row>
    <row r="16" spans="1:6" ht="15" customHeight="1" x14ac:dyDescent="0.25">
      <c r="A16" s="46">
        <v>45869</v>
      </c>
      <c r="B16" s="46" t="s">
        <v>1269</v>
      </c>
      <c r="C16" s="46" t="s">
        <v>25</v>
      </c>
      <c r="D16" s="47">
        <v>893</v>
      </c>
      <c r="E16" s="21" t="s">
        <v>1268</v>
      </c>
      <c r="F16" s="21" t="s">
        <v>1270</v>
      </c>
    </row>
    <row r="17" spans="1:6" ht="15" customHeight="1" x14ac:dyDescent="0.25">
      <c r="A17" s="46">
        <v>45872</v>
      </c>
      <c r="B17" s="46" t="s">
        <v>1390</v>
      </c>
      <c r="C17" s="46" t="s">
        <v>25</v>
      </c>
      <c r="D17" s="47">
        <v>923</v>
      </c>
      <c r="E17" s="21" t="s">
        <v>1391</v>
      </c>
      <c r="F17" s="21" t="s">
        <v>1392</v>
      </c>
    </row>
    <row r="18" spans="1:6" ht="15" customHeight="1" x14ac:dyDescent="0.25">
      <c r="A18" s="46">
        <v>45874</v>
      </c>
      <c r="B18" s="46"/>
      <c r="C18" s="46" t="s">
        <v>28</v>
      </c>
      <c r="D18" s="47">
        <v>940</v>
      </c>
      <c r="E18" s="21" t="s">
        <v>1442</v>
      </c>
      <c r="F18" s="21" t="s">
        <v>1443</v>
      </c>
    </row>
    <row r="19" spans="1:6" ht="15" customHeight="1" x14ac:dyDescent="0.25">
      <c r="A19" s="46">
        <v>45874</v>
      </c>
      <c r="B19" s="46" t="s">
        <v>1458</v>
      </c>
      <c r="C19" s="46" t="s">
        <v>28</v>
      </c>
      <c r="D19" s="47">
        <v>936</v>
      </c>
      <c r="E19" s="21" t="s">
        <v>1457</v>
      </c>
      <c r="F19" s="21" t="s">
        <v>1437</v>
      </c>
    </row>
    <row r="20" spans="1:6" ht="15" customHeight="1" x14ac:dyDescent="0.25">
      <c r="A20" s="46">
        <v>45875</v>
      </c>
      <c r="B20" s="46" t="s">
        <v>1468</v>
      </c>
      <c r="C20" s="46" t="s">
        <v>25</v>
      </c>
      <c r="D20" s="47">
        <v>949</v>
      </c>
      <c r="E20" s="21" t="s">
        <v>1467</v>
      </c>
      <c r="F20" s="21" t="s">
        <v>1469</v>
      </c>
    </row>
    <row r="21" spans="1:6" ht="15" customHeight="1" x14ac:dyDescent="0.25">
      <c r="A21" s="46">
        <v>45892</v>
      </c>
      <c r="B21" s="46" t="s">
        <v>1627</v>
      </c>
      <c r="C21" s="46" t="s">
        <v>28</v>
      </c>
      <c r="D21" s="47">
        <v>1056</v>
      </c>
      <c r="E21" s="21" t="s">
        <v>1628</v>
      </c>
      <c r="F21" s="21" t="s">
        <v>1629</v>
      </c>
    </row>
    <row r="22" spans="1:6" ht="15" customHeight="1" x14ac:dyDescent="0.25">
      <c r="A22" s="46">
        <v>45893</v>
      </c>
      <c r="B22" s="46" t="s">
        <v>1630</v>
      </c>
      <c r="C22" s="46" t="s">
        <v>25</v>
      </c>
      <c r="D22" s="47">
        <v>1059</v>
      </c>
      <c r="E22" s="21" t="s">
        <v>1631</v>
      </c>
      <c r="F22" s="21" t="s">
        <v>1632</v>
      </c>
    </row>
    <row r="23" spans="1:6" ht="15" customHeight="1" x14ac:dyDescent="0.25">
      <c r="A23" s="46">
        <v>45901</v>
      </c>
      <c r="B23" s="46" t="s">
        <v>416</v>
      </c>
      <c r="C23" s="46" t="s">
        <v>26</v>
      </c>
      <c r="D23" s="47">
        <v>1096</v>
      </c>
      <c r="E23" s="21" t="s">
        <v>1674</v>
      </c>
      <c r="F23" s="21" t="s">
        <v>1675</v>
      </c>
    </row>
    <row r="24" spans="1:6" ht="15" customHeight="1" x14ac:dyDescent="0.25">
      <c r="A24" s="46">
        <v>45903</v>
      </c>
      <c r="B24" s="46" t="s">
        <v>1739</v>
      </c>
      <c r="C24" s="46" t="s">
        <v>25</v>
      </c>
      <c r="D24" s="47">
        <v>1110</v>
      </c>
      <c r="E24" s="21" t="s">
        <v>1740</v>
      </c>
      <c r="F24" s="21" t="s">
        <v>1741</v>
      </c>
    </row>
    <row r="25" spans="1:6" ht="15" customHeight="1" x14ac:dyDescent="0.25">
      <c r="A25" s="46">
        <v>45917</v>
      </c>
      <c r="B25" s="21" t="s">
        <v>1744</v>
      </c>
      <c r="C25" s="21" t="s">
        <v>25</v>
      </c>
      <c r="D25" s="21">
        <v>1161</v>
      </c>
      <c r="E25" s="21" t="s">
        <v>1742</v>
      </c>
      <c r="F25" s="21" t="s">
        <v>1743</v>
      </c>
    </row>
    <row r="26" spans="1:6" ht="15" customHeight="1" x14ac:dyDescent="0.25">
      <c r="A26" s="46">
        <v>45928</v>
      </c>
      <c r="B26" s="46" t="s">
        <v>1941</v>
      </c>
      <c r="C26" s="46" t="s">
        <v>26</v>
      </c>
      <c r="D26" s="47">
        <v>1214</v>
      </c>
      <c r="E26" s="21" t="s">
        <v>1940</v>
      </c>
      <c r="F26" s="21" t="s">
        <v>1942</v>
      </c>
    </row>
    <row r="27" spans="1:6" ht="15" customHeight="1" x14ac:dyDescent="0.25">
      <c r="A27" s="46">
        <v>45953</v>
      </c>
      <c r="B27" s="21" t="s">
        <v>416</v>
      </c>
      <c r="C27" s="21" t="s">
        <v>26</v>
      </c>
      <c r="D27" s="21">
        <v>1410</v>
      </c>
      <c r="E27" s="21" t="s">
        <v>2026</v>
      </c>
      <c r="F27" s="21" t="s">
        <v>2027</v>
      </c>
    </row>
    <row r="28" spans="1:6" ht="15" customHeight="1" x14ac:dyDescent="0.25">
      <c r="A28" s="46">
        <v>45964</v>
      </c>
      <c r="B28" s="46" t="s">
        <v>2057</v>
      </c>
      <c r="C28" s="46" t="s">
        <v>25</v>
      </c>
      <c r="D28" s="47">
        <v>1465</v>
      </c>
      <c r="E28" s="21" t="s">
        <v>2058</v>
      </c>
      <c r="F28" s="36" t="s">
        <v>2059</v>
      </c>
    </row>
    <row r="29" spans="1:6" ht="15" customHeight="1" x14ac:dyDescent="0.25">
      <c r="A29" s="46">
        <v>45966</v>
      </c>
      <c r="B29" s="46" t="s">
        <v>2062</v>
      </c>
      <c r="C29" s="46" t="s">
        <v>28</v>
      </c>
      <c r="D29" s="47">
        <v>1467</v>
      </c>
      <c r="E29" s="21" t="s">
        <v>2063</v>
      </c>
      <c r="F29" s="36" t="s">
        <v>2064</v>
      </c>
    </row>
    <row r="30" spans="1:6" ht="15" customHeight="1" x14ac:dyDescent="0.25">
      <c r="A30" s="46">
        <v>45966</v>
      </c>
      <c r="B30" s="21" t="s">
        <v>2065</v>
      </c>
      <c r="C30" s="21" t="s">
        <v>25</v>
      </c>
      <c r="D30" s="21">
        <v>1468</v>
      </c>
      <c r="E30" s="21" t="s">
        <v>2066</v>
      </c>
      <c r="F30" s="21" t="s">
        <v>2067</v>
      </c>
    </row>
    <row r="31" spans="1:6" ht="15" customHeight="1" x14ac:dyDescent="0.25">
      <c r="A31" s="46">
        <v>45969</v>
      </c>
      <c r="B31" s="46" t="s">
        <v>2070</v>
      </c>
      <c r="C31" s="46" t="s">
        <v>25</v>
      </c>
      <c r="D31" s="47">
        <v>1504</v>
      </c>
      <c r="E31" s="21" t="s">
        <v>2071</v>
      </c>
      <c r="F31" s="21" t="s">
        <v>2009</v>
      </c>
    </row>
    <row r="32" spans="1:6" ht="15" customHeight="1" x14ac:dyDescent="0.25">
      <c r="A32" s="46"/>
      <c r="B32" s="46"/>
      <c r="C32" s="46"/>
      <c r="D32" s="47"/>
      <c r="E32" s="21"/>
      <c r="F32" s="21"/>
    </row>
    <row r="33" spans="1:6" ht="15" customHeight="1" x14ac:dyDescent="0.25">
      <c r="A33" s="46"/>
      <c r="B33" s="46"/>
      <c r="C33" s="46"/>
      <c r="D33" s="47"/>
      <c r="E33" s="21"/>
      <c r="F33" s="21"/>
    </row>
    <row r="34" spans="1:6" ht="15" customHeight="1" x14ac:dyDescent="0.25">
      <c r="A34" s="46"/>
      <c r="B34" s="46"/>
      <c r="C34" s="46"/>
      <c r="D34" s="47"/>
      <c r="E34" s="21"/>
      <c r="F34" s="21"/>
    </row>
    <row r="35" spans="1:6" ht="13.5" customHeight="1" x14ac:dyDescent="0.25">
      <c r="A35" s="46"/>
      <c r="B35" s="21"/>
      <c r="C35" s="21"/>
      <c r="D35" s="21"/>
      <c r="E35" s="21"/>
      <c r="F35" s="21"/>
    </row>
    <row r="36" spans="1:6" ht="15" customHeight="1" x14ac:dyDescent="0.25">
      <c r="A36" s="46"/>
      <c r="B36" s="21"/>
      <c r="C36" s="21"/>
      <c r="D36" s="21"/>
      <c r="E36" s="21"/>
      <c r="F36" s="21"/>
    </row>
    <row r="37" spans="1:6" ht="15" customHeight="1" x14ac:dyDescent="0.25">
      <c r="A37" s="46"/>
      <c r="B37" s="21"/>
      <c r="C37" s="21"/>
      <c r="D37" s="21"/>
      <c r="E37" s="21"/>
      <c r="F37" s="21"/>
    </row>
    <row r="38" spans="1:6" ht="15" customHeight="1" x14ac:dyDescent="0.25">
      <c r="A38" s="46"/>
      <c r="B38" s="46"/>
      <c r="C38" s="46"/>
      <c r="D38" s="47"/>
      <c r="E38" s="21"/>
      <c r="F38" s="21"/>
    </row>
    <row r="39" spans="1:6" ht="15" customHeight="1" x14ac:dyDescent="0.25">
      <c r="A39" s="46"/>
      <c r="B39" s="21"/>
      <c r="C39" s="21"/>
      <c r="D39" s="47"/>
      <c r="E39" s="21"/>
      <c r="F39" s="21"/>
    </row>
    <row r="40" spans="1:6" ht="15" customHeight="1" x14ac:dyDescent="0.25">
      <c r="A40" s="46"/>
      <c r="B40" s="46"/>
      <c r="C40" s="46"/>
      <c r="D40" s="47"/>
      <c r="E40" s="21"/>
      <c r="F40" s="21"/>
    </row>
    <row r="41" spans="1:6" ht="15" customHeight="1" x14ac:dyDescent="0.25">
      <c r="A41" s="46"/>
      <c r="B41" s="46"/>
      <c r="C41" s="46"/>
      <c r="D41" s="47"/>
      <c r="E41" s="21"/>
      <c r="F41" s="21"/>
    </row>
    <row r="42" spans="1:6" ht="15" customHeight="1" x14ac:dyDescent="0.25">
      <c r="A42" s="46"/>
      <c r="B42" s="46"/>
      <c r="C42" s="46"/>
      <c r="D42" s="47"/>
      <c r="E42" s="21"/>
      <c r="F42" s="21"/>
    </row>
    <row r="43" spans="1:6" ht="15" customHeight="1" x14ac:dyDescent="0.25">
      <c r="A43" s="46"/>
      <c r="B43" s="46"/>
      <c r="C43" s="46"/>
      <c r="D43" s="47"/>
      <c r="E43" s="21"/>
      <c r="F43" s="21"/>
    </row>
    <row r="44" spans="1:6" ht="15" customHeight="1" x14ac:dyDescent="0.25">
      <c r="A44" s="46"/>
      <c r="B44" s="46"/>
      <c r="C44" s="46"/>
      <c r="D44" s="47"/>
      <c r="E44" s="21"/>
      <c r="F44" s="21"/>
    </row>
    <row r="45" spans="1:6" ht="15" customHeight="1" x14ac:dyDescent="0.25">
      <c r="A45" s="46"/>
      <c r="B45" s="46"/>
      <c r="C45" s="46"/>
      <c r="D45" s="47"/>
      <c r="E45" s="21"/>
      <c r="F45" s="21"/>
    </row>
    <row r="46" spans="1:6" ht="15" customHeight="1" x14ac:dyDescent="0.25">
      <c r="A46" s="46"/>
      <c r="B46" s="46"/>
      <c r="C46" s="46"/>
      <c r="D46" s="47"/>
      <c r="E46" s="21"/>
      <c r="F46" s="21"/>
    </row>
    <row r="47" spans="1:6" ht="15" customHeight="1" x14ac:dyDescent="0.25">
      <c r="A47" s="46"/>
      <c r="B47" s="46"/>
      <c r="C47" s="46"/>
      <c r="D47" s="47"/>
      <c r="E47" s="21"/>
      <c r="F47" s="21"/>
    </row>
    <row r="48" spans="1:6" ht="15" customHeight="1" x14ac:dyDescent="0.25">
      <c r="A48" s="46"/>
      <c r="B48" s="46"/>
      <c r="C48" s="46"/>
      <c r="D48" s="47"/>
      <c r="E48" s="21"/>
      <c r="F48" s="21"/>
    </row>
    <row r="49" spans="1:6" ht="15" customHeight="1" x14ac:dyDescent="0.25">
      <c r="A49" s="46"/>
      <c r="B49" s="46"/>
      <c r="C49" s="46"/>
      <c r="D49" s="47"/>
      <c r="E49" s="21"/>
      <c r="F49" s="21"/>
    </row>
    <row r="50" spans="1:6" ht="15" customHeight="1" x14ac:dyDescent="0.25">
      <c r="A50" s="46"/>
      <c r="B50" s="46"/>
      <c r="C50" s="46"/>
      <c r="D50" s="47"/>
      <c r="E50" s="21"/>
      <c r="F50" s="21"/>
    </row>
    <row r="51" spans="1:6" ht="15" customHeight="1" x14ac:dyDescent="0.25">
      <c r="A51" s="46"/>
      <c r="B51" s="21"/>
      <c r="C51" s="21"/>
      <c r="D51" s="21"/>
      <c r="E51" s="21"/>
      <c r="F51" s="21"/>
    </row>
    <row r="52" spans="1:6" ht="15" customHeight="1" x14ac:dyDescent="0.25">
      <c r="A52" s="46"/>
      <c r="B52" s="21"/>
      <c r="C52" s="21"/>
      <c r="D52" s="21"/>
      <c r="E52" s="21"/>
      <c r="F52" s="21"/>
    </row>
    <row r="53" spans="1:6" ht="15" customHeight="1" x14ac:dyDescent="0.25">
      <c r="A53" s="46"/>
      <c r="B53" s="46"/>
      <c r="C53" s="46"/>
      <c r="D53" s="47"/>
      <c r="E53" s="21"/>
      <c r="F53" s="21"/>
    </row>
    <row r="54" spans="1:6" ht="15" customHeight="1" x14ac:dyDescent="0.25">
      <c r="A54" s="46"/>
      <c r="B54" s="46"/>
      <c r="C54" s="46"/>
      <c r="D54" s="47"/>
      <c r="E54" s="21"/>
      <c r="F54" s="21"/>
    </row>
    <row r="55" spans="1:6" ht="15" customHeight="1" x14ac:dyDescent="0.25">
      <c r="A55" s="46"/>
      <c r="B55" s="46"/>
      <c r="C55" s="46"/>
      <c r="D55" s="47"/>
      <c r="E55" s="21"/>
      <c r="F55" s="21"/>
    </row>
    <row r="56" spans="1:6" ht="15" customHeight="1" x14ac:dyDescent="0.25">
      <c r="A56" s="46"/>
      <c r="B56" s="46"/>
      <c r="C56" s="46"/>
      <c r="D56" s="47"/>
      <c r="E56" s="21"/>
      <c r="F56" s="21"/>
    </row>
    <row r="57" spans="1:6" ht="15" customHeight="1" x14ac:dyDescent="0.25">
      <c r="A57" s="46"/>
      <c r="B57" s="46"/>
      <c r="C57" s="46"/>
      <c r="D57" s="47"/>
      <c r="E57" s="21"/>
      <c r="F57" s="21"/>
    </row>
    <row r="58" spans="1:6" ht="15" customHeight="1" x14ac:dyDescent="0.25">
      <c r="A58" s="46"/>
      <c r="B58" s="21"/>
      <c r="C58" s="21"/>
      <c r="D58" s="21"/>
      <c r="E58" s="21"/>
      <c r="F58" s="21"/>
    </row>
    <row r="59" spans="1:6" ht="15" customHeight="1" x14ac:dyDescent="0.25">
      <c r="A59" s="46"/>
      <c r="B59" s="46"/>
      <c r="C59" s="46"/>
      <c r="D59" s="47"/>
      <c r="E59" s="21"/>
      <c r="F59" s="21"/>
    </row>
    <row r="60" spans="1:6" ht="15" customHeight="1" x14ac:dyDescent="0.25">
      <c r="A60" s="46"/>
      <c r="B60" s="46"/>
      <c r="C60" s="46"/>
      <c r="D60" s="47"/>
      <c r="E60" s="21"/>
      <c r="F60" s="21"/>
    </row>
    <row r="61" spans="1:6" ht="15" customHeight="1" x14ac:dyDescent="0.25">
      <c r="A61" s="46"/>
      <c r="B61" s="21"/>
      <c r="C61" s="21"/>
      <c r="D61" s="21"/>
      <c r="E61" s="21"/>
      <c r="F61" s="21"/>
    </row>
    <row r="62" spans="1:6" ht="15" customHeight="1" x14ac:dyDescent="0.25">
      <c r="A62" s="46"/>
      <c r="B62" s="21"/>
      <c r="C62" s="21"/>
      <c r="D62" s="21"/>
      <c r="E62" s="21"/>
      <c r="F62" s="21"/>
    </row>
    <row r="63" spans="1:6" ht="15" customHeight="1" x14ac:dyDescent="0.25">
      <c r="A63" s="46"/>
      <c r="B63" s="21"/>
      <c r="C63" s="21"/>
      <c r="D63" s="21"/>
      <c r="E63" s="21"/>
      <c r="F63" s="21"/>
    </row>
    <row r="64" spans="1:6" ht="15" customHeight="1" x14ac:dyDescent="0.25">
      <c r="A64" s="46"/>
      <c r="B64" s="46"/>
      <c r="C64" s="46"/>
      <c r="D64" s="47"/>
      <c r="E64" s="21"/>
      <c r="F64" s="21"/>
    </row>
    <row r="65" spans="1:6" ht="15" customHeight="1" x14ac:dyDescent="0.25">
      <c r="A65" s="46"/>
      <c r="B65" s="46"/>
      <c r="C65" s="46"/>
      <c r="D65" s="47"/>
      <c r="E65" s="21"/>
      <c r="F65" s="21"/>
    </row>
    <row r="66" spans="1:6" ht="15" customHeight="1" x14ac:dyDescent="0.25">
      <c r="A66" s="46"/>
      <c r="B66" s="46"/>
      <c r="C66" s="46"/>
      <c r="D66" s="47"/>
      <c r="E66" s="21"/>
      <c r="F66" s="21"/>
    </row>
    <row r="67" spans="1:6" ht="15" customHeight="1" x14ac:dyDescent="0.25">
      <c r="A67" s="46"/>
      <c r="B67" s="46"/>
      <c r="C67" s="46"/>
      <c r="D67" s="47"/>
      <c r="E67" s="21"/>
      <c r="F67" s="21"/>
    </row>
    <row r="68" spans="1:6" ht="15" customHeight="1" x14ac:dyDescent="0.25">
      <c r="A68" s="46"/>
      <c r="B68" s="46"/>
      <c r="C68" s="46"/>
      <c r="D68" s="47"/>
      <c r="E68" s="21"/>
      <c r="F68" s="21"/>
    </row>
    <row r="69" spans="1:6" ht="15" customHeight="1" x14ac:dyDescent="0.25">
      <c r="A69" s="46"/>
      <c r="B69" s="46"/>
      <c r="C69" s="46"/>
      <c r="D69" s="47"/>
      <c r="E69" s="21"/>
      <c r="F69" s="21"/>
    </row>
    <row r="70" spans="1:6" ht="15" customHeight="1" x14ac:dyDescent="0.25">
      <c r="A70" s="46"/>
      <c r="B70" s="46"/>
      <c r="C70" s="46"/>
      <c r="D70" s="47"/>
      <c r="E70" s="21"/>
      <c r="F70" s="21"/>
    </row>
    <row r="71" spans="1:6" ht="15" customHeight="1" x14ac:dyDescent="0.25">
      <c r="A71" s="46"/>
      <c r="B71" s="46"/>
      <c r="C71" s="46"/>
      <c r="D71" s="47"/>
      <c r="E71" s="21"/>
      <c r="F71" s="21"/>
    </row>
    <row r="72" spans="1:6" ht="15" customHeight="1" x14ac:dyDescent="0.25">
      <c r="A72" s="46"/>
      <c r="B72" s="46"/>
      <c r="C72" s="46"/>
      <c r="D72" s="47"/>
      <c r="E72" s="21"/>
      <c r="F72" s="21"/>
    </row>
    <row r="73" spans="1:6" ht="15" customHeight="1" x14ac:dyDescent="0.25">
      <c r="A73" s="46"/>
      <c r="B73" s="46"/>
      <c r="C73" s="46"/>
      <c r="D73" s="47"/>
      <c r="E73" s="21"/>
      <c r="F73" s="21"/>
    </row>
    <row r="74" spans="1:6" ht="15" customHeight="1" x14ac:dyDescent="0.25">
      <c r="A74" s="46"/>
      <c r="B74" s="46"/>
      <c r="C74" s="46"/>
      <c r="D74" s="47"/>
      <c r="E74" s="21"/>
      <c r="F74" s="21"/>
    </row>
    <row r="75" spans="1:6" ht="15" customHeight="1" x14ac:dyDescent="0.25">
      <c r="A75" s="46"/>
      <c r="B75" s="46"/>
      <c r="C75" s="46"/>
      <c r="D75" s="47"/>
      <c r="E75" s="21"/>
      <c r="F75" s="21"/>
    </row>
    <row r="76" spans="1:6" ht="15" customHeight="1" x14ac:dyDescent="0.25">
      <c r="A76" s="46"/>
      <c r="B76" s="46"/>
      <c r="C76" s="46"/>
      <c r="D76" s="47"/>
      <c r="E76" s="21"/>
      <c r="F76" s="21"/>
    </row>
    <row r="77" spans="1:6" ht="15" customHeight="1" x14ac:dyDescent="0.25">
      <c r="A77" s="46"/>
      <c r="B77" s="46"/>
      <c r="C77" s="46"/>
      <c r="D77" s="47"/>
      <c r="E77" s="21"/>
      <c r="F77" s="21"/>
    </row>
    <row r="78" spans="1:6" ht="15" customHeight="1" x14ac:dyDescent="0.25">
      <c r="A78" s="46"/>
      <c r="B78" s="46"/>
      <c r="C78" s="46"/>
      <c r="D78" s="47"/>
      <c r="E78" s="21"/>
      <c r="F78" s="21"/>
    </row>
    <row r="79" spans="1:6" ht="15" customHeight="1" x14ac:dyDescent="0.25">
      <c r="A79" s="46"/>
      <c r="B79" s="46"/>
      <c r="C79" s="46"/>
      <c r="D79" s="47"/>
      <c r="E79" s="21"/>
      <c r="F79" s="21"/>
    </row>
    <row r="80" spans="1:6" ht="15" customHeight="1" x14ac:dyDescent="0.25">
      <c r="A80" s="46"/>
      <c r="B80" s="46"/>
      <c r="C80" s="46"/>
      <c r="D80" s="47"/>
      <c r="E80" s="21"/>
      <c r="F80" s="21"/>
    </row>
    <row r="81" spans="1:6" ht="15" customHeight="1" x14ac:dyDescent="0.25">
      <c r="A81" s="46"/>
      <c r="B81" s="46"/>
      <c r="C81" s="46"/>
      <c r="D81" s="47"/>
      <c r="E81" s="21"/>
      <c r="F81" s="21"/>
    </row>
    <row r="82" spans="1:6" ht="15" customHeight="1" x14ac:dyDescent="0.25">
      <c r="A82" s="46"/>
      <c r="B82" s="46"/>
      <c r="C82" s="46"/>
      <c r="D82" s="47"/>
      <c r="E82" s="21"/>
      <c r="F82" s="21"/>
    </row>
    <row r="83" spans="1:6" ht="15" customHeight="1" x14ac:dyDescent="0.25">
      <c r="A83" s="46"/>
      <c r="B83" s="46"/>
      <c r="C83" s="46"/>
      <c r="D83" s="47"/>
      <c r="E83" s="21"/>
      <c r="F83" s="21"/>
    </row>
    <row r="84" spans="1:6" ht="15" customHeight="1" x14ac:dyDescent="0.25">
      <c r="A84" s="46"/>
      <c r="B84" s="46"/>
      <c r="C84" s="46"/>
      <c r="D84" s="47"/>
      <c r="E84" s="21"/>
      <c r="F84" s="21"/>
    </row>
    <row r="85" spans="1:6" ht="15" customHeight="1" x14ac:dyDescent="0.25">
      <c r="A85" s="46"/>
      <c r="B85" s="46"/>
      <c r="C85" s="46"/>
      <c r="D85" s="47"/>
      <c r="E85" s="21"/>
      <c r="F85" s="21"/>
    </row>
    <row r="86" spans="1:6" ht="15" customHeight="1" x14ac:dyDescent="0.25">
      <c r="A86" s="46"/>
      <c r="B86" s="46"/>
      <c r="C86" s="46"/>
      <c r="D86" s="47"/>
      <c r="E86" s="21"/>
      <c r="F86" s="21"/>
    </row>
    <row r="87" spans="1:6" ht="15" customHeight="1" x14ac:dyDescent="0.25">
      <c r="A87" s="46"/>
      <c r="B87" s="46"/>
      <c r="C87" s="46"/>
      <c r="D87" s="47"/>
      <c r="E87" s="21"/>
      <c r="F87" s="36"/>
    </row>
    <row r="88" spans="1:6" ht="15" customHeight="1" x14ac:dyDescent="0.25">
      <c r="A88" s="46"/>
      <c r="B88" s="46"/>
      <c r="C88" s="46"/>
      <c r="D88" s="47"/>
      <c r="E88" s="21"/>
      <c r="F88" s="21"/>
    </row>
    <row r="89" spans="1:6" ht="15" customHeight="1" x14ac:dyDescent="0.25">
      <c r="A89" s="46"/>
      <c r="B89" s="46"/>
      <c r="C89" s="46"/>
      <c r="D89" s="47"/>
      <c r="E89" s="21"/>
      <c r="F89" s="21"/>
    </row>
    <row r="90" spans="1:6" ht="15" customHeight="1" x14ac:dyDescent="0.25">
      <c r="A90" s="46"/>
      <c r="B90" s="46"/>
      <c r="C90" s="46"/>
      <c r="D90" s="47"/>
      <c r="E90" s="21"/>
      <c r="F90" s="21"/>
    </row>
    <row r="91" spans="1:6" ht="15" customHeight="1" x14ac:dyDescent="0.25">
      <c r="A91" s="46"/>
      <c r="B91" s="46"/>
      <c r="C91" s="46"/>
      <c r="D91" s="47"/>
      <c r="E91" s="21"/>
      <c r="F91" s="21"/>
    </row>
    <row r="92" spans="1:6" ht="15" customHeight="1" x14ac:dyDescent="0.25">
      <c r="A92" s="46"/>
      <c r="B92" s="46"/>
      <c r="C92" s="46"/>
      <c r="D92" s="47"/>
      <c r="E92" s="21"/>
      <c r="F92" s="21"/>
    </row>
    <row r="93" spans="1:6" ht="15" customHeight="1" x14ac:dyDescent="0.25">
      <c r="A93" s="46"/>
      <c r="B93" s="46"/>
      <c r="C93" s="46"/>
      <c r="D93" s="47"/>
      <c r="E93" s="21"/>
      <c r="F93" s="21"/>
    </row>
    <row r="94" spans="1:6" ht="15" customHeight="1" x14ac:dyDescent="0.25">
      <c r="A94" s="46"/>
      <c r="B94" s="46"/>
      <c r="C94" s="46"/>
      <c r="D94" s="47"/>
      <c r="E94" s="21"/>
      <c r="F94" s="21"/>
    </row>
    <row r="95" spans="1:6" ht="15" customHeight="1" x14ac:dyDescent="0.25">
      <c r="A95" s="46"/>
      <c r="B95" s="46"/>
      <c r="C95" s="46"/>
      <c r="D95" s="47"/>
      <c r="E95" s="21"/>
      <c r="F95" s="21"/>
    </row>
    <row r="96" spans="1:6" ht="15" customHeight="1" x14ac:dyDescent="0.25">
      <c r="A96" s="46"/>
      <c r="B96" s="46"/>
      <c r="C96" s="46"/>
      <c r="D96" s="47"/>
      <c r="E96" s="21"/>
      <c r="F96" s="21"/>
    </row>
    <row r="97" spans="1:6" ht="15" customHeight="1" x14ac:dyDescent="0.25">
      <c r="A97" s="46"/>
      <c r="B97" s="46"/>
      <c r="C97" s="46"/>
      <c r="D97" s="47"/>
      <c r="E97" s="21"/>
      <c r="F97" s="21"/>
    </row>
    <row r="98" spans="1:6" ht="16.5" customHeight="1" x14ac:dyDescent="0.25">
      <c r="A98" s="46"/>
      <c r="B98" s="46"/>
      <c r="C98" s="46"/>
      <c r="D98" s="47"/>
      <c r="E98" s="21"/>
      <c r="F98" s="21"/>
    </row>
    <row r="99" spans="1:6" ht="16.5" customHeight="1" x14ac:dyDescent="0.25">
      <c r="A99" s="46"/>
      <c r="B99" s="46"/>
      <c r="C99" s="46"/>
      <c r="D99" s="47"/>
      <c r="E99" s="21"/>
      <c r="F99" s="21"/>
    </row>
    <row r="100" spans="1:6" ht="16.5" customHeight="1" x14ac:dyDescent="0.25">
      <c r="A100" s="46"/>
      <c r="B100" s="46"/>
      <c r="C100" s="46"/>
      <c r="D100" s="47"/>
      <c r="E100" s="21"/>
      <c r="F100" s="21"/>
    </row>
    <row r="101" spans="1:6" ht="16.5" customHeight="1" x14ac:dyDescent="0.25">
      <c r="A101" s="46"/>
      <c r="B101" s="46"/>
      <c r="C101" s="46"/>
      <c r="D101" s="47"/>
      <c r="E101" s="21"/>
      <c r="F101" s="21"/>
    </row>
    <row r="102" spans="1:6" ht="16.5" customHeight="1" x14ac:dyDescent="0.25">
      <c r="A102" s="46"/>
      <c r="B102" s="46"/>
      <c r="C102" s="46"/>
      <c r="D102" s="47"/>
      <c r="E102" s="21"/>
      <c r="F102" s="21"/>
    </row>
    <row r="103" spans="1:6" ht="16.5" customHeight="1" x14ac:dyDescent="0.25">
      <c r="A103" s="46"/>
      <c r="B103" s="46"/>
      <c r="C103" s="46"/>
      <c r="D103" s="47"/>
      <c r="E103" s="21"/>
      <c r="F103" s="21"/>
    </row>
    <row r="104" spans="1:6" ht="16.5" customHeight="1" x14ac:dyDescent="0.25">
      <c r="A104" s="46"/>
      <c r="B104" s="46"/>
      <c r="C104" s="46"/>
      <c r="D104" s="47"/>
      <c r="E104" s="21"/>
      <c r="F104" s="21"/>
    </row>
    <row r="105" spans="1:6" ht="16.5" customHeight="1" x14ac:dyDescent="0.25">
      <c r="A105" s="46"/>
      <c r="B105" s="46"/>
      <c r="C105" s="46"/>
      <c r="D105" s="47"/>
      <c r="E105" s="21"/>
      <c r="F105" s="21"/>
    </row>
    <row r="106" spans="1:6" ht="16.5" customHeight="1" x14ac:dyDescent="0.25">
      <c r="A106" s="46"/>
      <c r="B106" s="46"/>
      <c r="C106" s="46"/>
      <c r="D106" s="47"/>
      <c r="E106" s="21"/>
      <c r="F106" s="21"/>
    </row>
    <row r="107" spans="1:6" ht="15" customHeight="1" x14ac:dyDescent="0.25">
      <c r="A107" s="46"/>
      <c r="B107" s="46"/>
      <c r="C107" s="46"/>
      <c r="D107" s="47"/>
      <c r="E107" s="21"/>
      <c r="F107" s="21"/>
    </row>
    <row r="108" spans="1:6" ht="15" customHeight="1" x14ac:dyDescent="0.25">
      <c r="A108" s="46"/>
      <c r="B108" s="46"/>
      <c r="C108" s="46"/>
      <c r="D108" s="47"/>
      <c r="E108" s="21"/>
      <c r="F108" s="21"/>
    </row>
    <row r="109" spans="1:6" ht="15" customHeight="1" x14ac:dyDescent="0.25">
      <c r="A109" s="46"/>
      <c r="B109" s="46"/>
      <c r="C109" s="46"/>
      <c r="D109" s="47"/>
      <c r="E109" s="21"/>
      <c r="F109" s="21"/>
    </row>
    <row r="110" spans="1:6" ht="15" customHeight="1" x14ac:dyDescent="0.25">
      <c r="A110" s="46"/>
      <c r="B110" s="46"/>
      <c r="C110" s="46"/>
      <c r="D110" s="47"/>
      <c r="E110" s="21"/>
      <c r="F110" s="21"/>
    </row>
    <row r="111" spans="1:6" ht="15" customHeight="1" x14ac:dyDescent="0.25">
      <c r="A111" s="46"/>
      <c r="B111" s="46"/>
      <c r="C111" s="46"/>
      <c r="D111" s="47"/>
      <c r="E111" s="21"/>
      <c r="F111" s="21"/>
    </row>
    <row r="112" spans="1:6" ht="15" customHeight="1" x14ac:dyDescent="0.25">
      <c r="A112" s="46"/>
      <c r="B112" s="46"/>
      <c r="C112" s="46"/>
      <c r="D112" s="47"/>
      <c r="E112" s="21"/>
      <c r="F112" s="21"/>
    </row>
    <row r="113" spans="1:6" ht="15" customHeight="1" x14ac:dyDescent="0.25">
      <c r="A113" s="46"/>
      <c r="B113" s="46"/>
      <c r="C113" s="46"/>
      <c r="D113" s="47"/>
      <c r="E113" s="21"/>
      <c r="F113" s="21"/>
    </row>
    <row r="114" spans="1:6" ht="15" customHeight="1" x14ac:dyDescent="0.25">
      <c r="A114" s="46"/>
      <c r="B114" s="46"/>
      <c r="C114" s="46"/>
      <c r="D114" s="47"/>
      <c r="E114" s="21"/>
      <c r="F114" s="21"/>
    </row>
    <row r="115" spans="1:6" ht="15" customHeight="1" x14ac:dyDescent="0.25">
      <c r="A115" s="46"/>
      <c r="B115" s="46"/>
      <c r="C115" s="46"/>
      <c r="D115" s="47"/>
      <c r="E115" s="21"/>
      <c r="F115" s="21"/>
    </row>
    <row r="116" spans="1:6" ht="15" customHeight="1" x14ac:dyDescent="0.25">
      <c r="A116" s="46"/>
      <c r="B116" s="46"/>
      <c r="C116" s="46"/>
      <c r="D116" s="47"/>
      <c r="E116" s="21"/>
      <c r="F116" s="21"/>
    </row>
    <row r="117" spans="1:6" ht="15" customHeight="1" x14ac:dyDescent="0.25">
      <c r="A117" s="46"/>
      <c r="B117" s="46"/>
      <c r="C117" s="46"/>
      <c r="D117" s="47"/>
      <c r="E117" s="21"/>
      <c r="F117" s="21"/>
    </row>
    <row r="118" spans="1:6" ht="15" customHeight="1" x14ac:dyDescent="0.25">
      <c r="A118" s="46"/>
      <c r="B118" s="46"/>
      <c r="C118" s="46"/>
      <c r="D118" s="47"/>
      <c r="E118" s="21"/>
      <c r="F118" s="21"/>
    </row>
    <row r="119" spans="1:6" ht="15" customHeight="1" x14ac:dyDescent="0.25">
      <c r="A119" s="46"/>
      <c r="B119" s="46"/>
      <c r="C119" s="46"/>
      <c r="D119" s="47"/>
      <c r="E119" s="21"/>
      <c r="F119" s="21"/>
    </row>
    <row r="120" spans="1:6" ht="15" customHeight="1" x14ac:dyDescent="0.25">
      <c r="A120" s="46"/>
      <c r="B120" s="46"/>
      <c r="C120" s="46"/>
      <c r="D120" s="47"/>
      <c r="E120" s="21"/>
      <c r="F120" s="21"/>
    </row>
    <row r="121" spans="1:6" ht="15" customHeight="1" x14ac:dyDescent="0.25">
      <c r="A121" s="46"/>
      <c r="B121" s="46"/>
      <c r="C121" s="46"/>
      <c r="D121" s="47"/>
      <c r="E121" s="21"/>
      <c r="F121" s="21"/>
    </row>
    <row r="122" spans="1:6" ht="15.75" customHeight="1" x14ac:dyDescent="0.25">
      <c r="A122" s="46"/>
      <c r="B122" s="46"/>
      <c r="C122" s="46"/>
      <c r="D122" s="47"/>
      <c r="E122" s="21"/>
      <c r="F122" s="21"/>
    </row>
    <row r="123" spans="1:6" ht="15" customHeight="1" x14ac:dyDescent="0.25">
      <c r="A123" s="46"/>
      <c r="B123" s="46"/>
      <c r="C123" s="46"/>
      <c r="D123" s="47"/>
      <c r="E123" s="21"/>
      <c r="F123" s="21"/>
    </row>
    <row r="124" spans="1:6" ht="15" customHeight="1" x14ac:dyDescent="0.25">
      <c r="A124" s="46"/>
      <c r="B124" s="46"/>
      <c r="C124" s="46"/>
      <c r="D124" s="47"/>
      <c r="E124" s="21"/>
      <c r="F124" s="21"/>
    </row>
    <row r="125" spans="1:6" ht="15" customHeight="1" x14ac:dyDescent="0.25">
      <c r="A125" s="46"/>
      <c r="B125" s="46"/>
      <c r="C125" s="46"/>
      <c r="D125" s="47"/>
      <c r="E125" s="21"/>
      <c r="F125" s="21"/>
    </row>
    <row r="126" spans="1:6" ht="15" customHeight="1" x14ac:dyDescent="0.25">
      <c r="A126" s="46"/>
      <c r="B126" s="46"/>
      <c r="C126" s="46"/>
      <c r="D126" s="47"/>
      <c r="E126" s="21"/>
      <c r="F126" s="21"/>
    </row>
    <row r="127" spans="1:6" ht="15" customHeight="1" x14ac:dyDescent="0.25">
      <c r="A127" s="46"/>
      <c r="B127" s="46"/>
      <c r="C127" s="46"/>
      <c r="D127" s="47"/>
      <c r="E127" s="21"/>
      <c r="F127" s="21"/>
    </row>
    <row r="128" spans="1:6" ht="15" customHeight="1" x14ac:dyDescent="0.25">
      <c r="A128" s="46"/>
      <c r="B128" s="46"/>
      <c r="C128" s="46"/>
      <c r="D128" s="47"/>
      <c r="E128" s="21"/>
      <c r="F128" s="21"/>
    </row>
    <row r="129" spans="1:6" ht="15" customHeight="1" x14ac:dyDescent="0.25">
      <c r="A129" s="46"/>
      <c r="B129" s="46"/>
      <c r="C129" s="46"/>
      <c r="D129" s="47"/>
      <c r="E129" s="21"/>
      <c r="F129" s="21"/>
    </row>
    <row r="130" spans="1:6" ht="15" customHeight="1" x14ac:dyDescent="0.25">
      <c r="A130" s="46"/>
      <c r="B130" s="46"/>
      <c r="C130" s="46"/>
      <c r="D130" s="47"/>
      <c r="E130" s="21"/>
      <c r="F130" s="21"/>
    </row>
    <row r="131" spans="1:6" ht="15" customHeight="1" x14ac:dyDescent="0.25">
      <c r="A131" s="46"/>
      <c r="B131" s="46"/>
      <c r="C131" s="46"/>
      <c r="D131" s="47"/>
      <c r="E131" s="21"/>
      <c r="F131" s="21"/>
    </row>
    <row r="132" spans="1:6" ht="15" customHeight="1" x14ac:dyDescent="0.25">
      <c r="A132" s="46"/>
      <c r="B132" s="46"/>
      <c r="C132" s="46"/>
      <c r="D132" s="47"/>
      <c r="E132" s="21"/>
      <c r="F132" s="21"/>
    </row>
    <row r="133" spans="1:6" ht="15" customHeight="1" x14ac:dyDescent="0.25">
      <c r="A133" s="46"/>
      <c r="B133" s="46"/>
      <c r="C133" s="46"/>
      <c r="D133" s="47"/>
      <c r="E133" s="21"/>
      <c r="F133" s="21"/>
    </row>
    <row r="134" spans="1:6" ht="15" customHeight="1" x14ac:dyDescent="0.25">
      <c r="A134" s="46"/>
      <c r="B134" s="46"/>
      <c r="C134" s="46"/>
      <c r="D134" s="47"/>
      <c r="E134" s="21"/>
      <c r="F134" s="21"/>
    </row>
    <row r="135" spans="1:6" ht="15" customHeight="1" x14ac:dyDescent="0.25">
      <c r="A135" s="46"/>
      <c r="B135" s="46"/>
      <c r="C135" s="46"/>
      <c r="D135" s="47"/>
      <c r="E135" s="21"/>
      <c r="F135" s="21"/>
    </row>
    <row r="136" spans="1:6" ht="15" customHeight="1" x14ac:dyDescent="0.25">
      <c r="A136" s="46"/>
      <c r="B136" s="46"/>
      <c r="C136" s="46"/>
      <c r="D136" s="47"/>
      <c r="E136" s="21"/>
      <c r="F136" s="21"/>
    </row>
    <row r="137" spans="1:6" ht="15" customHeight="1" x14ac:dyDescent="0.25">
      <c r="A137" s="46"/>
      <c r="B137" s="46"/>
      <c r="C137" s="46"/>
      <c r="D137" s="47"/>
      <c r="E137" s="21"/>
      <c r="F137" s="21"/>
    </row>
    <row r="138" spans="1:6" ht="15" customHeight="1" x14ac:dyDescent="0.25">
      <c r="A138" s="46"/>
      <c r="B138" s="21"/>
      <c r="C138" s="21"/>
      <c r="D138" s="21"/>
      <c r="E138" s="21"/>
      <c r="F138" s="21"/>
    </row>
    <row r="139" spans="1:6" ht="15" customHeight="1" x14ac:dyDescent="0.25">
      <c r="A139" s="46"/>
      <c r="B139" s="46"/>
      <c r="C139" s="46"/>
      <c r="D139" s="47"/>
      <c r="E139" s="21"/>
      <c r="F139" s="21"/>
    </row>
    <row r="140" spans="1:6" ht="15" customHeight="1" x14ac:dyDescent="0.25">
      <c r="A140" s="46"/>
      <c r="B140" s="46"/>
      <c r="C140" s="46"/>
      <c r="D140" s="47"/>
      <c r="E140" s="21"/>
      <c r="F140" s="21"/>
    </row>
    <row r="141" spans="1:6" ht="15" customHeight="1" x14ac:dyDescent="0.25">
      <c r="A141" s="46"/>
      <c r="B141" s="46"/>
      <c r="C141" s="46"/>
      <c r="D141" s="47"/>
      <c r="E141" s="21"/>
      <c r="F141" s="21"/>
    </row>
    <row r="142" spans="1:6" ht="15" customHeight="1" x14ac:dyDescent="0.25">
      <c r="A142" s="68"/>
      <c r="B142" s="21"/>
      <c r="C142" s="21"/>
      <c r="D142" s="21"/>
      <c r="E142" s="21"/>
      <c r="F142" s="21"/>
    </row>
    <row r="143" spans="1:6" ht="15" customHeight="1" x14ac:dyDescent="0.25">
      <c r="A143" s="46"/>
      <c r="B143" s="46"/>
      <c r="C143" s="46"/>
      <c r="D143" s="47"/>
      <c r="E143" s="21"/>
      <c r="F143" s="21"/>
    </row>
    <row r="144" spans="1:6" ht="15" customHeight="1" x14ac:dyDescent="0.25">
      <c r="A144" s="46"/>
      <c r="B144" s="46"/>
      <c r="C144" s="46"/>
      <c r="D144" s="47"/>
      <c r="E144" s="21"/>
      <c r="F144" s="21"/>
    </row>
    <row r="145" spans="1:6" ht="15" customHeight="1" x14ac:dyDescent="0.25">
      <c r="A145" s="46"/>
      <c r="B145" s="46"/>
      <c r="C145" s="46"/>
      <c r="D145" s="47"/>
      <c r="E145" s="21"/>
      <c r="F145" s="21"/>
    </row>
    <row r="146" spans="1:6" ht="15" customHeight="1" x14ac:dyDescent="0.25">
      <c r="A146" s="46"/>
      <c r="B146" s="46"/>
      <c r="C146" s="46"/>
      <c r="D146" s="47"/>
      <c r="E146" s="21"/>
      <c r="F146" s="21"/>
    </row>
    <row r="147" spans="1:6" ht="15" customHeight="1" x14ac:dyDescent="0.25">
      <c r="A147" s="46"/>
      <c r="B147" s="46"/>
      <c r="C147" s="46"/>
      <c r="D147" s="47"/>
      <c r="E147" s="21"/>
      <c r="F147" s="21"/>
    </row>
    <row r="148" spans="1:6" ht="15" customHeight="1" x14ac:dyDescent="0.25">
      <c r="A148" s="46"/>
      <c r="B148" s="46"/>
      <c r="C148" s="46"/>
      <c r="D148" s="47"/>
      <c r="E148" s="21"/>
      <c r="F148" s="21"/>
    </row>
    <row r="149" spans="1:6" ht="15" customHeight="1" x14ac:dyDescent="0.25">
      <c r="A149" s="46"/>
      <c r="B149" s="46"/>
      <c r="C149" s="46"/>
      <c r="D149" s="47"/>
      <c r="E149" s="21"/>
      <c r="F149" s="21"/>
    </row>
    <row r="150" spans="1:6" ht="15" customHeight="1" x14ac:dyDescent="0.25">
      <c r="A150" s="46"/>
      <c r="B150" s="46"/>
      <c r="C150" s="46"/>
      <c r="D150" s="47"/>
      <c r="E150" s="21"/>
      <c r="F150" s="21"/>
    </row>
    <row r="151" spans="1:6" ht="15" customHeight="1" x14ac:dyDescent="0.25">
      <c r="A151" s="46"/>
      <c r="B151" s="46"/>
      <c r="C151" s="46"/>
      <c r="D151" s="47"/>
      <c r="E151" s="21"/>
      <c r="F151" s="21"/>
    </row>
    <row r="152" spans="1:6" ht="15" customHeight="1" x14ac:dyDescent="0.25">
      <c r="A152" s="46"/>
      <c r="B152" s="46"/>
      <c r="C152" s="46"/>
      <c r="D152" s="47"/>
      <c r="E152" s="21"/>
      <c r="F152" s="21"/>
    </row>
    <row r="153" spans="1:6" ht="15" customHeight="1" x14ac:dyDescent="0.25">
      <c r="A153" s="46"/>
      <c r="B153" s="46"/>
      <c r="C153" s="46"/>
      <c r="D153" s="47"/>
      <c r="E153" s="21"/>
      <c r="F153" s="21"/>
    </row>
    <row r="154" spans="1:6" ht="15" customHeight="1" x14ac:dyDescent="0.25">
      <c r="A154" s="46"/>
      <c r="B154" s="46"/>
      <c r="C154" s="46"/>
      <c r="D154" s="47"/>
      <c r="E154" s="21"/>
      <c r="F154" s="21"/>
    </row>
    <row r="155" spans="1:6" ht="15" customHeight="1" x14ac:dyDescent="0.25">
      <c r="A155" s="58"/>
      <c r="B155" s="58"/>
      <c r="C155" s="58"/>
      <c r="D155" s="59"/>
      <c r="E155" s="21"/>
      <c r="F155" s="21"/>
    </row>
    <row r="156" spans="1:6" s="43" customFormat="1" ht="15" customHeight="1" x14ac:dyDescent="0.25">
      <c r="A156" s="46"/>
      <c r="B156" s="46"/>
      <c r="C156" s="46"/>
      <c r="D156" s="47"/>
      <c r="E156" s="21"/>
      <c r="F156" s="21"/>
    </row>
    <row r="157" spans="1:6" ht="15" customHeight="1" x14ac:dyDescent="0.25">
      <c r="A157" s="46"/>
      <c r="B157" s="46"/>
      <c r="C157" s="46"/>
      <c r="D157" s="47"/>
      <c r="E157" s="21"/>
      <c r="F157" s="21"/>
    </row>
    <row r="158" spans="1:6" ht="15" customHeight="1" x14ac:dyDescent="0.25">
      <c r="A158" s="46"/>
      <c r="B158" s="46"/>
      <c r="C158" s="46"/>
      <c r="D158" s="47"/>
      <c r="E158" s="21"/>
      <c r="F158" s="21"/>
    </row>
    <row r="159" spans="1:6" ht="15" customHeight="1" x14ac:dyDescent="0.25">
      <c r="A159" s="46"/>
      <c r="B159" s="46"/>
      <c r="C159" s="46"/>
      <c r="D159" s="47"/>
      <c r="E159" s="21"/>
      <c r="F159" s="21"/>
    </row>
    <row r="160" spans="1:6" ht="15" customHeight="1" x14ac:dyDescent="0.25">
      <c r="A160" s="46"/>
      <c r="B160" s="46"/>
      <c r="C160" s="46"/>
      <c r="D160" s="47"/>
      <c r="E160" s="21"/>
      <c r="F160" s="21"/>
    </row>
    <row r="161" spans="1:6" ht="15" customHeight="1" x14ac:dyDescent="0.25">
      <c r="A161" s="46"/>
      <c r="B161" s="46"/>
      <c r="C161" s="46"/>
      <c r="D161" s="47"/>
      <c r="E161" s="21"/>
      <c r="F161" s="21"/>
    </row>
    <row r="162" spans="1:6" ht="15" customHeight="1" x14ac:dyDescent="0.25">
      <c r="A162" s="46"/>
      <c r="B162" s="46"/>
      <c r="C162" s="46"/>
      <c r="D162" s="47"/>
      <c r="E162" s="21"/>
      <c r="F162" s="21"/>
    </row>
    <row r="163" spans="1:6" ht="15" customHeight="1" x14ac:dyDescent="0.25">
      <c r="A163" s="46"/>
      <c r="B163" s="46"/>
      <c r="C163" s="46"/>
      <c r="D163" s="47"/>
      <c r="E163" s="21"/>
      <c r="F163" s="21"/>
    </row>
    <row r="164" spans="1:6" ht="15" customHeight="1" x14ac:dyDescent="0.25">
      <c r="A164" s="46"/>
      <c r="B164" s="46"/>
      <c r="C164" s="46"/>
      <c r="D164" s="47"/>
      <c r="E164" s="21"/>
      <c r="F164" s="21"/>
    </row>
    <row r="165" spans="1:6" ht="15" customHeight="1" x14ac:dyDescent="0.25">
      <c r="A165" s="46"/>
      <c r="B165" s="46"/>
      <c r="C165" s="46"/>
      <c r="D165" s="47"/>
      <c r="E165" s="21"/>
      <c r="F165" s="21"/>
    </row>
    <row r="166" spans="1:6" ht="15" customHeight="1" x14ac:dyDescent="0.25">
      <c r="A166" s="46"/>
      <c r="B166" s="46"/>
      <c r="C166" s="46"/>
      <c r="D166" s="47"/>
      <c r="E166" s="21"/>
      <c r="F166" s="21"/>
    </row>
    <row r="167" spans="1:6" ht="15" customHeight="1" x14ac:dyDescent="0.25">
      <c r="A167" s="46"/>
      <c r="B167" s="46"/>
      <c r="C167" s="46"/>
      <c r="D167" s="47"/>
      <c r="E167" s="21"/>
      <c r="F167" s="21"/>
    </row>
    <row r="168" spans="1:6" ht="15" customHeight="1" x14ac:dyDescent="0.25">
      <c r="A168" s="46"/>
      <c r="B168" s="46"/>
      <c r="C168" s="46"/>
      <c r="D168" s="47"/>
      <c r="E168" s="21"/>
      <c r="F168" s="21"/>
    </row>
    <row r="169" spans="1:6" ht="15" customHeight="1" x14ac:dyDescent="0.25">
      <c r="A169" s="46"/>
      <c r="B169" s="46"/>
      <c r="C169" s="46"/>
      <c r="D169" s="47"/>
      <c r="E169" s="21"/>
      <c r="F169" s="21"/>
    </row>
    <row r="170" spans="1:6" ht="15" customHeight="1" x14ac:dyDescent="0.25">
      <c r="A170" s="46"/>
      <c r="B170" s="46"/>
      <c r="C170" s="46"/>
      <c r="D170" s="47"/>
      <c r="E170" s="21"/>
      <c r="F170" s="21"/>
    </row>
    <row r="171" spans="1:6" ht="15" customHeight="1" x14ac:dyDescent="0.25">
      <c r="A171" s="46"/>
      <c r="B171" s="46"/>
      <c r="C171" s="46"/>
      <c r="D171" s="47"/>
      <c r="E171" s="21"/>
      <c r="F171" s="21"/>
    </row>
    <row r="172" spans="1:6" ht="15" customHeight="1" x14ac:dyDescent="0.25">
      <c r="A172" s="46"/>
      <c r="B172" s="46"/>
      <c r="C172" s="46"/>
      <c r="D172" s="47"/>
      <c r="E172" s="21"/>
      <c r="F172" s="21"/>
    </row>
    <row r="173" spans="1:6" ht="15" customHeight="1" x14ac:dyDescent="0.25">
      <c r="A173" s="46"/>
      <c r="B173" s="46"/>
      <c r="C173" s="46"/>
      <c r="D173" s="47"/>
      <c r="E173" s="21"/>
      <c r="F173" s="21"/>
    </row>
    <row r="174" spans="1:6" ht="15" customHeight="1" x14ac:dyDescent="0.25">
      <c r="A174" s="46"/>
      <c r="B174" s="46"/>
      <c r="C174" s="46"/>
      <c r="D174" s="47"/>
      <c r="E174" s="21"/>
      <c r="F174" s="21"/>
    </row>
    <row r="175" spans="1:6" ht="15" customHeight="1" x14ac:dyDescent="0.25">
      <c r="A175" s="46"/>
      <c r="B175" s="46"/>
      <c r="C175" s="46"/>
      <c r="D175" s="47"/>
      <c r="E175" s="21"/>
      <c r="F175" s="21"/>
    </row>
    <row r="176" spans="1:6" ht="15" customHeight="1" x14ac:dyDescent="0.25">
      <c r="A176" s="46"/>
      <c r="B176" s="46"/>
      <c r="C176" s="46"/>
      <c r="D176" s="47"/>
      <c r="E176" s="21"/>
      <c r="F176" s="21"/>
    </row>
    <row r="177" spans="1:6" ht="15" customHeight="1" x14ac:dyDescent="0.25">
      <c r="A177" s="46"/>
      <c r="B177" s="46"/>
      <c r="C177" s="46"/>
      <c r="D177" s="47"/>
      <c r="E177" s="21"/>
      <c r="F177" s="21"/>
    </row>
    <row r="178" spans="1:6" ht="15" customHeight="1" x14ac:dyDescent="0.25">
      <c r="A178" s="46"/>
      <c r="B178" s="46"/>
      <c r="C178" s="46"/>
      <c r="D178" s="47"/>
      <c r="E178" s="21"/>
      <c r="F178" s="21"/>
    </row>
    <row r="179" spans="1:6" ht="15" customHeight="1" x14ac:dyDescent="0.25">
      <c r="A179" s="46"/>
      <c r="B179" s="46"/>
      <c r="C179" s="46"/>
      <c r="D179" s="47"/>
      <c r="E179" s="21"/>
      <c r="F179" s="21"/>
    </row>
    <row r="180" spans="1:6" ht="15" customHeight="1" x14ac:dyDescent="0.25">
      <c r="A180" s="46"/>
      <c r="B180" s="46"/>
      <c r="C180" s="46"/>
      <c r="D180" s="47"/>
      <c r="E180" s="21"/>
      <c r="F180" s="21"/>
    </row>
    <row r="181" spans="1:6" ht="15" customHeight="1" x14ac:dyDescent="0.25">
      <c r="A181" s="46"/>
      <c r="B181" s="46"/>
      <c r="C181" s="46"/>
      <c r="D181" s="47"/>
      <c r="E181" s="21"/>
      <c r="F181" s="21"/>
    </row>
    <row r="182" spans="1:6" ht="15" customHeight="1" x14ac:dyDescent="0.25">
      <c r="A182" s="46"/>
      <c r="B182" s="46"/>
      <c r="C182" s="46"/>
      <c r="D182" s="47"/>
      <c r="E182" s="21"/>
      <c r="F182" s="21"/>
    </row>
    <row r="183" spans="1:6" ht="15" customHeight="1" x14ac:dyDescent="0.25">
      <c r="A183" s="46"/>
      <c r="B183" s="46"/>
      <c r="C183" s="46"/>
      <c r="D183" s="47"/>
      <c r="E183" s="21"/>
      <c r="F183" s="21"/>
    </row>
    <row r="184" spans="1:6" ht="15" customHeight="1" x14ac:dyDescent="0.25">
      <c r="A184" s="46"/>
      <c r="B184" s="46"/>
      <c r="C184" s="46"/>
      <c r="D184" s="47"/>
      <c r="E184" s="21"/>
      <c r="F184" s="21"/>
    </row>
    <row r="185" spans="1:6" ht="15" customHeight="1" x14ac:dyDescent="0.25">
      <c r="A185" s="46"/>
      <c r="B185" s="46"/>
      <c r="C185" s="46"/>
      <c r="D185" s="47"/>
      <c r="E185" s="21"/>
      <c r="F185" s="21"/>
    </row>
    <row r="186" spans="1:6" ht="15" customHeight="1" x14ac:dyDescent="0.25">
      <c r="A186" s="46"/>
      <c r="B186" s="46"/>
      <c r="C186" s="46"/>
      <c r="D186" s="47"/>
      <c r="E186" s="21"/>
      <c r="F186" s="21"/>
    </row>
    <row r="187" spans="1:6" ht="15" customHeight="1" x14ac:dyDescent="0.25">
      <c r="A187" s="46"/>
      <c r="B187" s="46"/>
      <c r="C187" s="46"/>
      <c r="D187" s="47"/>
      <c r="E187" s="21"/>
      <c r="F187" s="21"/>
    </row>
    <row r="188" spans="1:6" ht="15" customHeight="1" x14ac:dyDescent="0.25">
      <c r="A188" s="46"/>
      <c r="B188" s="46"/>
      <c r="C188" s="46"/>
      <c r="D188" s="47"/>
      <c r="E188" s="21"/>
      <c r="F188" s="21"/>
    </row>
    <row r="189" spans="1:6" ht="15" customHeight="1" x14ac:dyDescent="0.25">
      <c r="A189" s="46"/>
      <c r="B189" s="46"/>
      <c r="C189" s="46"/>
      <c r="D189" s="47"/>
      <c r="E189" s="21"/>
      <c r="F189" s="21"/>
    </row>
    <row r="190" spans="1:6" ht="15" customHeight="1" x14ac:dyDescent="0.25">
      <c r="A190" s="46"/>
      <c r="B190" s="46"/>
      <c r="C190" s="46"/>
      <c r="D190" s="47"/>
      <c r="E190" s="21"/>
      <c r="F190" s="21"/>
    </row>
    <row r="191" spans="1:6" ht="15" customHeight="1" x14ac:dyDescent="0.25">
      <c r="A191" s="46"/>
      <c r="B191" s="46"/>
      <c r="C191" s="46"/>
      <c r="D191" s="47"/>
      <c r="E191" s="21"/>
      <c r="F191" s="21"/>
    </row>
    <row r="192" spans="1:6" ht="15" customHeight="1" x14ac:dyDescent="0.25">
      <c r="A192" s="46"/>
      <c r="B192" s="46"/>
      <c r="C192" s="46"/>
      <c r="D192" s="47"/>
      <c r="E192" s="21"/>
      <c r="F192" s="21"/>
    </row>
    <row r="193" spans="1:6" ht="15" customHeight="1" x14ac:dyDescent="0.25">
      <c r="A193" s="46"/>
      <c r="B193" s="46"/>
      <c r="C193" s="46"/>
      <c r="D193" s="47"/>
      <c r="E193" s="21"/>
      <c r="F193" s="21"/>
    </row>
    <row r="194" spans="1:6" ht="15" customHeight="1" x14ac:dyDescent="0.25">
      <c r="A194" s="46"/>
      <c r="B194" s="46"/>
      <c r="C194" s="46"/>
      <c r="D194" s="47"/>
      <c r="E194" s="21"/>
      <c r="F194" s="21"/>
    </row>
    <row r="195" spans="1:6" ht="15" customHeight="1" x14ac:dyDescent="0.25">
      <c r="A195" s="46"/>
      <c r="B195" s="46"/>
      <c r="C195" s="46"/>
      <c r="D195" s="47"/>
      <c r="E195" s="21"/>
      <c r="F195" s="21"/>
    </row>
    <row r="196" spans="1:6" ht="15" customHeight="1" x14ac:dyDescent="0.25">
      <c r="A196" s="46"/>
      <c r="B196" s="46"/>
      <c r="C196" s="46"/>
      <c r="D196" s="47"/>
      <c r="E196" s="21"/>
      <c r="F196" s="21"/>
    </row>
    <row r="197" spans="1:6" ht="15" customHeight="1" x14ac:dyDescent="0.25">
      <c r="A197" s="46"/>
      <c r="B197" s="46"/>
      <c r="C197" s="46"/>
      <c r="D197" s="47"/>
      <c r="E197" s="21"/>
      <c r="F197" s="21"/>
    </row>
    <row r="198" spans="1:6" ht="15" customHeight="1" x14ac:dyDescent="0.25">
      <c r="A198" s="46"/>
      <c r="B198" s="46"/>
      <c r="C198" s="46"/>
      <c r="D198" s="47"/>
      <c r="E198" s="21"/>
      <c r="F198" s="21"/>
    </row>
    <row r="199" spans="1:6" ht="15" customHeight="1" x14ac:dyDescent="0.25">
      <c r="A199" s="46"/>
      <c r="B199" s="46"/>
      <c r="C199" s="46"/>
      <c r="D199" s="47"/>
      <c r="E199" s="21"/>
      <c r="F199" s="21"/>
    </row>
    <row r="200" spans="1:6" ht="15" customHeight="1" x14ac:dyDescent="0.25">
      <c r="A200" s="46"/>
      <c r="B200" s="46"/>
      <c r="C200" s="46"/>
      <c r="D200" s="47"/>
      <c r="E200" s="21"/>
      <c r="F200" s="21"/>
    </row>
    <row r="201" spans="1:6" ht="15" customHeight="1" x14ac:dyDescent="0.25">
      <c r="A201" s="46"/>
      <c r="B201" s="46"/>
      <c r="C201" s="46"/>
      <c r="D201" s="47"/>
      <c r="E201" s="21"/>
      <c r="F201" s="21"/>
    </row>
    <row r="202" spans="1:6" ht="15" customHeight="1" x14ac:dyDescent="0.25">
      <c r="A202" s="46"/>
      <c r="B202" s="46"/>
      <c r="C202" s="46"/>
      <c r="D202" s="47"/>
      <c r="E202" s="21"/>
      <c r="F202" s="21"/>
    </row>
    <row r="203" spans="1:6" ht="15" customHeight="1" x14ac:dyDescent="0.25">
      <c r="A203" s="46"/>
      <c r="B203" s="46"/>
      <c r="C203" s="46"/>
      <c r="D203" s="47"/>
      <c r="E203" s="21"/>
      <c r="F203" s="21"/>
    </row>
    <row r="204" spans="1:6" ht="15" customHeight="1" x14ac:dyDescent="0.25">
      <c r="A204" s="46"/>
      <c r="B204" s="46"/>
      <c r="C204" s="46"/>
      <c r="D204" s="47"/>
      <c r="E204" s="21"/>
      <c r="F204" s="21"/>
    </row>
    <row r="205" spans="1:6" ht="15" customHeight="1" x14ac:dyDescent="0.25">
      <c r="A205" s="46"/>
      <c r="B205" s="46"/>
      <c r="C205" s="46"/>
      <c r="D205" s="47"/>
      <c r="E205" s="21"/>
      <c r="F205" s="21"/>
    </row>
    <row r="206" spans="1:6" ht="15" customHeight="1" x14ac:dyDescent="0.25">
      <c r="A206" s="46"/>
      <c r="B206" s="46"/>
      <c r="C206" s="46"/>
      <c r="D206" s="47"/>
      <c r="E206" s="21"/>
      <c r="F206" s="21"/>
    </row>
    <row r="207" spans="1:6" ht="15" customHeight="1" x14ac:dyDescent="0.25">
      <c r="A207" s="46"/>
      <c r="B207" s="46"/>
      <c r="C207" s="46"/>
      <c r="D207" s="47"/>
      <c r="E207" s="21"/>
      <c r="F207" s="21"/>
    </row>
    <row r="208" spans="1:6" ht="15" customHeight="1" x14ac:dyDescent="0.25">
      <c r="A208" s="46"/>
      <c r="B208" s="46"/>
      <c r="C208" s="46"/>
      <c r="D208" s="47"/>
      <c r="E208" s="21"/>
      <c r="F208" s="21"/>
    </row>
    <row r="209" spans="1:6" ht="15" customHeight="1" x14ac:dyDescent="0.25">
      <c r="A209" s="46"/>
      <c r="B209" s="46"/>
      <c r="C209" s="46"/>
      <c r="D209" s="47"/>
      <c r="E209" s="21"/>
      <c r="F209" s="21"/>
    </row>
    <row r="210" spans="1:6" ht="15" customHeight="1" x14ac:dyDescent="0.25">
      <c r="A210" s="46"/>
      <c r="B210" s="46"/>
      <c r="C210" s="46"/>
      <c r="D210" s="47"/>
      <c r="E210" s="21"/>
      <c r="F210" s="21"/>
    </row>
    <row r="211" spans="1:6" ht="15" customHeight="1" x14ac:dyDescent="0.25">
      <c r="A211" s="46"/>
      <c r="B211" s="46"/>
      <c r="C211" s="46"/>
      <c r="D211" s="47"/>
      <c r="E211" s="21"/>
      <c r="F211" s="21"/>
    </row>
    <row r="212" spans="1:6" ht="15" customHeight="1" x14ac:dyDescent="0.25">
      <c r="A212" s="46"/>
      <c r="B212" s="46"/>
      <c r="C212" s="46"/>
      <c r="D212" s="47"/>
      <c r="E212" s="21"/>
      <c r="F212" s="21"/>
    </row>
    <row r="213" spans="1:6" ht="15" customHeight="1" x14ac:dyDescent="0.25">
      <c r="A213" s="46"/>
      <c r="B213" s="46"/>
      <c r="C213" s="46"/>
      <c r="D213" s="47"/>
      <c r="E213" s="21"/>
      <c r="F213" s="21"/>
    </row>
    <row r="214" spans="1:6" ht="15" customHeight="1" x14ac:dyDescent="0.25">
      <c r="A214" s="46"/>
      <c r="B214" s="46"/>
      <c r="C214" s="46"/>
      <c r="D214" s="47"/>
      <c r="E214" s="21"/>
      <c r="F214" s="21"/>
    </row>
    <row r="215" spans="1:6" ht="15" customHeight="1" x14ac:dyDescent="0.25">
      <c r="A215" s="46"/>
      <c r="B215" s="46"/>
      <c r="C215" s="46"/>
      <c r="D215" s="47"/>
      <c r="E215" s="21"/>
      <c r="F215" s="21"/>
    </row>
    <row r="216" spans="1:6" ht="15" customHeight="1" x14ac:dyDescent="0.25">
      <c r="A216" s="46"/>
      <c r="B216" s="46"/>
      <c r="C216" s="46"/>
      <c r="D216" s="47"/>
      <c r="E216" s="21"/>
      <c r="F216" s="21"/>
    </row>
    <row r="217" spans="1:6" ht="15" customHeight="1" x14ac:dyDescent="0.25">
      <c r="A217" s="46"/>
      <c r="B217" s="46"/>
      <c r="C217" s="46"/>
      <c r="D217" s="47"/>
      <c r="E217" s="21"/>
      <c r="F217" s="21"/>
    </row>
    <row r="218" spans="1:6" ht="15" customHeight="1" x14ac:dyDescent="0.25">
      <c r="A218" s="46"/>
      <c r="B218" s="46"/>
      <c r="C218" s="46"/>
      <c r="D218" s="47"/>
      <c r="E218" s="21"/>
      <c r="F218" s="21"/>
    </row>
    <row r="219" spans="1:6" ht="15" customHeight="1" x14ac:dyDescent="0.25">
      <c r="A219" s="46"/>
      <c r="B219" s="46"/>
      <c r="C219" s="46"/>
      <c r="D219" s="47"/>
      <c r="E219" s="21"/>
      <c r="F219" s="21"/>
    </row>
    <row r="220" spans="1:6" ht="15" customHeight="1" x14ac:dyDescent="0.25">
      <c r="A220" s="46"/>
      <c r="B220" s="46"/>
      <c r="C220" s="46"/>
      <c r="D220" s="47"/>
      <c r="E220" s="21"/>
      <c r="F220" s="21"/>
    </row>
    <row r="221" spans="1:6" ht="15" customHeight="1" x14ac:dyDescent="0.25">
      <c r="A221" s="46"/>
      <c r="B221" s="46"/>
      <c r="C221" s="46"/>
      <c r="D221" s="47"/>
      <c r="E221" s="21"/>
      <c r="F221" s="21"/>
    </row>
    <row r="222" spans="1:6" ht="15" customHeight="1" x14ac:dyDescent="0.25">
      <c r="A222" s="46"/>
      <c r="B222" s="46"/>
      <c r="C222" s="46"/>
      <c r="D222" s="47"/>
      <c r="E222" s="21"/>
      <c r="F222" s="21"/>
    </row>
    <row r="223" spans="1:6" ht="15" customHeight="1" x14ac:dyDescent="0.25">
      <c r="A223" s="46"/>
      <c r="B223" s="46"/>
      <c r="C223" s="46"/>
      <c r="D223" s="47"/>
      <c r="E223" s="21"/>
      <c r="F223" s="21"/>
    </row>
    <row r="224" spans="1:6" ht="15" customHeight="1" x14ac:dyDescent="0.25">
      <c r="A224" s="46"/>
      <c r="B224" s="46"/>
      <c r="C224" s="46"/>
      <c r="D224" s="47"/>
      <c r="E224" s="21"/>
      <c r="F224" s="21"/>
    </row>
    <row r="225" spans="1:6" ht="15" customHeight="1" x14ac:dyDescent="0.25">
      <c r="A225" s="46"/>
      <c r="B225" s="46"/>
      <c r="C225" s="46"/>
      <c r="D225" s="47"/>
      <c r="E225" s="21"/>
      <c r="F225" s="21"/>
    </row>
    <row r="226" spans="1:6" ht="15" customHeight="1" x14ac:dyDescent="0.25">
      <c r="A226" s="46"/>
      <c r="B226" s="46"/>
      <c r="C226" s="46"/>
      <c r="D226" s="47"/>
      <c r="E226" s="21"/>
      <c r="F226" s="21"/>
    </row>
    <row r="227" spans="1:6" ht="15" customHeight="1" x14ac:dyDescent="0.25">
      <c r="A227" s="46"/>
      <c r="B227" s="46"/>
      <c r="C227" s="46"/>
      <c r="D227" s="47"/>
      <c r="E227" s="21"/>
      <c r="F227" s="21"/>
    </row>
    <row r="228" spans="1:6" ht="15" customHeight="1" x14ac:dyDescent="0.25">
      <c r="A228" s="46"/>
      <c r="B228" s="46"/>
      <c r="C228" s="46"/>
      <c r="D228" s="47"/>
      <c r="E228" s="21"/>
      <c r="F228" s="21"/>
    </row>
    <row r="229" spans="1:6" ht="15" customHeight="1" x14ac:dyDescent="0.25">
      <c r="A229" s="46"/>
      <c r="B229" s="46"/>
      <c r="C229" s="46"/>
      <c r="D229" s="47"/>
      <c r="E229" s="21"/>
      <c r="F229" s="21"/>
    </row>
    <row r="230" spans="1:6" ht="15" customHeight="1" x14ac:dyDescent="0.25">
      <c r="A230" s="46"/>
      <c r="B230" s="46"/>
      <c r="C230" s="46"/>
      <c r="D230" s="47"/>
      <c r="E230" s="21"/>
      <c r="F230" s="21"/>
    </row>
    <row r="231" spans="1:6" ht="15" customHeight="1" x14ac:dyDescent="0.25">
      <c r="A231" s="46"/>
      <c r="B231" s="46"/>
      <c r="C231" s="46"/>
      <c r="D231" s="47"/>
      <c r="E231" s="21"/>
      <c r="F231" s="21"/>
    </row>
    <row r="232" spans="1:6" ht="15" customHeight="1" x14ac:dyDescent="0.25">
      <c r="A232" s="46"/>
      <c r="B232" s="46"/>
      <c r="C232" s="46"/>
      <c r="D232" s="47"/>
      <c r="E232" s="21"/>
      <c r="F232" s="21"/>
    </row>
    <row r="233" spans="1:6" ht="15" customHeight="1" x14ac:dyDescent="0.25">
      <c r="A233" s="46"/>
      <c r="B233" s="46"/>
      <c r="C233" s="46"/>
      <c r="D233" s="47"/>
      <c r="E233" s="21"/>
      <c r="F233" s="21"/>
    </row>
    <row r="234" spans="1:6" ht="15" customHeight="1" x14ac:dyDescent="0.25">
      <c r="A234" s="46"/>
      <c r="B234" s="46"/>
      <c r="C234" s="46"/>
      <c r="D234" s="47"/>
      <c r="E234" s="21"/>
      <c r="F234" s="21"/>
    </row>
    <row r="235" spans="1:6" ht="15" customHeight="1" x14ac:dyDescent="0.25">
      <c r="A235" s="46"/>
      <c r="B235" s="46"/>
      <c r="C235" s="46"/>
      <c r="D235" s="47"/>
      <c r="E235" s="21"/>
      <c r="F235" s="21"/>
    </row>
    <row r="236" spans="1:6" ht="15" customHeight="1" x14ac:dyDescent="0.25">
      <c r="A236" s="46"/>
      <c r="B236" s="46"/>
      <c r="C236" s="46"/>
      <c r="D236" s="47"/>
      <c r="E236" s="21"/>
      <c r="F236" s="21"/>
    </row>
    <row r="237" spans="1:6" ht="15" customHeight="1" x14ac:dyDescent="0.25">
      <c r="A237" s="46"/>
      <c r="B237" s="46"/>
      <c r="C237" s="46"/>
      <c r="D237" s="47"/>
      <c r="E237" s="21"/>
      <c r="F237" s="21"/>
    </row>
    <row r="238" spans="1:6" ht="15" customHeight="1" x14ac:dyDescent="0.25">
      <c r="A238" s="46"/>
      <c r="B238" s="46"/>
      <c r="C238" s="46"/>
      <c r="D238" s="47"/>
      <c r="E238" s="21"/>
      <c r="F238" s="21"/>
    </row>
    <row r="239" spans="1:6" ht="15" customHeight="1" x14ac:dyDescent="0.25">
      <c r="A239" s="46"/>
      <c r="B239" s="46"/>
      <c r="C239" s="46"/>
      <c r="D239" s="47"/>
      <c r="E239" s="21"/>
      <c r="F239" s="21"/>
    </row>
    <row r="240" spans="1:6" ht="15" customHeight="1" x14ac:dyDescent="0.25">
      <c r="A240" s="46"/>
      <c r="B240" s="46"/>
      <c r="C240" s="46"/>
      <c r="D240" s="47"/>
      <c r="E240" s="21"/>
      <c r="F240" s="21"/>
    </row>
    <row r="241" spans="1:6" ht="15" customHeight="1" x14ac:dyDescent="0.25">
      <c r="A241" s="46"/>
      <c r="B241" s="46"/>
      <c r="C241" s="46"/>
      <c r="D241" s="47"/>
      <c r="E241" s="21"/>
      <c r="F241" s="21"/>
    </row>
    <row r="242" spans="1:6" ht="15" customHeight="1" x14ac:dyDescent="0.25">
      <c r="A242" s="46"/>
      <c r="B242" s="46"/>
      <c r="C242" s="46"/>
      <c r="D242" s="47"/>
      <c r="E242" s="21"/>
      <c r="F242" s="21"/>
    </row>
    <row r="243" spans="1:6" ht="15" customHeight="1" x14ac:dyDescent="0.25">
      <c r="A243" s="46"/>
      <c r="B243" s="46"/>
      <c r="C243" s="46"/>
      <c r="D243" s="47"/>
      <c r="E243" s="21"/>
      <c r="F243" s="21"/>
    </row>
    <row r="244" spans="1:6" ht="15" customHeight="1" x14ac:dyDescent="0.25">
      <c r="A244" s="46"/>
      <c r="B244" s="46"/>
      <c r="C244" s="46"/>
      <c r="D244" s="47"/>
      <c r="E244" s="21"/>
      <c r="F244" s="21"/>
    </row>
    <row r="245" spans="1:6" ht="15" customHeight="1" x14ac:dyDescent="0.25">
      <c r="A245" s="46"/>
      <c r="B245" s="46"/>
      <c r="C245" s="46"/>
      <c r="D245" s="47"/>
      <c r="E245" s="21"/>
      <c r="F245" s="21"/>
    </row>
    <row r="246" spans="1:6" ht="15" customHeight="1" x14ac:dyDescent="0.25">
      <c r="A246" s="46"/>
      <c r="B246" s="46"/>
      <c r="C246" s="46"/>
      <c r="D246" s="47"/>
      <c r="E246" s="21"/>
      <c r="F246" s="21"/>
    </row>
    <row r="247" spans="1:6" ht="15" customHeight="1" x14ac:dyDescent="0.25">
      <c r="A247" s="46"/>
      <c r="B247" s="46"/>
      <c r="C247" s="46"/>
      <c r="D247" s="47"/>
      <c r="E247" s="21"/>
      <c r="F247" s="21"/>
    </row>
    <row r="248" spans="1:6" ht="15" customHeight="1" x14ac:dyDescent="0.25">
      <c r="A248" s="46"/>
      <c r="B248" s="46"/>
      <c r="C248" s="46"/>
      <c r="D248" s="47"/>
      <c r="E248" s="21"/>
      <c r="F248" s="21"/>
    </row>
    <row r="249" spans="1:6" ht="15" customHeight="1" x14ac:dyDescent="0.25">
      <c r="A249" s="46"/>
      <c r="B249" s="46"/>
      <c r="C249" s="46"/>
      <c r="D249" s="47"/>
      <c r="E249" s="21"/>
      <c r="F249" s="21"/>
    </row>
    <row r="250" spans="1:6" ht="15" customHeight="1" x14ac:dyDescent="0.25">
      <c r="A250" s="46"/>
      <c r="B250" s="46"/>
      <c r="C250" s="46"/>
      <c r="D250" s="47"/>
      <c r="E250" s="21"/>
      <c r="F250" s="21"/>
    </row>
    <row r="251" spans="1:6" ht="15" customHeight="1" x14ac:dyDescent="0.25">
      <c r="A251" s="46"/>
      <c r="B251" s="46"/>
      <c r="C251" s="46"/>
      <c r="D251" s="47"/>
      <c r="E251" s="21"/>
      <c r="F251" s="21"/>
    </row>
    <row r="252" spans="1:6" ht="15" customHeight="1" x14ac:dyDescent="0.25">
      <c r="A252" s="46"/>
      <c r="B252" s="46"/>
      <c r="C252" s="46"/>
      <c r="D252" s="47"/>
      <c r="E252" s="21"/>
      <c r="F252" s="21"/>
    </row>
    <row r="253" spans="1:6" ht="15" customHeight="1" x14ac:dyDescent="0.25">
      <c r="A253" s="46"/>
      <c r="B253" s="46"/>
      <c r="C253" s="46"/>
      <c r="D253" s="47"/>
      <c r="E253" s="21"/>
      <c r="F253" s="21"/>
    </row>
    <row r="254" spans="1:6" ht="15" customHeight="1" x14ac:dyDescent="0.25">
      <c r="A254" s="46"/>
      <c r="B254" s="46"/>
      <c r="C254" s="46"/>
      <c r="D254" s="47"/>
      <c r="E254" s="21"/>
      <c r="F254" s="21"/>
    </row>
    <row r="255" spans="1:6" ht="15" customHeight="1" x14ac:dyDescent="0.25">
      <c r="A255" s="46"/>
      <c r="B255" s="46"/>
      <c r="C255" s="46"/>
      <c r="D255" s="47"/>
      <c r="E255" s="21"/>
      <c r="F255" s="21"/>
    </row>
    <row r="256" spans="1:6" ht="15" customHeight="1" x14ac:dyDescent="0.25">
      <c r="A256" s="46"/>
      <c r="B256" s="46"/>
      <c r="C256" s="46"/>
      <c r="D256" s="47"/>
      <c r="E256" s="21"/>
      <c r="F256" s="21"/>
    </row>
    <row r="257" spans="1:6" ht="15" customHeight="1" x14ac:dyDescent="0.25">
      <c r="A257" s="46"/>
      <c r="B257" s="46"/>
      <c r="C257" s="46"/>
      <c r="D257" s="47"/>
      <c r="E257" s="21"/>
      <c r="F257" s="21"/>
    </row>
    <row r="258" spans="1:6" ht="15" customHeight="1" x14ac:dyDescent="0.25">
      <c r="A258" s="46"/>
      <c r="B258" s="46"/>
      <c r="C258" s="46"/>
      <c r="D258" s="47"/>
      <c r="E258" s="21"/>
      <c r="F258" s="21"/>
    </row>
    <row r="259" spans="1:6" ht="15" customHeight="1" x14ac:dyDescent="0.25">
      <c r="A259" s="46"/>
      <c r="B259" s="46"/>
      <c r="C259" s="46"/>
      <c r="D259" s="47"/>
      <c r="E259" s="21"/>
      <c r="F259" s="21"/>
    </row>
    <row r="260" spans="1:6" ht="15" customHeight="1" x14ac:dyDescent="0.25">
      <c r="A260" s="46"/>
      <c r="B260" s="46"/>
      <c r="C260" s="46"/>
      <c r="D260" s="47"/>
      <c r="E260" s="21"/>
      <c r="F260" s="21"/>
    </row>
    <row r="261" spans="1:6" ht="15" customHeight="1" x14ac:dyDescent="0.25">
      <c r="A261" s="46"/>
      <c r="B261" s="46"/>
      <c r="C261" s="46"/>
      <c r="D261" s="47"/>
      <c r="E261" s="21"/>
      <c r="F261" s="21"/>
    </row>
    <row r="262" spans="1:6" ht="15" customHeight="1" x14ac:dyDescent="0.25">
      <c r="A262" s="46"/>
      <c r="B262" s="46"/>
      <c r="C262" s="46"/>
      <c r="D262" s="47"/>
      <c r="E262" s="21"/>
      <c r="F262" s="21"/>
    </row>
    <row r="263" spans="1:6" ht="15" customHeight="1" x14ac:dyDescent="0.25">
      <c r="A263" s="46"/>
      <c r="B263" s="46"/>
      <c r="C263" s="46"/>
      <c r="D263" s="47"/>
      <c r="E263" s="21" t="s">
        <v>93</v>
      </c>
      <c r="F263" s="21"/>
    </row>
    <row r="264" spans="1:6" ht="15" customHeight="1" x14ac:dyDescent="0.25">
      <c r="A264" s="56" t="s">
        <v>5</v>
      </c>
      <c r="B264" s="56"/>
      <c r="C264" s="56"/>
      <c r="E264" s="49" t="s">
        <v>5</v>
      </c>
    </row>
    <row r="265" spans="1:6" ht="15" customHeight="1" x14ac:dyDescent="0.25">
      <c r="A265" s="56"/>
      <c r="B265" s="56"/>
      <c r="C265" s="56"/>
    </row>
    <row r="266" spans="1:6" ht="15" customHeight="1" x14ac:dyDescent="0.25">
      <c r="A266" s="56"/>
      <c r="B266" s="56"/>
      <c r="C266" s="56"/>
    </row>
    <row r="267" spans="1:6" ht="15" customHeight="1" x14ac:dyDescent="0.25">
      <c r="A267" s="56"/>
      <c r="B267" s="56"/>
      <c r="C267" s="56"/>
    </row>
    <row r="268" spans="1:6" ht="15" customHeight="1" x14ac:dyDescent="0.25">
      <c r="A268" s="56"/>
      <c r="B268" s="56"/>
      <c r="C268" s="56"/>
    </row>
    <row r="269" spans="1:6" ht="15" customHeight="1" x14ac:dyDescent="0.25">
      <c r="A269" s="56"/>
      <c r="B269" s="56"/>
      <c r="C269" s="56"/>
    </row>
    <row r="270" spans="1:6" ht="15" customHeight="1" x14ac:dyDescent="0.25">
      <c r="A270" s="56"/>
      <c r="B270" s="56"/>
      <c r="C270" s="56"/>
    </row>
    <row r="271" spans="1:6" ht="15" customHeight="1" x14ac:dyDescent="0.25">
      <c r="A271" s="56"/>
      <c r="B271" s="56"/>
      <c r="C271" s="56"/>
    </row>
    <row r="272" spans="1:6" ht="15" customHeight="1" x14ac:dyDescent="0.25">
      <c r="A272" s="56"/>
      <c r="B272" s="56"/>
      <c r="C272" s="56"/>
    </row>
    <row r="273" spans="1:3" ht="15" customHeight="1" x14ac:dyDescent="0.25">
      <c r="A273" s="56"/>
      <c r="B273" s="56"/>
      <c r="C273" s="56"/>
    </row>
    <row r="274" spans="1:3" ht="15" customHeight="1" x14ac:dyDescent="0.25">
      <c r="A274" s="56"/>
      <c r="B274" s="56"/>
      <c r="C274" s="56"/>
    </row>
    <row r="275" spans="1:3" ht="15" customHeight="1" x14ac:dyDescent="0.25">
      <c r="A275" s="56"/>
      <c r="B275" s="56"/>
      <c r="C275" s="56"/>
    </row>
    <row r="276" spans="1:3" ht="15" customHeight="1" x14ac:dyDescent="0.25">
      <c r="A276" s="56"/>
      <c r="B276" s="56"/>
      <c r="C276" s="56"/>
    </row>
    <row r="277" spans="1:3" ht="15" customHeight="1" x14ac:dyDescent="0.25">
      <c r="A277" s="56"/>
      <c r="B277" s="56"/>
      <c r="C277" s="56"/>
    </row>
    <row r="278" spans="1:3" ht="15" customHeight="1" x14ac:dyDescent="0.25">
      <c r="A278" s="56"/>
      <c r="B278" s="56"/>
      <c r="C278" s="56"/>
    </row>
    <row r="279" spans="1:3" ht="15" customHeight="1" x14ac:dyDescent="0.25">
      <c r="A279" s="56"/>
      <c r="B279" s="56"/>
      <c r="C279" s="56"/>
    </row>
    <row r="280" spans="1:3" ht="15" customHeight="1" x14ac:dyDescent="0.25">
      <c r="A280" s="56"/>
      <c r="B280" s="56"/>
      <c r="C280" s="56"/>
    </row>
    <row r="281" spans="1:3" ht="15" customHeight="1" x14ac:dyDescent="0.25">
      <c r="A281" s="56"/>
      <c r="B281" s="56"/>
      <c r="C281" s="56"/>
    </row>
    <row r="282" spans="1:3" ht="15" customHeight="1" x14ac:dyDescent="0.25">
      <c r="A282" s="56"/>
      <c r="B282" s="56"/>
      <c r="C282" s="56"/>
    </row>
    <row r="283" spans="1:3" ht="15" customHeight="1" x14ac:dyDescent="0.25">
      <c r="A283" s="56"/>
      <c r="B283" s="56"/>
      <c r="C283" s="56"/>
    </row>
    <row r="284" spans="1:3" ht="15" customHeight="1" x14ac:dyDescent="0.25">
      <c r="A284" s="56"/>
      <c r="B284" s="56"/>
      <c r="C284" s="56"/>
    </row>
    <row r="285" spans="1:3" ht="15" customHeight="1" x14ac:dyDescent="0.25">
      <c r="A285" s="56"/>
      <c r="B285" s="56"/>
      <c r="C285" s="56"/>
    </row>
    <row r="286" spans="1:3" ht="15" customHeight="1" x14ac:dyDescent="0.25">
      <c r="A286" s="56"/>
      <c r="B286" s="56"/>
      <c r="C286" s="56"/>
    </row>
    <row r="287" spans="1:3" ht="15" customHeight="1" x14ac:dyDescent="0.25">
      <c r="A287" s="56"/>
      <c r="B287" s="56"/>
      <c r="C287" s="56"/>
    </row>
    <row r="288" spans="1:3" ht="15" customHeight="1" x14ac:dyDescent="0.25">
      <c r="A288" s="56"/>
      <c r="B288" s="56"/>
      <c r="C288" s="56"/>
    </row>
    <row r="289" spans="1:3" ht="15" customHeight="1" x14ac:dyDescent="0.25">
      <c r="A289" s="56"/>
      <c r="B289" s="56"/>
      <c r="C289" s="56"/>
    </row>
    <row r="290" spans="1:3" ht="15" customHeight="1" x14ac:dyDescent="0.25">
      <c r="A290" s="56"/>
      <c r="B290" s="56"/>
      <c r="C290" s="56"/>
    </row>
    <row r="291" spans="1:3" ht="15" customHeight="1" x14ac:dyDescent="0.25">
      <c r="A291" s="56"/>
      <c r="B291" s="56"/>
      <c r="C291" s="56"/>
    </row>
    <row r="292" spans="1:3" ht="15" customHeight="1" x14ac:dyDescent="0.25">
      <c r="A292" s="56"/>
      <c r="B292" s="56"/>
      <c r="C292" s="56"/>
    </row>
    <row r="293" spans="1:3" ht="15" customHeight="1" x14ac:dyDescent="0.25">
      <c r="A293" s="56"/>
      <c r="B293" s="56"/>
      <c r="C293" s="56"/>
    </row>
    <row r="294" spans="1:3" ht="15" customHeight="1" x14ac:dyDescent="0.25">
      <c r="A294" s="56"/>
      <c r="B294" s="56"/>
      <c r="C294" s="56"/>
    </row>
    <row r="295" spans="1:3" ht="15" customHeight="1" x14ac:dyDescent="0.25">
      <c r="A295" s="56"/>
      <c r="B295" s="56"/>
      <c r="C295" s="56"/>
    </row>
    <row r="296" spans="1:3" ht="15" customHeight="1" x14ac:dyDescent="0.25">
      <c r="A296" s="56"/>
      <c r="B296" s="56"/>
      <c r="C296" s="56"/>
    </row>
    <row r="297" spans="1:3" ht="15" customHeight="1" x14ac:dyDescent="0.25">
      <c r="A297" s="56"/>
      <c r="B297" s="56"/>
      <c r="C297" s="56"/>
    </row>
    <row r="298" spans="1:3" ht="15" customHeight="1" x14ac:dyDescent="0.25">
      <c r="A298" s="56"/>
      <c r="B298" s="56"/>
      <c r="C298" s="56"/>
    </row>
    <row r="299" spans="1:3" ht="15" customHeight="1" x14ac:dyDescent="0.25">
      <c r="A299" s="56"/>
      <c r="B299" s="56"/>
      <c r="C299" s="56"/>
    </row>
    <row r="300" spans="1:3" ht="15" customHeight="1" x14ac:dyDescent="0.25">
      <c r="A300" s="56"/>
      <c r="B300" s="56"/>
      <c r="C300" s="56"/>
    </row>
    <row r="301" spans="1:3" ht="15" customHeight="1" x14ac:dyDescent="0.25">
      <c r="A301" s="56"/>
      <c r="B301" s="56"/>
      <c r="C301" s="56"/>
    </row>
    <row r="302" spans="1:3" ht="15" customHeight="1" x14ac:dyDescent="0.25">
      <c r="A302" s="56"/>
      <c r="B302" s="56"/>
      <c r="C302" s="56"/>
    </row>
    <row r="303" spans="1:3" ht="15" customHeight="1" x14ac:dyDescent="0.25">
      <c r="A303" s="56"/>
      <c r="B303" s="56"/>
      <c r="C303" s="56"/>
    </row>
    <row r="304" spans="1:3" ht="15" customHeight="1" x14ac:dyDescent="0.25">
      <c r="A304" s="56"/>
      <c r="B304" s="56"/>
      <c r="C304" s="56"/>
    </row>
    <row r="305" spans="1:3" ht="15" customHeight="1" x14ac:dyDescent="0.25">
      <c r="A305" s="56"/>
      <c r="B305" s="56"/>
      <c r="C305" s="56"/>
    </row>
    <row r="306" spans="1:3" ht="15" customHeight="1" x14ac:dyDescent="0.25">
      <c r="A306" s="56"/>
      <c r="B306" s="56"/>
      <c r="C306" s="56"/>
    </row>
    <row r="307" spans="1:3" ht="15" customHeight="1" x14ac:dyDescent="0.25">
      <c r="A307" s="56"/>
      <c r="B307" s="56"/>
      <c r="C307" s="56"/>
    </row>
    <row r="308" spans="1:3" ht="15" customHeight="1" x14ac:dyDescent="0.25">
      <c r="A308" s="56"/>
      <c r="B308" s="56"/>
      <c r="C308" s="56"/>
    </row>
    <row r="309" spans="1:3" ht="15" customHeight="1" x14ac:dyDescent="0.25">
      <c r="A309" s="56"/>
      <c r="B309" s="56"/>
      <c r="C309" s="56"/>
    </row>
    <row r="310" spans="1:3" ht="15" customHeight="1" x14ac:dyDescent="0.25">
      <c r="A310" s="56"/>
      <c r="B310" s="56"/>
      <c r="C310" s="56"/>
    </row>
    <row r="311" spans="1:3" ht="15" customHeight="1" x14ac:dyDescent="0.25">
      <c r="A311" s="56"/>
      <c r="B311" s="56"/>
      <c r="C311" s="56"/>
    </row>
    <row r="312" spans="1:3" ht="15" customHeight="1" x14ac:dyDescent="0.25">
      <c r="A312" s="56"/>
      <c r="B312" s="56"/>
      <c r="C312" s="56"/>
    </row>
    <row r="313" spans="1:3" ht="15" customHeight="1" x14ac:dyDescent="0.25">
      <c r="A313" s="56"/>
      <c r="B313" s="56"/>
      <c r="C313" s="56"/>
    </row>
    <row r="314" spans="1:3" ht="15" customHeight="1" x14ac:dyDescent="0.25">
      <c r="A314" s="56"/>
      <c r="B314" s="56"/>
      <c r="C314" s="56"/>
    </row>
    <row r="315" spans="1:3" ht="15" customHeight="1" x14ac:dyDescent="0.25">
      <c r="A315" s="56"/>
      <c r="B315" s="56"/>
      <c r="C315" s="56"/>
    </row>
    <row r="316" spans="1:3" ht="15" customHeight="1" x14ac:dyDescent="0.25">
      <c r="A316" s="56"/>
      <c r="B316" s="56"/>
      <c r="C316" s="56"/>
    </row>
    <row r="317" spans="1:3" ht="15" customHeight="1" x14ac:dyDescent="0.25">
      <c r="A317" s="56"/>
      <c r="B317" s="56"/>
      <c r="C317" s="56"/>
    </row>
    <row r="318" spans="1:3" ht="15" customHeight="1" x14ac:dyDescent="0.25">
      <c r="A318" s="56"/>
      <c r="B318" s="56"/>
      <c r="C318" s="56"/>
    </row>
    <row r="319" spans="1:3" ht="15" customHeight="1" x14ac:dyDescent="0.25">
      <c r="A319" s="56"/>
      <c r="B319" s="56"/>
      <c r="C319" s="56"/>
    </row>
    <row r="320" spans="1:3" ht="15" customHeight="1" x14ac:dyDescent="0.25">
      <c r="A320" s="56"/>
      <c r="B320" s="56"/>
      <c r="C320" s="56"/>
    </row>
    <row r="321" spans="1:3" ht="15" customHeight="1" x14ac:dyDescent="0.25">
      <c r="A321" s="56"/>
      <c r="B321" s="56"/>
      <c r="C321" s="56"/>
    </row>
    <row r="322" spans="1:3" ht="15" customHeight="1" x14ac:dyDescent="0.25">
      <c r="A322" s="56"/>
      <c r="B322" s="56"/>
      <c r="C322" s="56"/>
    </row>
    <row r="323" spans="1:3" ht="15" customHeight="1" x14ac:dyDescent="0.25">
      <c r="A323" s="56"/>
      <c r="B323" s="56"/>
      <c r="C323" s="56"/>
    </row>
    <row r="324" spans="1:3" ht="15" customHeight="1" x14ac:dyDescent="0.25">
      <c r="A324" s="56"/>
      <c r="B324" s="56"/>
      <c r="C324" s="56"/>
    </row>
    <row r="325" spans="1:3" ht="15" customHeight="1" x14ac:dyDescent="0.25">
      <c r="A325" s="56"/>
      <c r="B325" s="56"/>
      <c r="C325" s="56"/>
    </row>
    <row r="326" spans="1:3" ht="15" customHeight="1" x14ac:dyDescent="0.25">
      <c r="A326" s="56"/>
      <c r="B326" s="56"/>
      <c r="C326" s="56"/>
    </row>
    <row r="327" spans="1:3" ht="15" customHeight="1" x14ac:dyDescent="0.25">
      <c r="A327" s="56"/>
      <c r="B327" s="56"/>
      <c r="C327" s="56"/>
    </row>
    <row r="328" spans="1:3" ht="15" customHeight="1" x14ac:dyDescent="0.25">
      <c r="A328" s="56"/>
      <c r="B328" s="56"/>
      <c r="C328" s="56"/>
    </row>
    <row r="329" spans="1:3" ht="15" customHeight="1" x14ac:dyDescent="0.25">
      <c r="A329" s="56"/>
      <c r="B329" s="56"/>
      <c r="C329" s="56"/>
    </row>
    <row r="330" spans="1:3" ht="15" customHeight="1" x14ac:dyDescent="0.25">
      <c r="A330" s="56"/>
      <c r="B330" s="56"/>
      <c r="C330" s="56"/>
    </row>
    <row r="331" spans="1:3" ht="15" customHeight="1" x14ac:dyDescent="0.25">
      <c r="A331" s="56"/>
      <c r="B331" s="56"/>
      <c r="C331" s="56"/>
    </row>
    <row r="332" spans="1:3" ht="15" customHeight="1" x14ac:dyDescent="0.25">
      <c r="A332" s="56"/>
      <c r="B332" s="56"/>
      <c r="C332" s="56"/>
    </row>
    <row r="333" spans="1:3" ht="15" customHeight="1" x14ac:dyDescent="0.25">
      <c r="A333" s="56"/>
      <c r="B333" s="56"/>
      <c r="C333" s="56"/>
    </row>
    <row r="334" spans="1:3" ht="15" customHeight="1" x14ac:dyDescent="0.25">
      <c r="A334" s="56"/>
      <c r="B334" s="56"/>
      <c r="C334" s="56"/>
    </row>
    <row r="335" spans="1:3" ht="15" customHeight="1" x14ac:dyDescent="0.25">
      <c r="A335" s="56"/>
      <c r="B335" s="56"/>
      <c r="C335" s="56"/>
    </row>
    <row r="336" spans="1:3" ht="15" customHeight="1" x14ac:dyDescent="0.25">
      <c r="A336" s="56"/>
      <c r="B336" s="56"/>
      <c r="C336" s="56"/>
    </row>
    <row r="337" spans="1:3" ht="15" customHeight="1" x14ac:dyDescent="0.25">
      <c r="A337" s="56"/>
      <c r="B337" s="56"/>
      <c r="C337" s="56"/>
    </row>
    <row r="338" spans="1:3" ht="15" customHeight="1" x14ac:dyDescent="0.25">
      <c r="A338" s="56"/>
      <c r="B338" s="56"/>
      <c r="C338" s="56"/>
    </row>
    <row r="339" spans="1:3" ht="15" customHeight="1" x14ac:dyDescent="0.25">
      <c r="A339" s="56"/>
      <c r="B339" s="56"/>
      <c r="C339" s="56"/>
    </row>
    <row r="340" spans="1:3" ht="15" customHeight="1" x14ac:dyDescent="0.25">
      <c r="A340" s="56"/>
      <c r="B340" s="56"/>
      <c r="C340" s="56"/>
    </row>
    <row r="341" spans="1:3" ht="15" customHeight="1" x14ac:dyDescent="0.25">
      <c r="A341" s="56"/>
      <c r="B341" s="56"/>
      <c r="C341" s="56"/>
    </row>
    <row r="342" spans="1:3" ht="15" customHeight="1" x14ac:dyDescent="0.25">
      <c r="A342" s="56"/>
      <c r="B342" s="56"/>
      <c r="C342" s="56"/>
    </row>
    <row r="343" spans="1:3" ht="15" customHeight="1" x14ac:dyDescent="0.25">
      <c r="A343" s="56"/>
      <c r="B343" s="56"/>
      <c r="C343" s="56"/>
    </row>
    <row r="344" spans="1:3" ht="15" customHeight="1" x14ac:dyDescent="0.25">
      <c r="A344" s="56"/>
      <c r="B344" s="56"/>
      <c r="C344" s="56"/>
    </row>
    <row r="345" spans="1:3" ht="15" customHeight="1" x14ac:dyDescent="0.25">
      <c r="A345" s="56"/>
      <c r="B345" s="56"/>
      <c r="C345" s="56"/>
    </row>
    <row r="346" spans="1:3" ht="15" customHeight="1" x14ac:dyDescent="0.25">
      <c r="A346" s="56"/>
      <c r="B346" s="56"/>
      <c r="C346" s="56"/>
    </row>
    <row r="347" spans="1:3" ht="15" customHeight="1" x14ac:dyDescent="0.25">
      <c r="A347" s="56"/>
      <c r="B347" s="56"/>
      <c r="C347" s="56"/>
    </row>
    <row r="348" spans="1:3" ht="15" customHeight="1" x14ac:dyDescent="0.25">
      <c r="A348" s="56"/>
      <c r="B348" s="56"/>
      <c r="C348" s="56"/>
    </row>
    <row r="349" spans="1:3" ht="15" customHeight="1" x14ac:dyDescent="0.25">
      <c r="A349" s="56"/>
      <c r="B349" s="56"/>
      <c r="C349" s="56"/>
    </row>
    <row r="350" spans="1:3" ht="15" customHeight="1" x14ac:dyDescent="0.25">
      <c r="A350" s="56"/>
      <c r="B350" s="56"/>
      <c r="C350" s="56"/>
    </row>
    <row r="351" spans="1:3" ht="15" customHeight="1" x14ac:dyDescent="0.25">
      <c r="A351" s="56"/>
      <c r="B351" s="56"/>
      <c r="C351" s="56"/>
    </row>
    <row r="352" spans="1:3" ht="15" customHeight="1" x14ac:dyDescent="0.25">
      <c r="A352" s="56"/>
      <c r="B352" s="56"/>
      <c r="C352" s="56"/>
    </row>
    <row r="353" spans="1:3" ht="15" customHeight="1" x14ac:dyDescent="0.25">
      <c r="A353" s="56"/>
      <c r="B353" s="56"/>
      <c r="C353" s="56"/>
    </row>
    <row r="354" spans="1:3" ht="15" customHeight="1" x14ac:dyDescent="0.25">
      <c r="A354" s="56"/>
      <c r="B354" s="56"/>
      <c r="C354" s="56"/>
    </row>
    <row r="355" spans="1:3" ht="15" customHeight="1" x14ac:dyDescent="0.25">
      <c r="A355" s="56"/>
      <c r="B355" s="56"/>
      <c r="C355" s="56"/>
    </row>
    <row r="356" spans="1:3" ht="15" customHeight="1" x14ac:dyDescent="0.25">
      <c r="A356" s="56"/>
      <c r="B356" s="56"/>
      <c r="C356" s="56"/>
    </row>
    <row r="357" spans="1:3" ht="15" customHeight="1" x14ac:dyDescent="0.25">
      <c r="A357" s="56"/>
      <c r="B357" s="56"/>
      <c r="C357" s="56"/>
    </row>
    <row r="358" spans="1:3" ht="15" customHeight="1" x14ac:dyDescent="0.25">
      <c r="A358" s="56"/>
      <c r="B358" s="56"/>
      <c r="C358" s="56"/>
    </row>
    <row r="359" spans="1:3" ht="15" customHeight="1" x14ac:dyDescent="0.25">
      <c r="A359" s="56"/>
      <c r="B359" s="56"/>
      <c r="C359" s="56"/>
    </row>
    <row r="360" spans="1:3" ht="15" customHeight="1" x14ac:dyDescent="0.25">
      <c r="A360" s="56"/>
      <c r="B360" s="56"/>
      <c r="C360" s="56"/>
    </row>
    <row r="361" spans="1:3" ht="15" customHeight="1" x14ac:dyDescent="0.25">
      <c r="A361" s="56"/>
      <c r="B361" s="56"/>
      <c r="C361" s="56"/>
    </row>
    <row r="362" spans="1:3" ht="15" customHeight="1" x14ac:dyDescent="0.25">
      <c r="A362" s="56"/>
      <c r="B362" s="56"/>
      <c r="C362" s="56"/>
    </row>
    <row r="363" spans="1:3" ht="15" customHeight="1" x14ac:dyDescent="0.25">
      <c r="A363" s="56"/>
      <c r="B363" s="56"/>
      <c r="C363" s="56"/>
    </row>
    <row r="364" spans="1:3" ht="15" customHeight="1" x14ac:dyDescent="0.25">
      <c r="A364" s="56"/>
      <c r="B364" s="56"/>
      <c r="C364" s="56"/>
    </row>
    <row r="365" spans="1:3" ht="15" customHeight="1" x14ac:dyDescent="0.25">
      <c r="A365" s="56"/>
      <c r="B365" s="56"/>
      <c r="C365" s="56"/>
    </row>
    <row r="366" spans="1:3" ht="15" customHeight="1" x14ac:dyDescent="0.25">
      <c r="A366" s="56"/>
      <c r="B366" s="56"/>
      <c r="C366" s="56"/>
    </row>
    <row r="367" spans="1:3" ht="15" customHeight="1" x14ac:dyDescent="0.25">
      <c r="A367" s="56"/>
      <c r="B367" s="56"/>
      <c r="C367" s="56"/>
    </row>
    <row r="368" spans="1:3" ht="15" customHeight="1" x14ac:dyDescent="0.25">
      <c r="A368" s="56"/>
      <c r="B368" s="56"/>
      <c r="C368" s="56"/>
    </row>
    <row r="369" spans="1:3" ht="15" customHeight="1" x14ac:dyDescent="0.25">
      <c r="A369" s="56"/>
      <c r="B369" s="56"/>
      <c r="C369" s="56"/>
    </row>
    <row r="370" spans="1:3" ht="15" customHeight="1" x14ac:dyDescent="0.25">
      <c r="A370" s="56"/>
      <c r="B370" s="56"/>
      <c r="C370" s="56"/>
    </row>
    <row r="371" spans="1:3" ht="15" customHeight="1" x14ac:dyDescent="0.25">
      <c r="A371" s="56"/>
      <c r="B371" s="56"/>
      <c r="C371" s="56"/>
    </row>
    <row r="372" spans="1:3" ht="15" customHeight="1" x14ac:dyDescent="0.25">
      <c r="A372" s="56"/>
      <c r="B372" s="56"/>
      <c r="C372" s="56"/>
    </row>
    <row r="373" spans="1:3" ht="15" customHeight="1" x14ac:dyDescent="0.25">
      <c r="A373" s="56"/>
      <c r="B373" s="56"/>
      <c r="C373" s="56"/>
    </row>
    <row r="374" spans="1:3" ht="15" customHeight="1" x14ac:dyDescent="0.25">
      <c r="A374" s="56"/>
      <c r="B374" s="56"/>
      <c r="C374" s="56"/>
    </row>
    <row r="375" spans="1:3" ht="15" customHeight="1" x14ac:dyDescent="0.25">
      <c r="A375" s="56"/>
      <c r="B375" s="56"/>
      <c r="C375" s="56"/>
    </row>
    <row r="376" spans="1:3" ht="15" customHeight="1" x14ac:dyDescent="0.25">
      <c r="A376" s="56"/>
      <c r="B376" s="56"/>
      <c r="C376" s="56"/>
    </row>
    <row r="377" spans="1:3" ht="15" customHeight="1" x14ac:dyDescent="0.25">
      <c r="A377" s="56"/>
      <c r="B377" s="56"/>
      <c r="C377" s="56"/>
    </row>
    <row r="378" spans="1:3" ht="15" customHeight="1" x14ac:dyDescent="0.25">
      <c r="A378" s="56"/>
      <c r="B378" s="56"/>
      <c r="C378" s="56"/>
    </row>
    <row r="379" spans="1:3" ht="15" customHeight="1" x14ac:dyDescent="0.25">
      <c r="A379" s="56"/>
      <c r="B379" s="56"/>
      <c r="C379" s="56"/>
    </row>
    <row r="380" spans="1:3" ht="15" customHeight="1" x14ac:dyDescent="0.25">
      <c r="A380" s="56"/>
      <c r="B380" s="56"/>
      <c r="C380" s="56"/>
    </row>
    <row r="381" spans="1:3" ht="15" customHeight="1" x14ac:dyDescent="0.25">
      <c r="A381" s="56"/>
      <c r="B381" s="56"/>
      <c r="C381" s="56"/>
    </row>
    <row r="382" spans="1:3" ht="15" customHeight="1" x14ac:dyDescent="0.25">
      <c r="A382" s="56"/>
      <c r="B382" s="56"/>
      <c r="C382" s="56"/>
    </row>
    <row r="383" spans="1:3" ht="15" customHeight="1" x14ac:dyDescent="0.25">
      <c r="A383" s="56"/>
      <c r="B383" s="56"/>
      <c r="C383" s="56"/>
    </row>
    <row r="384" spans="1:3" ht="15" customHeight="1" x14ac:dyDescent="0.25">
      <c r="A384" s="56"/>
      <c r="B384" s="56"/>
      <c r="C384" s="56"/>
    </row>
    <row r="385" spans="1:3" ht="15" customHeight="1" x14ac:dyDescent="0.25">
      <c r="A385" s="56"/>
      <c r="B385" s="56"/>
      <c r="C385" s="56"/>
    </row>
    <row r="386" spans="1:3" ht="15" customHeight="1" x14ac:dyDescent="0.25">
      <c r="A386" s="56"/>
      <c r="B386" s="56"/>
      <c r="C386" s="56"/>
    </row>
    <row r="387" spans="1:3" ht="15" customHeight="1" x14ac:dyDescent="0.25">
      <c r="A387" s="56"/>
      <c r="B387" s="56"/>
      <c r="C387" s="56"/>
    </row>
    <row r="388" spans="1:3" ht="15" customHeight="1" x14ac:dyDescent="0.25">
      <c r="A388" s="56"/>
      <c r="B388" s="56"/>
      <c r="C388" s="56"/>
    </row>
    <row r="389" spans="1:3" ht="15" customHeight="1" x14ac:dyDescent="0.25">
      <c r="A389" s="56"/>
      <c r="B389" s="56"/>
      <c r="C389" s="56"/>
    </row>
    <row r="390" spans="1:3" ht="15" customHeight="1" x14ac:dyDescent="0.25">
      <c r="A390" s="56"/>
      <c r="B390" s="56"/>
      <c r="C390" s="56"/>
    </row>
    <row r="391" spans="1:3" ht="15" customHeight="1" x14ac:dyDescent="0.25">
      <c r="A391" s="56"/>
      <c r="B391" s="56"/>
      <c r="C391" s="56"/>
    </row>
    <row r="392" spans="1:3" ht="15" customHeight="1" x14ac:dyDescent="0.25">
      <c r="A392" s="56"/>
      <c r="B392" s="56"/>
      <c r="C392" s="56"/>
    </row>
    <row r="393" spans="1:3" ht="15" customHeight="1" x14ac:dyDescent="0.25">
      <c r="A393" s="56"/>
      <c r="B393" s="56"/>
      <c r="C393" s="56"/>
    </row>
    <row r="394" spans="1:3" ht="15" customHeight="1" x14ac:dyDescent="0.25">
      <c r="A394" s="56"/>
      <c r="B394" s="56"/>
      <c r="C394" s="56"/>
    </row>
    <row r="395" spans="1:3" ht="15" customHeight="1" x14ac:dyDescent="0.25">
      <c r="A395" s="56"/>
      <c r="B395" s="56"/>
      <c r="C395" s="56"/>
    </row>
    <row r="396" spans="1:3" ht="15" customHeight="1" x14ac:dyDescent="0.25">
      <c r="A396" s="56"/>
      <c r="B396" s="56"/>
      <c r="C396" s="56"/>
    </row>
    <row r="397" spans="1:3" ht="15" customHeight="1" x14ac:dyDescent="0.25">
      <c r="A397" s="56"/>
      <c r="B397" s="56"/>
      <c r="C397" s="56"/>
    </row>
    <row r="398" spans="1:3" ht="15" customHeight="1" x14ac:dyDescent="0.25">
      <c r="A398" s="56"/>
      <c r="B398" s="56"/>
      <c r="C398" s="56"/>
    </row>
    <row r="399" spans="1:3" ht="15" customHeight="1" x14ac:dyDescent="0.25">
      <c r="A399" s="56"/>
      <c r="B399" s="56"/>
      <c r="C399" s="56"/>
    </row>
    <row r="400" spans="1:3" ht="15" customHeight="1" x14ac:dyDescent="0.25">
      <c r="A400" s="56"/>
      <c r="B400" s="56"/>
      <c r="C400" s="56"/>
    </row>
    <row r="401" spans="1:3" ht="15" customHeight="1" x14ac:dyDescent="0.25">
      <c r="A401" s="56"/>
      <c r="B401" s="56"/>
      <c r="C401" s="56"/>
    </row>
    <row r="402" spans="1:3" ht="15" customHeight="1" x14ac:dyDescent="0.25">
      <c r="A402" s="56"/>
      <c r="B402" s="56"/>
      <c r="C402" s="56"/>
    </row>
    <row r="403" spans="1:3" ht="15" customHeight="1" x14ac:dyDescent="0.25">
      <c r="A403" s="56"/>
      <c r="B403" s="56"/>
      <c r="C403" s="56"/>
    </row>
    <row r="404" spans="1:3" ht="15" customHeight="1" x14ac:dyDescent="0.25">
      <c r="A404" s="56"/>
      <c r="B404" s="56"/>
      <c r="C404" s="56"/>
    </row>
    <row r="405" spans="1:3" ht="15" customHeight="1" x14ac:dyDescent="0.25">
      <c r="A405" s="56"/>
      <c r="B405" s="56"/>
      <c r="C405" s="56"/>
    </row>
    <row r="406" spans="1:3" ht="15" customHeight="1" x14ac:dyDescent="0.25">
      <c r="A406" s="56"/>
      <c r="B406" s="56"/>
      <c r="C406" s="56"/>
    </row>
    <row r="407" spans="1:3" ht="15" customHeight="1" x14ac:dyDescent="0.25">
      <c r="A407" s="56"/>
      <c r="B407" s="56"/>
      <c r="C407" s="56"/>
    </row>
    <row r="408" spans="1:3" ht="15" customHeight="1" x14ac:dyDescent="0.25">
      <c r="A408" s="56"/>
      <c r="B408" s="56"/>
      <c r="C408" s="56"/>
    </row>
    <row r="409" spans="1:3" ht="15" customHeight="1" x14ac:dyDescent="0.25">
      <c r="A409" s="56"/>
      <c r="B409" s="56"/>
      <c r="C409" s="56"/>
    </row>
    <row r="410" spans="1:3" ht="15" customHeight="1" x14ac:dyDescent="0.25">
      <c r="A410" s="56"/>
      <c r="B410" s="56"/>
      <c r="C410" s="56"/>
    </row>
    <row r="411" spans="1:3" ht="15" customHeight="1" x14ac:dyDescent="0.25">
      <c r="A411" s="56"/>
      <c r="B411" s="56"/>
      <c r="C411" s="56"/>
    </row>
    <row r="412" spans="1:3" ht="15" customHeight="1" x14ac:dyDescent="0.25">
      <c r="A412" s="56"/>
      <c r="B412" s="56"/>
      <c r="C412" s="56"/>
    </row>
    <row r="413" spans="1:3" ht="15" customHeight="1" x14ac:dyDescent="0.25">
      <c r="A413" s="56"/>
      <c r="B413" s="56"/>
      <c r="C413" s="56"/>
    </row>
    <row r="414" spans="1:3" ht="15" customHeight="1" x14ac:dyDescent="0.25">
      <c r="A414" s="56"/>
      <c r="B414" s="56"/>
      <c r="C414" s="56"/>
    </row>
    <row r="415" spans="1:3" ht="15" customHeight="1" x14ac:dyDescent="0.25">
      <c r="A415" s="56"/>
      <c r="B415" s="56"/>
      <c r="C415" s="56"/>
    </row>
    <row r="416" spans="1:3" ht="15" customHeight="1" x14ac:dyDescent="0.25">
      <c r="A416" s="56"/>
      <c r="B416" s="56"/>
      <c r="C416" s="56"/>
    </row>
    <row r="417" spans="1:3" ht="15" customHeight="1" x14ac:dyDescent="0.25">
      <c r="A417" s="56"/>
      <c r="B417" s="56"/>
      <c r="C417" s="56"/>
    </row>
    <row r="418" spans="1:3" ht="15" customHeight="1" x14ac:dyDescent="0.25">
      <c r="A418" s="56"/>
      <c r="B418" s="56"/>
      <c r="C418" s="56"/>
    </row>
    <row r="419" spans="1:3" ht="15" customHeight="1" x14ac:dyDescent="0.25">
      <c r="A419" s="56"/>
      <c r="B419" s="56"/>
      <c r="C419" s="56"/>
    </row>
    <row r="420" spans="1:3" ht="15" customHeight="1" x14ac:dyDescent="0.25">
      <c r="A420" s="56"/>
      <c r="B420" s="56"/>
      <c r="C420" s="56"/>
    </row>
    <row r="421" spans="1:3" ht="15" customHeight="1" x14ac:dyDescent="0.25">
      <c r="A421" s="56"/>
      <c r="B421" s="56"/>
      <c r="C421" s="56"/>
    </row>
    <row r="422" spans="1:3" ht="15" customHeight="1" x14ac:dyDescent="0.25">
      <c r="A422" s="56"/>
      <c r="B422" s="56"/>
      <c r="C422" s="56"/>
    </row>
    <row r="423" spans="1:3" ht="15" customHeight="1" x14ac:dyDescent="0.25">
      <c r="A423" s="56"/>
      <c r="B423" s="56"/>
      <c r="C423" s="56"/>
    </row>
    <row r="424" spans="1:3" ht="15" customHeight="1" x14ac:dyDescent="0.25">
      <c r="A424" s="56"/>
      <c r="B424" s="56"/>
      <c r="C424" s="56"/>
    </row>
    <row r="425" spans="1:3" ht="15" customHeight="1" x14ac:dyDescent="0.25">
      <c r="A425" s="56"/>
      <c r="B425" s="56"/>
      <c r="C425" s="56"/>
    </row>
    <row r="426" spans="1:3" ht="15" customHeight="1" x14ac:dyDescent="0.25">
      <c r="A426" s="56"/>
      <c r="B426" s="56"/>
      <c r="C426" s="56"/>
    </row>
    <row r="427" spans="1:3" ht="15" customHeight="1" x14ac:dyDescent="0.25">
      <c r="A427" s="56"/>
      <c r="B427" s="56"/>
      <c r="C427" s="56"/>
    </row>
    <row r="428" spans="1:3" ht="15" customHeight="1" x14ac:dyDescent="0.25">
      <c r="A428" s="56"/>
      <c r="B428" s="56"/>
      <c r="C428" s="56"/>
    </row>
    <row r="429" spans="1:3" ht="15" customHeight="1" x14ac:dyDescent="0.25">
      <c r="A429" s="56"/>
      <c r="B429" s="56"/>
      <c r="C429" s="56"/>
    </row>
    <row r="430" spans="1:3" ht="15" customHeight="1" x14ac:dyDescent="0.25">
      <c r="A430" s="56"/>
      <c r="B430" s="56"/>
      <c r="C430" s="56"/>
    </row>
    <row r="431" spans="1:3" ht="15" customHeight="1" x14ac:dyDescent="0.25">
      <c r="A431" s="56"/>
      <c r="B431" s="56"/>
      <c r="C431" s="56"/>
    </row>
    <row r="432" spans="1:3" ht="15" customHeight="1" x14ac:dyDescent="0.25">
      <c r="A432" s="56"/>
      <c r="B432" s="56"/>
      <c r="C432" s="56"/>
    </row>
    <row r="433" spans="1:3" ht="15" customHeight="1" x14ac:dyDescent="0.25">
      <c r="A433" s="56"/>
      <c r="B433" s="56"/>
      <c r="C433" s="56"/>
    </row>
    <row r="434" spans="1:3" ht="15" customHeight="1" x14ac:dyDescent="0.25">
      <c r="A434" s="56"/>
      <c r="B434" s="56"/>
      <c r="C434" s="56"/>
    </row>
    <row r="435" spans="1:3" ht="15" customHeight="1" x14ac:dyDescent="0.25">
      <c r="A435" s="56"/>
      <c r="B435" s="56"/>
      <c r="C435" s="56"/>
    </row>
    <row r="436" spans="1:3" ht="15" customHeight="1" x14ac:dyDescent="0.25">
      <c r="A436" s="56"/>
      <c r="B436" s="56"/>
      <c r="C436" s="56"/>
    </row>
    <row r="437" spans="1:3" ht="15" customHeight="1" x14ac:dyDescent="0.25">
      <c r="A437" s="56"/>
      <c r="B437" s="56"/>
      <c r="C437" s="56"/>
    </row>
    <row r="438" spans="1:3" ht="15" customHeight="1" x14ac:dyDescent="0.25">
      <c r="A438" s="56"/>
      <c r="B438" s="56"/>
      <c r="C438" s="56"/>
    </row>
    <row r="439" spans="1:3" ht="15" customHeight="1" x14ac:dyDescent="0.25">
      <c r="A439" s="56"/>
      <c r="B439" s="56"/>
      <c r="C439" s="56"/>
    </row>
    <row r="440" spans="1:3" ht="15" customHeight="1" x14ac:dyDescent="0.25">
      <c r="A440" s="56"/>
      <c r="B440" s="56"/>
      <c r="C440" s="56"/>
    </row>
    <row r="441" spans="1:3" ht="15" customHeight="1" x14ac:dyDescent="0.25">
      <c r="A441" s="56"/>
      <c r="B441" s="56"/>
      <c r="C441" s="56"/>
    </row>
    <row r="442" spans="1:3" ht="15" customHeight="1" x14ac:dyDescent="0.25">
      <c r="A442" s="56"/>
      <c r="B442" s="56"/>
      <c r="C442" s="56"/>
    </row>
    <row r="443" spans="1:3" ht="15" customHeight="1" x14ac:dyDescent="0.25">
      <c r="A443" s="56"/>
      <c r="B443" s="56"/>
      <c r="C443" s="56"/>
    </row>
    <row r="444" spans="1:3" ht="15" customHeight="1" x14ac:dyDescent="0.25">
      <c r="A444" s="56"/>
      <c r="B444" s="56"/>
      <c r="C444" s="56"/>
    </row>
    <row r="445" spans="1:3" ht="15" customHeight="1" x14ac:dyDescent="0.25">
      <c r="A445" s="56"/>
      <c r="B445" s="56"/>
      <c r="C445" s="56"/>
    </row>
    <row r="446" spans="1:3" ht="15" customHeight="1" x14ac:dyDescent="0.25">
      <c r="A446" s="56"/>
      <c r="B446" s="56"/>
      <c r="C446" s="56"/>
    </row>
    <row r="447" spans="1:3" ht="15" customHeight="1" x14ac:dyDescent="0.25">
      <c r="A447" s="56"/>
      <c r="B447" s="56"/>
      <c r="C447" s="56"/>
    </row>
    <row r="448" spans="1:3" ht="15" customHeight="1" x14ac:dyDescent="0.25">
      <c r="A448" s="56"/>
      <c r="B448" s="56"/>
      <c r="C448" s="56"/>
    </row>
    <row r="449" spans="1:3" ht="15" customHeight="1" x14ac:dyDescent="0.25">
      <c r="A449" s="56"/>
      <c r="B449" s="56"/>
      <c r="C449" s="56"/>
    </row>
    <row r="450" spans="1:3" ht="15" customHeight="1" x14ac:dyDescent="0.25">
      <c r="A450" s="56"/>
      <c r="B450" s="56"/>
      <c r="C450" s="56"/>
    </row>
    <row r="451" spans="1:3" ht="15" customHeight="1" x14ac:dyDescent="0.25">
      <c r="A451" s="56"/>
      <c r="B451" s="56"/>
      <c r="C451" s="56"/>
    </row>
    <row r="452" spans="1:3" ht="15" customHeight="1" x14ac:dyDescent="0.25">
      <c r="A452" s="56"/>
      <c r="B452" s="56"/>
      <c r="C452" s="56"/>
    </row>
    <row r="453" spans="1:3" ht="15" customHeight="1" x14ac:dyDescent="0.25">
      <c r="A453" s="56"/>
      <c r="B453" s="56"/>
      <c r="C453" s="56"/>
    </row>
    <row r="454" spans="1:3" ht="15" customHeight="1" x14ac:dyDescent="0.25">
      <c r="A454" s="56"/>
      <c r="B454" s="56"/>
      <c r="C454" s="56"/>
    </row>
    <row r="455" spans="1:3" ht="15" customHeight="1" x14ac:dyDescent="0.25">
      <c r="A455" s="56"/>
      <c r="B455" s="56"/>
      <c r="C455" s="56"/>
    </row>
    <row r="456" spans="1:3" ht="15" customHeight="1" x14ac:dyDescent="0.25">
      <c r="A456" s="56"/>
      <c r="B456" s="56"/>
      <c r="C456" s="56"/>
    </row>
    <row r="457" spans="1:3" ht="15" customHeight="1" x14ac:dyDescent="0.25">
      <c r="A457" s="56"/>
      <c r="B457" s="56"/>
      <c r="C457" s="56"/>
    </row>
    <row r="458" spans="1:3" ht="15" customHeight="1" x14ac:dyDescent="0.25">
      <c r="A458" s="56"/>
      <c r="B458" s="56"/>
      <c r="C458" s="56"/>
    </row>
    <row r="459" spans="1:3" ht="15" customHeight="1" x14ac:dyDescent="0.25">
      <c r="A459" s="56"/>
      <c r="B459" s="56"/>
      <c r="C459" s="56"/>
    </row>
    <row r="460" spans="1:3" ht="15" customHeight="1" x14ac:dyDescent="0.25">
      <c r="A460" s="56"/>
      <c r="B460" s="56"/>
      <c r="C460" s="56"/>
    </row>
    <row r="461" spans="1:3" ht="15" customHeight="1" x14ac:dyDescent="0.25">
      <c r="A461" s="56"/>
      <c r="B461" s="56"/>
      <c r="C461" s="56"/>
    </row>
    <row r="462" spans="1:3" ht="15" customHeight="1" x14ac:dyDescent="0.25">
      <c r="A462" s="56"/>
      <c r="B462" s="56"/>
      <c r="C462" s="56"/>
    </row>
    <row r="463" spans="1:3" ht="15" customHeight="1" x14ac:dyDescent="0.25">
      <c r="A463" s="56"/>
      <c r="B463" s="56"/>
      <c r="C463" s="56"/>
    </row>
    <row r="464" spans="1:3" ht="15" customHeight="1" x14ac:dyDescent="0.25">
      <c r="A464" s="56"/>
      <c r="B464" s="56"/>
      <c r="C464" s="56"/>
    </row>
  </sheetData>
  <mergeCells count="7">
    <mergeCell ref="A1:F1"/>
    <mergeCell ref="A2:A3"/>
    <mergeCell ref="B2:B3"/>
    <mergeCell ref="C2:C3"/>
    <mergeCell ref="D2:D3"/>
    <mergeCell ref="E2:E3"/>
    <mergeCell ref="F2:F3"/>
  </mergeCells>
  <conditionalFormatting sqref="E5:E263">
    <cfRule type="expression" dxfId="3" priority="1">
      <formula>C5="OTHER"</formula>
    </cfRule>
    <cfRule type="expression" dxfId="2" priority="2">
      <formula>C5="BOF"</formula>
    </cfRule>
    <cfRule type="expression" dxfId="1" priority="3">
      <formula>C5="SWS"</formula>
    </cfRule>
    <cfRule type="expression" dxfId="0" priority="4">
      <formula>C5="BOD"</formula>
    </cfRule>
  </conditionalFormatting>
  <dataValidations count="1">
    <dataValidation type="list" allowBlank="1" showInputMessage="1" showErrorMessage="1" sqref="C5:C263" xr:uid="{7336CBF5-970A-457A-8E8E-A468A85C8E28}">
      <formula1>"BOD, BOF, SWS, 1AX, 1GX, 1PX, 1VX, 1WX, 2CX, 6BX, ADX, ELX, OWX, MHQ, DFR, LPE, SRL, OTHER"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W395"/>
  <sheetViews>
    <sheetView zoomScaleNormal="100" workbookViewId="0">
      <pane ySplit="1575" topLeftCell="A86" activePane="bottomLeft"/>
      <selection activeCell="C1" sqref="C1:C1048576"/>
      <selection pane="bottomLeft" activeCell="U92" sqref="U92:U93"/>
    </sheetView>
  </sheetViews>
  <sheetFormatPr defaultRowHeight="15.75" x14ac:dyDescent="0.25"/>
  <cols>
    <col min="1" max="1" width="10.7109375" style="164" bestFit="1" customWidth="1"/>
    <col min="2" max="2" width="18.42578125" style="165" bestFit="1" customWidth="1"/>
    <col min="3" max="3" width="18.140625" style="231" customWidth="1"/>
    <col min="4" max="4" width="17.140625" style="165" customWidth="1"/>
    <col min="5" max="5" width="14.85546875" style="166" customWidth="1"/>
    <col min="6" max="6" width="9.140625" style="166"/>
    <col min="7" max="7" width="9.140625" style="167"/>
    <col min="8" max="8" width="9.140625" style="168"/>
    <col min="9" max="10" width="9.140625" style="169"/>
    <col min="11" max="11" width="9.140625" style="167"/>
    <col min="12" max="12" width="9.140625" style="168"/>
    <col min="13" max="14" width="9.140625" style="169"/>
    <col min="15" max="15" width="37.5703125" style="165" customWidth="1"/>
    <col min="16" max="20" width="9.140625" style="158"/>
  </cols>
  <sheetData>
    <row r="1" spans="1:23" ht="15" customHeight="1" x14ac:dyDescent="0.25">
      <c r="A1" s="426" t="s">
        <v>71</v>
      </c>
      <c r="B1" s="427" t="s">
        <v>178</v>
      </c>
      <c r="C1" s="429" t="s">
        <v>179</v>
      </c>
      <c r="D1" s="427" t="s">
        <v>72</v>
      </c>
      <c r="E1" s="428" t="s">
        <v>73</v>
      </c>
      <c r="F1" s="428" t="s">
        <v>163</v>
      </c>
      <c r="G1" s="154" t="s">
        <v>25</v>
      </c>
      <c r="H1" s="155" t="s">
        <v>26</v>
      </c>
      <c r="I1" s="156" t="s">
        <v>28</v>
      </c>
      <c r="J1" s="204" t="s">
        <v>66</v>
      </c>
      <c r="K1" s="154" t="s">
        <v>25</v>
      </c>
      <c r="L1" s="155" t="s">
        <v>26</v>
      </c>
      <c r="M1" s="156" t="s">
        <v>28</v>
      </c>
      <c r="N1" s="204" t="s">
        <v>66</v>
      </c>
      <c r="O1" s="425" t="s">
        <v>74</v>
      </c>
    </row>
    <row r="2" spans="1:23" ht="49.5" customHeight="1" x14ac:dyDescent="0.25">
      <c r="A2" s="426"/>
      <c r="B2" s="427"/>
      <c r="C2" s="430"/>
      <c r="D2" s="427"/>
      <c r="E2" s="428"/>
      <c r="F2" s="428"/>
      <c r="G2" s="170" t="s">
        <v>177</v>
      </c>
      <c r="H2" s="171" t="s">
        <v>177</v>
      </c>
      <c r="I2" s="172" t="s">
        <v>177</v>
      </c>
      <c r="J2" s="205" t="s">
        <v>177</v>
      </c>
      <c r="K2" s="170" t="s">
        <v>75</v>
      </c>
      <c r="L2" s="171" t="s">
        <v>75</v>
      </c>
      <c r="M2" s="172" t="s">
        <v>75</v>
      </c>
      <c r="N2" s="205" t="s">
        <v>75</v>
      </c>
      <c r="O2" s="425"/>
      <c r="Q2" s="153"/>
      <c r="R2" s="154" t="s">
        <v>25</v>
      </c>
      <c r="S2" s="155" t="s">
        <v>26</v>
      </c>
      <c r="T2" s="156" t="s">
        <v>28</v>
      </c>
      <c r="U2" s="207" t="s">
        <v>66</v>
      </c>
      <c r="V2" s="213" t="s">
        <v>207</v>
      </c>
    </row>
    <row r="3" spans="1:23" ht="31.5" x14ac:dyDescent="0.25">
      <c r="A3" s="159">
        <v>45667</v>
      </c>
      <c r="B3" s="160" t="s">
        <v>215</v>
      </c>
      <c r="C3" s="229"/>
      <c r="D3" s="161" t="s">
        <v>216</v>
      </c>
      <c r="E3" s="162" t="s">
        <v>217</v>
      </c>
      <c r="F3" s="162" t="s">
        <v>28</v>
      </c>
      <c r="G3" s="154"/>
      <c r="H3" s="155"/>
      <c r="I3" s="156" t="s">
        <v>218</v>
      </c>
      <c r="J3" s="204"/>
      <c r="K3" s="154"/>
      <c r="L3" s="155"/>
      <c r="M3" s="156">
        <v>20</v>
      </c>
      <c r="N3" s="204"/>
      <c r="O3" s="161"/>
      <c r="Q3" s="157" t="s">
        <v>180</v>
      </c>
      <c r="R3" s="157">
        <f t="array" ref="R3">SUM(--(FREQUENCY(IF(B3:B96&lt;&gt;"",IF(G3:G96="X",MATCH(B3:B96,B3:B96,0))),ROW(B3:B96)-ROW(B3)+1)&gt;0))</f>
        <v>4</v>
      </c>
      <c r="S3" s="157">
        <f t="array" ref="S3">SUM(--(FREQUENCY(IF(B3:B96&lt;&gt;"",IF(H3:H96="X",MATCH(B3:B96,B3:B96,0))),ROW(B3:B96)-ROW(B3)+1)&gt;0))</f>
        <v>11</v>
      </c>
      <c r="T3" s="157">
        <f t="array" ref="T3">SUM(--(FREQUENCY(IF(B3:B96&lt;&gt;"",IF(I3:I96="X",MATCH(B3:B96,B3:B96,0))),ROW(B3:B96)-ROW(B3)+1)&gt;0))</f>
        <v>4</v>
      </c>
      <c r="U3" s="157">
        <f>COUNTA(J3:J395)</f>
        <v>1</v>
      </c>
      <c r="V3" s="194">
        <v>1</v>
      </c>
    </row>
    <row r="4" spans="1:23" ht="47.25" x14ac:dyDescent="0.25">
      <c r="A4" s="159">
        <v>45671</v>
      </c>
      <c r="B4" s="163" t="s">
        <v>219</v>
      </c>
      <c r="C4" s="230" t="s">
        <v>220</v>
      </c>
      <c r="D4" s="161" t="s">
        <v>222</v>
      </c>
      <c r="E4" s="162" t="s">
        <v>224</v>
      </c>
      <c r="F4" s="162" t="s">
        <v>225</v>
      </c>
      <c r="G4" s="154"/>
      <c r="H4" s="155" t="s">
        <v>218</v>
      </c>
      <c r="I4" s="156"/>
      <c r="J4" s="204"/>
      <c r="K4" s="154"/>
      <c r="L4" s="155">
        <v>5</v>
      </c>
      <c r="M4" s="156"/>
      <c r="N4" s="204"/>
      <c r="O4" s="161"/>
      <c r="Q4" s="157" t="s">
        <v>2</v>
      </c>
      <c r="R4" s="157">
        <f>SUM(K:K)-V4</f>
        <v>7853.25</v>
      </c>
      <c r="S4" s="157">
        <f>SUM(L:L)</f>
        <v>4901.5</v>
      </c>
      <c r="T4" s="157">
        <f>SUM(M:M)</f>
        <v>381</v>
      </c>
      <c r="U4" s="157">
        <f>SUM(N:N)</f>
        <v>1</v>
      </c>
      <c r="V4" s="157">
        <f>SUMIF(C3:C500,"OCTC",K3:K500)</f>
        <v>27.75</v>
      </c>
      <c r="W4" s="255" t="s">
        <v>333</v>
      </c>
    </row>
    <row r="5" spans="1:23" ht="47.25" x14ac:dyDescent="0.25">
      <c r="A5" s="159">
        <v>45672</v>
      </c>
      <c r="B5" s="163" t="s">
        <v>219</v>
      </c>
      <c r="C5" s="230" t="s">
        <v>221</v>
      </c>
      <c r="D5" s="161" t="s">
        <v>222</v>
      </c>
      <c r="E5" s="162" t="s">
        <v>223</v>
      </c>
      <c r="F5" s="162" t="s">
        <v>225</v>
      </c>
      <c r="G5" s="154"/>
      <c r="H5" s="155"/>
      <c r="I5" s="156"/>
      <c r="J5" s="204"/>
      <c r="K5" s="154"/>
      <c r="L5" s="155">
        <v>20</v>
      </c>
      <c r="M5" s="156"/>
      <c r="N5" s="204"/>
      <c r="O5" s="161"/>
    </row>
    <row r="6" spans="1:23" x14ac:dyDescent="0.25">
      <c r="A6" s="159">
        <v>45688</v>
      </c>
      <c r="B6" s="163" t="s">
        <v>237</v>
      </c>
      <c r="C6" s="230" t="s">
        <v>207</v>
      </c>
      <c r="D6" s="161"/>
      <c r="E6" s="162"/>
      <c r="F6" s="162"/>
      <c r="G6" s="154"/>
      <c r="H6" s="155"/>
      <c r="I6" s="156"/>
      <c r="J6" s="204"/>
      <c r="K6" s="154">
        <v>5.25</v>
      </c>
      <c r="L6" s="155"/>
      <c r="M6" s="156"/>
      <c r="N6" s="204"/>
      <c r="O6" s="161"/>
    </row>
    <row r="7" spans="1:23" ht="47.25" x14ac:dyDescent="0.25">
      <c r="A7" s="159">
        <v>45692</v>
      </c>
      <c r="B7" s="163" t="s">
        <v>238</v>
      </c>
      <c r="C7" s="230" t="s">
        <v>239</v>
      </c>
      <c r="D7" s="161" t="s">
        <v>240</v>
      </c>
      <c r="E7" s="162" t="s">
        <v>241</v>
      </c>
      <c r="F7" s="162"/>
      <c r="G7" s="154"/>
      <c r="H7" s="155"/>
      <c r="I7" s="156"/>
      <c r="J7" s="204" t="s">
        <v>218</v>
      </c>
      <c r="K7" s="154"/>
      <c r="L7" s="155"/>
      <c r="M7" s="156"/>
      <c r="N7" s="204">
        <v>1</v>
      </c>
      <c r="O7" s="161"/>
    </row>
    <row r="8" spans="1:23" s="191" customFormat="1" ht="35.25" customHeight="1" x14ac:dyDescent="0.25">
      <c r="A8" s="185">
        <v>45716</v>
      </c>
      <c r="B8" s="163" t="s">
        <v>244</v>
      </c>
      <c r="C8" s="230" t="s">
        <v>207</v>
      </c>
      <c r="D8" s="161"/>
      <c r="E8" s="162"/>
      <c r="F8" s="161"/>
      <c r="G8" s="186"/>
      <c r="H8" s="187"/>
      <c r="I8" s="188"/>
      <c r="J8" s="206"/>
      <c r="K8" s="186">
        <v>0.25</v>
      </c>
      <c r="L8" s="187"/>
      <c r="M8" s="188"/>
      <c r="N8" s="206"/>
      <c r="O8" s="161"/>
      <c r="P8" s="189"/>
      <c r="Q8" s="189"/>
      <c r="R8" s="190"/>
      <c r="S8" s="190"/>
      <c r="T8" s="190"/>
    </row>
    <row r="9" spans="1:23" x14ac:dyDescent="0.25">
      <c r="A9" s="159">
        <v>45743</v>
      </c>
      <c r="B9" s="163" t="s">
        <v>305</v>
      </c>
      <c r="C9" s="230" t="s">
        <v>207</v>
      </c>
      <c r="D9" s="161"/>
      <c r="E9" s="162"/>
      <c r="F9" s="162"/>
      <c r="G9" s="154"/>
      <c r="H9" s="155"/>
      <c r="I9" s="156"/>
      <c r="J9" s="204"/>
      <c r="K9" s="154">
        <v>1</v>
      </c>
      <c r="L9" s="155"/>
      <c r="M9" s="156"/>
      <c r="N9" s="204"/>
      <c r="O9" s="161"/>
    </row>
    <row r="10" spans="1:23" ht="31.5" x14ac:dyDescent="0.25">
      <c r="A10" s="159">
        <v>45768</v>
      </c>
      <c r="B10" s="163" t="s">
        <v>323</v>
      </c>
      <c r="C10" s="230" t="s">
        <v>324</v>
      </c>
      <c r="D10" s="161" t="s">
        <v>325</v>
      </c>
      <c r="E10" s="162" t="s">
        <v>326</v>
      </c>
      <c r="F10" s="162" t="s">
        <v>327</v>
      </c>
      <c r="G10" s="154"/>
      <c r="H10" s="155" t="s">
        <v>218</v>
      </c>
      <c r="I10" s="156"/>
      <c r="J10" s="204"/>
      <c r="K10" s="154"/>
      <c r="L10" s="155">
        <v>125</v>
      </c>
      <c r="M10" s="156"/>
      <c r="N10" s="204"/>
      <c r="O10" s="161"/>
    </row>
    <row r="11" spans="1:23" ht="31.5" x14ac:dyDescent="0.25">
      <c r="A11" s="159">
        <v>45769</v>
      </c>
      <c r="B11" s="163" t="s">
        <v>323</v>
      </c>
      <c r="C11" s="230" t="s">
        <v>324</v>
      </c>
      <c r="D11" s="161" t="s">
        <v>325</v>
      </c>
      <c r="E11" s="162" t="s">
        <v>326</v>
      </c>
      <c r="F11" s="162" t="s">
        <v>327</v>
      </c>
      <c r="G11" s="154"/>
      <c r="H11" s="155"/>
      <c r="I11" s="156"/>
      <c r="J11" s="204"/>
      <c r="K11" s="154"/>
      <c r="L11" s="155">
        <v>202</v>
      </c>
      <c r="M11" s="156"/>
      <c r="N11" s="204"/>
      <c r="O11" s="161"/>
    </row>
    <row r="12" spans="1:23" x14ac:dyDescent="0.25">
      <c r="A12" s="159">
        <v>45771</v>
      </c>
      <c r="B12" s="163" t="s">
        <v>330</v>
      </c>
      <c r="C12" s="230"/>
      <c r="D12" s="161" t="s">
        <v>331</v>
      </c>
      <c r="E12" s="162" t="s">
        <v>332</v>
      </c>
      <c r="F12" s="162"/>
      <c r="G12" s="154" t="s">
        <v>218</v>
      </c>
      <c r="H12" s="155"/>
      <c r="I12" s="156"/>
      <c r="J12" s="204"/>
      <c r="K12" s="154">
        <v>10</v>
      </c>
      <c r="L12" s="155"/>
      <c r="M12" s="156"/>
      <c r="N12" s="204"/>
      <c r="O12" s="161"/>
    </row>
    <row r="13" spans="1:23" ht="31.5" x14ac:dyDescent="0.25">
      <c r="A13" s="159">
        <v>45776</v>
      </c>
      <c r="B13" s="163" t="s">
        <v>345</v>
      </c>
      <c r="C13" s="230"/>
      <c r="D13" s="161" t="s">
        <v>346</v>
      </c>
      <c r="E13" s="162" t="s">
        <v>347</v>
      </c>
      <c r="F13" s="162"/>
      <c r="G13" s="154" t="s">
        <v>218</v>
      </c>
      <c r="H13" s="155"/>
      <c r="I13" s="156"/>
      <c r="J13" s="204"/>
      <c r="K13" s="154">
        <v>110</v>
      </c>
      <c r="L13" s="155"/>
      <c r="M13" s="156"/>
      <c r="N13" s="204"/>
      <c r="O13" s="161"/>
    </row>
    <row r="14" spans="1:23" x14ac:dyDescent="0.25">
      <c r="A14" s="159">
        <v>45777</v>
      </c>
      <c r="B14" s="163" t="s">
        <v>348</v>
      </c>
      <c r="C14" s="230"/>
      <c r="D14" s="161" t="s">
        <v>346</v>
      </c>
      <c r="E14" s="162" t="s">
        <v>349</v>
      </c>
      <c r="F14" s="162"/>
      <c r="G14" s="154" t="s">
        <v>218</v>
      </c>
      <c r="H14" s="155"/>
      <c r="I14" s="156"/>
      <c r="J14" s="204"/>
      <c r="K14" s="154">
        <v>100</v>
      </c>
      <c r="L14" s="155"/>
      <c r="M14" s="156"/>
      <c r="N14" s="204"/>
      <c r="O14" s="161"/>
    </row>
    <row r="15" spans="1:23" x14ac:dyDescent="0.25">
      <c r="A15" s="159">
        <v>45778</v>
      </c>
      <c r="B15" s="163" t="s">
        <v>348</v>
      </c>
      <c r="C15" s="230"/>
      <c r="D15" s="161" t="s">
        <v>346</v>
      </c>
      <c r="E15" s="161" t="s">
        <v>349</v>
      </c>
      <c r="F15" s="162"/>
      <c r="G15" s="154"/>
      <c r="H15" s="155"/>
      <c r="I15" s="156"/>
      <c r="J15" s="204"/>
      <c r="K15" s="154">
        <v>100</v>
      </c>
      <c r="L15" s="155"/>
      <c r="M15" s="156"/>
      <c r="N15" s="204"/>
      <c r="O15" s="161"/>
    </row>
    <row r="16" spans="1:23" x14ac:dyDescent="0.25">
      <c r="A16" s="159">
        <v>45777</v>
      </c>
      <c r="B16" s="163" t="s">
        <v>351</v>
      </c>
      <c r="C16" s="230" t="s">
        <v>207</v>
      </c>
      <c r="D16" s="161"/>
      <c r="E16" s="162"/>
      <c r="F16" s="162"/>
      <c r="G16" s="154"/>
      <c r="H16" s="155"/>
      <c r="I16" s="156"/>
      <c r="J16" s="204"/>
      <c r="K16" s="154">
        <v>11</v>
      </c>
      <c r="L16" s="155"/>
      <c r="M16" s="156"/>
      <c r="N16" s="204"/>
      <c r="O16" s="161"/>
    </row>
    <row r="17" spans="1:15" x14ac:dyDescent="0.25">
      <c r="A17" s="159">
        <v>45783</v>
      </c>
      <c r="B17" s="163" t="s">
        <v>348</v>
      </c>
      <c r="C17" s="230"/>
      <c r="D17" s="161" t="s">
        <v>346</v>
      </c>
      <c r="E17" s="162" t="s">
        <v>349</v>
      </c>
      <c r="F17" s="162"/>
      <c r="G17" s="154"/>
      <c r="H17" s="155"/>
      <c r="I17" s="156"/>
      <c r="J17" s="204"/>
      <c r="K17" s="154">
        <v>1800</v>
      </c>
      <c r="L17" s="155"/>
      <c r="M17" s="156"/>
      <c r="N17" s="204"/>
      <c r="O17" s="161"/>
    </row>
    <row r="18" spans="1:15" x14ac:dyDescent="0.25">
      <c r="A18" s="159">
        <v>45784</v>
      </c>
      <c r="B18" s="163" t="s">
        <v>348</v>
      </c>
      <c r="C18" s="230"/>
      <c r="D18" s="161" t="s">
        <v>346</v>
      </c>
      <c r="E18" s="162" t="s">
        <v>349</v>
      </c>
      <c r="F18" s="162"/>
      <c r="G18" s="154"/>
      <c r="H18" s="155"/>
      <c r="I18" s="156"/>
      <c r="J18" s="204"/>
      <c r="K18" s="154">
        <v>2000</v>
      </c>
      <c r="L18" s="155"/>
      <c r="M18" s="156"/>
      <c r="N18" s="204"/>
      <c r="O18" s="161"/>
    </row>
    <row r="19" spans="1:15" ht="31.5" x14ac:dyDescent="0.25">
      <c r="A19" s="159">
        <v>45784</v>
      </c>
      <c r="B19" s="163" t="s">
        <v>375</v>
      </c>
      <c r="C19" s="230" t="s">
        <v>376</v>
      </c>
      <c r="D19" s="161" t="s">
        <v>377</v>
      </c>
      <c r="E19" s="162" t="s">
        <v>378</v>
      </c>
      <c r="F19" s="162" t="s">
        <v>225</v>
      </c>
      <c r="G19" s="154"/>
      <c r="H19" s="155" t="s">
        <v>218</v>
      </c>
      <c r="I19" s="156"/>
      <c r="J19" s="204"/>
      <c r="K19" s="154"/>
      <c r="L19" s="155">
        <v>1</v>
      </c>
      <c r="M19" s="156"/>
      <c r="N19" s="204"/>
      <c r="O19" s="161"/>
    </row>
    <row r="20" spans="1:15" ht="31.5" x14ac:dyDescent="0.25">
      <c r="A20" s="159">
        <v>45784</v>
      </c>
      <c r="B20" s="163" t="s">
        <v>379</v>
      </c>
      <c r="C20" s="230" t="s">
        <v>383</v>
      </c>
      <c r="D20" s="161" t="s">
        <v>382</v>
      </c>
      <c r="E20" s="162" t="s">
        <v>380</v>
      </c>
      <c r="F20" s="162" t="s">
        <v>381</v>
      </c>
      <c r="G20" s="154"/>
      <c r="H20" s="155" t="s">
        <v>218</v>
      </c>
      <c r="I20" s="156"/>
      <c r="J20" s="204"/>
      <c r="K20" s="154"/>
      <c r="L20" s="155">
        <v>49</v>
      </c>
      <c r="M20" s="156"/>
      <c r="N20" s="204"/>
      <c r="O20" s="161"/>
    </row>
    <row r="21" spans="1:15" x14ac:dyDescent="0.25">
      <c r="A21" s="159">
        <v>45785</v>
      </c>
      <c r="B21" s="163" t="s">
        <v>348</v>
      </c>
      <c r="C21" s="230"/>
      <c r="D21" s="161" t="s">
        <v>346</v>
      </c>
      <c r="E21" s="162" t="s">
        <v>349</v>
      </c>
      <c r="F21" s="162"/>
      <c r="G21" s="154"/>
      <c r="H21" s="155"/>
      <c r="I21" s="156"/>
      <c r="J21" s="204"/>
      <c r="K21" s="154">
        <v>3500</v>
      </c>
      <c r="L21" s="155"/>
      <c r="M21" s="156"/>
      <c r="N21" s="204"/>
      <c r="O21" s="161"/>
    </row>
    <row r="22" spans="1:15" ht="31.5" x14ac:dyDescent="0.25">
      <c r="A22" s="159">
        <v>45785</v>
      </c>
      <c r="B22" s="163" t="s">
        <v>379</v>
      </c>
      <c r="C22" s="230" t="s">
        <v>394</v>
      </c>
      <c r="D22" s="161" t="s">
        <v>382</v>
      </c>
      <c r="E22" s="162" t="s">
        <v>395</v>
      </c>
      <c r="F22" s="162" t="s">
        <v>381</v>
      </c>
      <c r="G22" s="154"/>
      <c r="H22" s="155"/>
      <c r="I22" s="156"/>
      <c r="J22" s="204"/>
      <c r="K22" s="154"/>
      <c r="L22" s="155">
        <v>44</v>
      </c>
      <c r="M22" s="156"/>
      <c r="N22" s="204"/>
      <c r="O22" s="161"/>
    </row>
    <row r="23" spans="1:15" x14ac:dyDescent="0.25">
      <c r="A23" s="159">
        <v>45786</v>
      </c>
      <c r="B23" s="163" t="s">
        <v>348</v>
      </c>
      <c r="C23" s="230"/>
      <c r="D23" s="161" t="s">
        <v>346</v>
      </c>
      <c r="E23" s="161" t="s">
        <v>349</v>
      </c>
      <c r="F23" s="162"/>
      <c r="G23" s="154"/>
      <c r="H23" s="155"/>
      <c r="I23" s="156"/>
      <c r="J23" s="204"/>
      <c r="K23" s="154">
        <v>0.25</v>
      </c>
      <c r="L23" s="155"/>
      <c r="M23" s="156"/>
      <c r="N23" s="204"/>
      <c r="O23" s="161"/>
    </row>
    <row r="24" spans="1:15" ht="31.5" x14ac:dyDescent="0.25">
      <c r="A24" s="159">
        <v>45786</v>
      </c>
      <c r="B24" s="163" t="s">
        <v>379</v>
      </c>
      <c r="C24" s="230" t="s">
        <v>399</v>
      </c>
      <c r="D24" s="161" t="s">
        <v>398</v>
      </c>
      <c r="E24" s="161" t="s">
        <v>395</v>
      </c>
      <c r="F24" s="162" t="s">
        <v>381</v>
      </c>
      <c r="G24" s="154"/>
      <c r="H24" s="155"/>
      <c r="I24" s="156"/>
      <c r="J24" s="204"/>
      <c r="K24" s="154"/>
      <c r="L24" s="155">
        <v>49.5</v>
      </c>
      <c r="M24" s="156"/>
      <c r="N24" s="204"/>
      <c r="O24" s="161"/>
    </row>
    <row r="25" spans="1:15" ht="31.5" x14ac:dyDescent="0.25">
      <c r="A25" s="159">
        <v>45789</v>
      </c>
      <c r="B25" s="163" t="s">
        <v>379</v>
      </c>
      <c r="C25" s="230" t="s">
        <v>400</v>
      </c>
      <c r="D25" s="161" t="s">
        <v>398</v>
      </c>
      <c r="E25" s="162" t="s">
        <v>380</v>
      </c>
      <c r="F25" s="162" t="s">
        <v>381</v>
      </c>
      <c r="G25" s="154"/>
      <c r="H25" s="155"/>
      <c r="I25" s="156"/>
      <c r="J25" s="204"/>
      <c r="K25" s="154"/>
      <c r="L25" s="155">
        <v>125</v>
      </c>
      <c r="M25" s="156"/>
      <c r="N25" s="204"/>
      <c r="O25" s="161"/>
    </row>
    <row r="26" spans="1:15" ht="31.5" x14ac:dyDescent="0.25">
      <c r="A26" s="159">
        <v>45790</v>
      </c>
      <c r="B26" s="163" t="s">
        <v>379</v>
      </c>
      <c r="C26" s="230" t="s">
        <v>400</v>
      </c>
      <c r="D26" s="161" t="s">
        <v>408</v>
      </c>
      <c r="E26" s="162" t="s">
        <v>380</v>
      </c>
      <c r="F26" s="162" t="s">
        <v>381</v>
      </c>
      <c r="G26" s="154"/>
      <c r="H26" s="155"/>
      <c r="I26" s="156"/>
      <c r="J26" s="204"/>
      <c r="K26" s="154"/>
      <c r="L26" s="155">
        <v>70</v>
      </c>
      <c r="M26" s="156"/>
      <c r="N26" s="204"/>
      <c r="O26" s="161"/>
    </row>
    <row r="27" spans="1:15" ht="31.5" x14ac:dyDescent="0.25">
      <c r="A27" s="159">
        <v>45792</v>
      </c>
      <c r="B27" s="163" t="s">
        <v>409</v>
      </c>
      <c r="C27" s="230" t="s">
        <v>410</v>
      </c>
      <c r="D27" s="161" t="s">
        <v>411</v>
      </c>
      <c r="E27" s="162" t="s">
        <v>413</v>
      </c>
      <c r="F27" s="162" t="s">
        <v>412</v>
      </c>
      <c r="G27" s="154"/>
      <c r="H27" s="155" t="s">
        <v>218</v>
      </c>
      <c r="I27" s="156"/>
      <c r="J27" s="204"/>
      <c r="K27" s="154"/>
      <c r="L27" s="155">
        <v>160</v>
      </c>
      <c r="M27" s="156"/>
      <c r="N27" s="204"/>
      <c r="O27" s="161"/>
    </row>
    <row r="28" spans="1:15" ht="31.5" x14ac:dyDescent="0.25">
      <c r="A28" s="159">
        <v>45793</v>
      </c>
      <c r="B28" s="163" t="s">
        <v>375</v>
      </c>
      <c r="C28" s="230"/>
      <c r="D28" s="161" t="s">
        <v>414</v>
      </c>
      <c r="E28" s="162" t="s">
        <v>415</v>
      </c>
      <c r="F28" s="162" t="s">
        <v>225</v>
      </c>
      <c r="G28" s="154"/>
      <c r="H28" s="155"/>
      <c r="I28" s="156"/>
      <c r="J28" s="204"/>
      <c r="K28" s="154"/>
      <c r="L28" s="155">
        <v>107</v>
      </c>
      <c r="M28" s="156"/>
      <c r="N28" s="204"/>
      <c r="O28" s="161"/>
    </row>
    <row r="29" spans="1:15" ht="31.5" x14ac:dyDescent="0.25">
      <c r="A29" s="159">
        <v>45799</v>
      </c>
      <c r="B29" s="163" t="s">
        <v>419</v>
      </c>
      <c r="C29" s="230" t="s">
        <v>422</v>
      </c>
      <c r="D29" s="230" t="s">
        <v>420</v>
      </c>
      <c r="E29" s="162" t="s">
        <v>421</v>
      </c>
      <c r="F29" s="162" t="s">
        <v>412</v>
      </c>
      <c r="G29" s="154"/>
      <c r="H29" s="155" t="s">
        <v>218</v>
      </c>
      <c r="I29" s="156"/>
      <c r="J29" s="204"/>
      <c r="K29" s="154"/>
      <c r="L29" s="155">
        <v>5</v>
      </c>
      <c r="M29" s="156"/>
      <c r="N29" s="204"/>
      <c r="O29" s="161"/>
    </row>
    <row r="30" spans="1:15" ht="31.5" x14ac:dyDescent="0.25">
      <c r="A30" s="159">
        <v>45804</v>
      </c>
      <c r="B30" s="163" t="s">
        <v>452</v>
      </c>
      <c r="C30" s="230"/>
      <c r="D30" s="161" t="s">
        <v>247</v>
      </c>
      <c r="E30" s="162" t="s">
        <v>453</v>
      </c>
      <c r="F30" s="162" t="s">
        <v>28</v>
      </c>
      <c r="G30" s="154"/>
      <c r="H30" s="155"/>
      <c r="I30" s="156" t="s">
        <v>218</v>
      </c>
      <c r="J30" s="204"/>
      <c r="K30" s="154"/>
      <c r="L30" s="155"/>
      <c r="M30" s="156">
        <v>1</v>
      </c>
      <c r="N30" s="204"/>
      <c r="O30" s="161"/>
    </row>
    <row r="31" spans="1:15" ht="31.5" x14ac:dyDescent="0.25">
      <c r="A31" s="159">
        <v>45805</v>
      </c>
      <c r="B31" s="163" t="s">
        <v>454</v>
      </c>
      <c r="C31" s="230" t="s">
        <v>458</v>
      </c>
      <c r="D31" s="161" t="s">
        <v>457</v>
      </c>
      <c r="E31" s="162" t="s">
        <v>455</v>
      </c>
      <c r="F31" s="162" t="s">
        <v>456</v>
      </c>
      <c r="G31" s="154"/>
      <c r="H31" s="155" t="s">
        <v>218</v>
      </c>
      <c r="I31" s="156"/>
      <c r="J31" s="204"/>
      <c r="K31" s="154"/>
      <c r="L31" s="155">
        <v>50</v>
      </c>
      <c r="M31" s="156"/>
      <c r="N31" s="204"/>
      <c r="O31" s="161"/>
    </row>
    <row r="32" spans="1:15" ht="31.5" x14ac:dyDescent="0.25">
      <c r="A32" s="159">
        <v>45806</v>
      </c>
      <c r="B32" s="163" t="s">
        <v>454</v>
      </c>
      <c r="C32" s="230" t="s">
        <v>459</v>
      </c>
      <c r="D32" s="161" t="s">
        <v>457</v>
      </c>
      <c r="E32" s="162" t="s">
        <v>455</v>
      </c>
      <c r="F32" s="162" t="s">
        <v>456</v>
      </c>
      <c r="G32" s="154"/>
      <c r="H32" s="155"/>
      <c r="I32" s="156"/>
      <c r="J32" s="204"/>
      <c r="K32" s="154"/>
      <c r="L32" s="155">
        <v>56</v>
      </c>
      <c r="M32" s="156"/>
      <c r="N32" s="204"/>
      <c r="O32" s="161"/>
    </row>
    <row r="33" spans="1:15" ht="31.5" x14ac:dyDescent="0.25">
      <c r="A33" s="159">
        <v>45812</v>
      </c>
      <c r="B33" s="163" t="s">
        <v>375</v>
      </c>
      <c r="C33" s="230" t="s">
        <v>519</v>
      </c>
      <c r="D33" s="161" t="s">
        <v>517</v>
      </c>
      <c r="E33" s="162" t="s">
        <v>518</v>
      </c>
      <c r="F33" s="162" t="s">
        <v>225</v>
      </c>
      <c r="G33" s="154"/>
      <c r="H33" s="155"/>
      <c r="I33" s="156"/>
      <c r="J33" s="204"/>
      <c r="K33" s="154"/>
      <c r="L33" s="155">
        <v>35</v>
      </c>
      <c r="M33" s="156"/>
      <c r="N33" s="204"/>
      <c r="O33" s="161"/>
    </row>
    <row r="34" spans="1:15" ht="31.5" x14ac:dyDescent="0.25">
      <c r="A34" s="159">
        <v>45922</v>
      </c>
      <c r="B34" s="163" t="s">
        <v>323</v>
      </c>
      <c r="C34" s="230" t="s">
        <v>1910</v>
      </c>
      <c r="D34" s="161" t="s">
        <v>1912</v>
      </c>
      <c r="E34" s="162" t="s">
        <v>1911</v>
      </c>
      <c r="F34" s="162" t="s">
        <v>327</v>
      </c>
      <c r="G34" s="154"/>
      <c r="H34" s="155"/>
      <c r="I34" s="156"/>
      <c r="J34" s="204"/>
      <c r="K34" s="154"/>
      <c r="L34" s="155">
        <v>2</v>
      </c>
      <c r="M34" s="156"/>
      <c r="N34" s="204"/>
      <c r="O34" s="161"/>
    </row>
    <row r="35" spans="1:15" ht="31.5" x14ac:dyDescent="0.25">
      <c r="A35" s="159">
        <v>45926</v>
      </c>
      <c r="B35" s="161" t="s">
        <v>419</v>
      </c>
      <c r="C35" s="228" t="s">
        <v>1923</v>
      </c>
      <c r="D35" s="161" t="s">
        <v>1922</v>
      </c>
      <c r="E35" s="162" t="s">
        <v>421</v>
      </c>
      <c r="F35" s="162" t="s">
        <v>412</v>
      </c>
      <c r="G35" s="154"/>
      <c r="H35" s="155"/>
      <c r="I35" s="156"/>
      <c r="J35" s="204"/>
      <c r="K35" s="154"/>
      <c r="L35" s="155">
        <v>100</v>
      </c>
      <c r="M35" s="156"/>
      <c r="N35" s="204"/>
      <c r="O35" s="161"/>
    </row>
    <row r="36" spans="1:15" ht="31.5" x14ac:dyDescent="0.25">
      <c r="A36" s="159">
        <v>45927</v>
      </c>
      <c r="B36" s="161" t="s">
        <v>419</v>
      </c>
      <c r="C36" s="228" t="s">
        <v>1923</v>
      </c>
      <c r="D36" s="161" t="s">
        <v>1922</v>
      </c>
      <c r="E36" s="162" t="s">
        <v>421</v>
      </c>
      <c r="F36" s="162" t="s">
        <v>412</v>
      </c>
      <c r="G36" s="154"/>
      <c r="H36" s="155"/>
      <c r="I36" s="156"/>
      <c r="J36" s="204"/>
      <c r="K36" s="154"/>
      <c r="L36" s="155">
        <v>180</v>
      </c>
      <c r="M36" s="156"/>
      <c r="N36" s="204"/>
      <c r="O36" s="161"/>
    </row>
    <row r="37" spans="1:15" ht="31.5" x14ac:dyDescent="0.25">
      <c r="A37" s="159">
        <v>45928</v>
      </c>
      <c r="B37" s="161" t="s">
        <v>419</v>
      </c>
      <c r="C37" s="228" t="s">
        <v>1923</v>
      </c>
      <c r="D37" s="161" t="s">
        <v>1943</v>
      </c>
      <c r="E37" s="162" t="s">
        <v>421</v>
      </c>
      <c r="F37" s="162" t="s">
        <v>412</v>
      </c>
      <c r="G37" s="154"/>
      <c r="H37" s="155"/>
      <c r="I37" s="156"/>
      <c r="J37" s="204"/>
      <c r="K37" s="154"/>
      <c r="L37" s="155">
        <v>270</v>
      </c>
      <c r="M37" s="156"/>
      <c r="N37" s="204"/>
      <c r="O37" s="161"/>
    </row>
    <row r="38" spans="1:15" ht="31.5" x14ac:dyDescent="0.25">
      <c r="A38" s="159">
        <v>45929</v>
      </c>
      <c r="B38" s="161" t="s">
        <v>419</v>
      </c>
      <c r="C38" s="228" t="s">
        <v>1923</v>
      </c>
      <c r="D38" s="161" t="s">
        <v>1922</v>
      </c>
      <c r="E38" s="162" t="s">
        <v>421</v>
      </c>
      <c r="F38" s="162" t="s">
        <v>412</v>
      </c>
      <c r="G38" s="154"/>
      <c r="H38" s="155"/>
      <c r="I38" s="156"/>
      <c r="J38" s="204"/>
      <c r="K38" s="154"/>
      <c r="L38" s="155">
        <v>50</v>
      </c>
      <c r="M38" s="156"/>
      <c r="N38" s="204"/>
      <c r="O38" s="161"/>
    </row>
    <row r="39" spans="1:15" ht="31.5" x14ac:dyDescent="0.25">
      <c r="A39" s="159">
        <v>45944</v>
      </c>
      <c r="B39" s="161" t="s">
        <v>2010</v>
      </c>
      <c r="C39" s="228" t="s">
        <v>2013</v>
      </c>
      <c r="D39" s="161" t="s">
        <v>2011</v>
      </c>
      <c r="E39" s="162" t="s">
        <v>2012</v>
      </c>
      <c r="F39" s="162" t="s">
        <v>456</v>
      </c>
      <c r="G39" s="154"/>
      <c r="H39" s="155" t="s">
        <v>218</v>
      </c>
      <c r="I39" s="156"/>
      <c r="J39" s="204"/>
      <c r="K39" s="154"/>
      <c r="L39" s="155">
        <v>34</v>
      </c>
      <c r="M39" s="156"/>
      <c r="N39" s="204"/>
      <c r="O39" s="161"/>
    </row>
    <row r="40" spans="1:15" ht="31.5" x14ac:dyDescent="0.25">
      <c r="A40" s="159">
        <v>45945</v>
      </c>
      <c r="B40" s="161" t="s">
        <v>2010</v>
      </c>
      <c r="C40" s="228" t="s">
        <v>2013</v>
      </c>
      <c r="D40" s="161" t="s">
        <v>2011</v>
      </c>
      <c r="E40" s="162" t="s">
        <v>2012</v>
      </c>
      <c r="F40" s="162" t="s">
        <v>456</v>
      </c>
      <c r="G40" s="154"/>
      <c r="H40" s="155"/>
      <c r="I40" s="156"/>
      <c r="J40" s="204"/>
      <c r="K40" s="154"/>
      <c r="L40" s="155">
        <v>5</v>
      </c>
      <c r="M40" s="156"/>
      <c r="N40" s="204"/>
      <c r="O40" s="161"/>
    </row>
    <row r="41" spans="1:15" ht="31.5" x14ac:dyDescent="0.25">
      <c r="A41" s="159">
        <v>45945</v>
      </c>
      <c r="B41" s="161" t="s">
        <v>2017</v>
      </c>
      <c r="C41" s="228" t="s">
        <v>2015</v>
      </c>
      <c r="D41" s="161" t="s">
        <v>2014</v>
      </c>
      <c r="E41" s="161" t="s">
        <v>2016</v>
      </c>
      <c r="F41" s="162" t="s">
        <v>327</v>
      </c>
      <c r="G41" s="154"/>
      <c r="H41" s="155" t="s">
        <v>218</v>
      </c>
      <c r="I41" s="156"/>
      <c r="J41" s="204"/>
      <c r="K41" s="154"/>
      <c r="L41" s="155">
        <v>4</v>
      </c>
      <c r="M41" s="156"/>
      <c r="N41" s="204"/>
      <c r="O41" s="161"/>
    </row>
    <row r="42" spans="1:15" x14ac:dyDescent="0.25">
      <c r="A42" s="159">
        <v>45950</v>
      </c>
      <c r="B42" s="161" t="s">
        <v>2018</v>
      </c>
      <c r="C42" s="228" t="s">
        <v>2019</v>
      </c>
      <c r="D42" s="161" t="s">
        <v>2020</v>
      </c>
      <c r="E42" s="162" t="s">
        <v>2021</v>
      </c>
      <c r="F42" s="162" t="s">
        <v>412</v>
      </c>
      <c r="G42" s="154"/>
      <c r="H42" s="155" t="s">
        <v>218</v>
      </c>
      <c r="I42" s="156"/>
      <c r="J42" s="204"/>
      <c r="K42" s="154"/>
      <c r="L42" s="155">
        <v>124</v>
      </c>
      <c r="M42" s="156"/>
      <c r="N42" s="204"/>
      <c r="O42" s="161"/>
    </row>
    <row r="43" spans="1:15" ht="31.5" x14ac:dyDescent="0.25">
      <c r="A43" s="159">
        <v>45950</v>
      </c>
      <c r="B43" s="161" t="s">
        <v>2017</v>
      </c>
      <c r="C43" s="228" t="s">
        <v>2022</v>
      </c>
      <c r="D43" s="161" t="s">
        <v>1200</v>
      </c>
      <c r="E43" s="162" t="s">
        <v>2023</v>
      </c>
      <c r="F43" s="162" t="s">
        <v>327</v>
      </c>
      <c r="G43" s="154"/>
      <c r="H43" s="155"/>
      <c r="I43" s="156"/>
      <c r="J43" s="204"/>
      <c r="K43" s="154"/>
      <c r="L43" s="155">
        <v>15</v>
      </c>
      <c r="M43" s="156"/>
      <c r="N43" s="204"/>
      <c r="O43" s="161"/>
    </row>
    <row r="44" spans="1:15" ht="31.5" x14ac:dyDescent="0.25">
      <c r="A44" s="159">
        <v>45950</v>
      </c>
      <c r="B44" s="161" t="s">
        <v>2010</v>
      </c>
      <c r="C44" s="228" t="s">
        <v>2013</v>
      </c>
      <c r="D44" s="161" t="s">
        <v>2024</v>
      </c>
      <c r="E44" s="162" t="s">
        <v>2012</v>
      </c>
      <c r="F44" s="162" t="s">
        <v>456</v>
      </c>
      <c r="G44" s="154"/>
      <c r="H44" s="155"/>
      <c r="I44" s="156"/>
      <c r="J44" s="204"/>
      <c r="K44" s="154"/>
      <c r="L44" s="155">
        <v>51</v>
      </c>
      <c r="M44" s="156"/>
      <c r="N44" s="204"/>
      <c r="O44" s="161"/>
    </row>
    <row r="45" spans="1:15" ht="31.5" x14ac:dyDescent="0.25">
      <c r="A45" s="159">
        <v>45951</v>
      </c>
      <c r="B45" s="161" t="s">
        <v>2010</v>
      </c>
      <c r="C45" s="228" t="s">
        <v>2013</v>
      </c>
      <c r="D45" s="161" t="s">
        <v>2024</v>
      </c>
      <c r="E45" s="162" t="s">
        <v>2012</v>
      </c>
      <c r="F45" s="162" t="s">
        <v>456</v>
      </c>
      <c r="G45" s="154"/>
      <c r="H45" s="155"/>
      <c r="I45" s="156"/>
      <c r="J45" s="204"/>
      <c r="K45" s="154"/>
      <c r="L45" s="155">
        <v>42</v>
      </c>
      <c r="M45" s="156"/>
      <c r="N45" s="204"/>
      <c r="O45" s="161"/>
    </row>
    <row r="46" spans="1:15" x14ac:dyDescent="0.25">
      <c r="A46" s="159">
        <v>45951</v>
      </c>
      <c r="B46" s="161" t="s">
        <v>2018</v>
      </c>
      <c r="C46" s="228" t="s">
        <v>2019</v>
      </c>
      <c r="D46" s="161" t="s">
        <v>2020</v>
      </c>
      <c r="E46" s="162" t="s">
        <v>2021</v>
      </c>
      <c r="F46" s="162" t="s">
        <v>412</v>
      </c>
      <c r="G46" s="154"/>
      <c r="H46" s="155"/>
      <c r="I46" s="156"/>
      <c r="J46" s="204"/>
      <c r="K46" s="154"/>
      <c r="L46" s="155">
        <v>121</v>
      </c>
      <c r="M46" s="156"/>
      <c r="N46" s="204"/>
      <c r="O46" s="161"/>
    </row>
    <row r="47" spans="1:15" x14ac:dyDescent="0.25">
      <c r="A47" s="159">
        <v>45952</v>
      </c>
      <c r="B47" s="161" t="s">
        <v>2018</v>
      </c>
      <c r="C47" s="228" t="s">
        <v>2019</v>
      </c>
      <c r="D47" s="161" t="s">
        <v>2025</v>
      </c>
      <c r="E47" s="162" t="s">
        <v>2021</v>
      </c>
      <c r="F47" s="162" t="s">
        <v>412</v>
      </c>
      <c r="G47" s="154"/>
      <c r="H47" s="155"/>
      <c r="I47" s="156"/>
      <c r="J47" s="204"/>
      <c r="K47" s="154"/>
      <c r="L47" s="155">
        <v>40</v>
      </c>
      <c r="M47" s="156"/>
      <c r="N47" s="204"/>
      <c r="O47" s="161"/>
    </row>
    <row r="48" spans="1:15" ht="31.5" x14ac:dyDescent="0.25">
      <c r="A48" s="159">
        <v>45953</v>
      </c>
      <c r="B48" s="161" t="s">
        <v>2028</v>
      </c>
      <c r="C48" s="228" t="s">
        <v>2029</v>
      </c>
      <c r="D48" s="161" t="s">
        <v>2030</v>
      </c>
      <c r="E48" s="162" t="s">
        <v>2031</v>
      </c>
      <c r="F48" s="162" t="s">
        <v>381</v>
      </c>
      <c r="G48" s="154"/>
      <c r="H48" s="155" t="s">
        <v>218</v>
      </c>
      <c r="I48" s="156"/>
      <c r="J48" s="204"/>
      <c r="K48" s="154"/>
      <c r="L48" s="155">
        <v>5</v>
      </c>
      <c r="M48" s="156"/>
      <c r="N48" s="204"/>
      <c r="O48" s="161"/>
    </row>
    <row r="49" spans="1:15" ht="31.5" x14ac:dyDescent="0.25">
      <c r="A49" s="159">
        <v>45953</v>
      </c>
      <c r="B49" s="161" t="s">
        <v>2032</v>
      </c>
      <c r="C49" s="228"/>
      <c r="D49" s="161" t="s">
        <v>247</v>
      </c>
      <c r="E49" s="162" t="s">
        <v>2033</v>
      </c>
      <c r="F49" s="162" t="s">
        <v>28</v>
      </c>
      <c r="G49" s="154"/>
      <c r="H49" s="155"/>
      <c r="I49" s="156" t="s">
        <v>218</v>
      </c>
      <c r="J49" s="204"/>
      <c r="K49" s="154"/>
      <c r="L49" s="155"/>
      <c r="M49" s="156">
        <v>5</v>
      </c>
      <c r="N49" s="204"/>
      <c r="O49" s="161"/>
    </row>
    <row r="50" spans="1:15" ht="31.5" x14ac:dyDescent="0.25">
      <c r="A50" s="159">
        <v>45954</v>
      </c>
      <c r="B50" s="161" t="s">
        <v>2028</v>
      </c>
      <c r="C50" s="228" t="s">
        <v>2029</v>
      </c>
      <c r="D50" s="161" t="s">
        <v>2034</v>
      </c>
      <c r="E50" s="162" t="s">
        <v>2031</v>
      </c>
      <c r="F50" s="162" t="s">
        <v>381</v>
      </c>
      <c r="G50" s="154"/>
      <c r="H50" s="155"/>
      <c r="I50" s="156"/>
      <c r="J50" s="204"/>
      <c r="K50" s="154"/>
      <c r="L50" s="155">
        <v>20</v>
      </c>
      <c r="M50" s="156"/>
      <c r="N50" s="204"/>
      <c r="O50" s="161"/>
    </row>
    <row r="51" spans="1:15" ht="31.5" x14ac:dyDescent="0.25">
      <c r="A51" s="159">
        <v>45954</v>
      </c>
      <c r="B51" s="161" t="s">
        <v>2010</v>
      </c>
      <c r="C51" s="228" t="s">
        <v>2035</v>
      </c>
      <c r="D51" s="161" t="s">
        <v>2024</v>
      </c>
      <c r="E51" s="162" t="s">
        <v>2036</v>
      </c>
      <c r="F51" s="162" t="s">
        <v>456</v>
      </c>
      <c r="G51" s="154"/>
      <c r="H51" s="155"/>
      <c r="I51" s="156"/>
      <c r="J51" s="204"/>
      <c r="K51" s="154"/>
      <c r="L51" s="155">
        <v>60</v>
      </c>
      <c r="M51" s="156"/>
      <c r="N51" s="204"/>
      <c r="O51" s="161"/>
    </row>
    <row r="52" spans="1:15" ht="31.5" x14ac:dyDescent="0.25">
      <c r="A52" s="159">
        <v>45957</v>
      </c>
      <c r="B52" s="161" t="s">
        <v>2018</v>
      </c>
      <c r="C52" s="228" t="s">
        <v>2019</v>
      </c>
      <c r="D52" s="161" t="s">
        <v>2042</v>
      </c>
      <c r="E52" s="162" t="s">
        <v>2021</v>
      </c>
      <c r="F52" s="162" t="s">
        <v>412</v>
      </c>
      <c r="G52" s="154"/>
      <c r="H52" s="155"/>
      <c r="I52" s="156"/>
      <c r="J52" s="204"/>
      <c r="K52" s="154"/>
      <c r="L52" s="155">
        <v>126</v>
      </c>
      <c r="M52" s="156"/>
      <c r="N52" s="204"/>
      <c r="O52" s="161"/>
    </row>
    <row r="53" spans="1:15" ht="31.5" x14ac:dyDescent="0.25">
      <c r="A53" s="159">
        <v>45957</v>
      </c>
      <c r="B53" s="161" t="s">
        <v>2010</v>
      </c>
      <c r="C53" s="228" t="s">
        <v>2013</v>
      </c>
      <c r="D53" s="161" t="s">
        <v>2043</v>
      </c>
      <c r="E53" s="162" t="s">
        <v>2044</v>
      </c>
      <c r="F53" s="162" t="s">
        <v>456</v>
      </c>
      <c r="G53" s="154"/>
      <c r="H53" s="155"/>
      <c r="I53" s="156"/>
      <c r="J53" s="204"/>
      <c r="K53" s="154"/>
      <c r="L53" s="155">
        <v>90</v>
      </c>
      <c r="M53" s="156"/>
      <c r="N53" s="204"/>
      <c r="O53" s="161"/>
    </row>
    <row r="54" spans="1:15" ht="31.5" x14ac:dyDescent="0.25">
      <c r="A54" s="159">
        <v>45957</v>
      </c>
      <c r="B54" s="161" t="s">
        <v>2028</v>
      </c>
      <c r="C54" s="231" t="s">
        <v>2029</v>
      </c>
      <c r="D54" s="228" t="s">
        <v>2034</v>
      </c>
      <c r="E54" s="162" t="s">
        <v>2031</v>
      </c>
      <c r="F54" s="162" t="s">
        <v>381</v>
      </c>
      <c r="G54" s="154"/>
      <c r="H54" s="155"/>
      <c r="I54" s="156"/>
      <c r="J54" s="204"/>
      <c r="K54" s="154"/>
      <c r="L54" s="155">
        <v>130</v>
      </c>
      <c r="M54" s="156"/>
      <c r="N54" s="204"/>
      <c r="O54" s="161"/>
    </row>
    <row r="55" spans="1:15" ht="31.5" x14ac:dyDescent="0.25">
      <c r="A55" s="159">
        <v>45958</v>
      </c>
      <c r="B55" s="161" t="s">
        <v>2010</v>
      </c>
      <c r="C55" s="232" t="s">
        <v>2013</v>
      </c>
      <c r="D55" s="161" t="s">
        <v>2055</v>
      </c>
      <c r="E55" s="162" t="s">
        <v>2044</v>
      </c>
      <c r="F55" s="162" t="s">
        <v>456</v>
      </c>
      <c r="G55" s="154"/>
      <c r="H55" s="155"/>
      <c r="I55" s="156"/>
      <c r="J55" s="204"/>
      <c r="K55" s="154"/>
      <c r="L55" s="155">
        <v>70</v>
      </c>
      <c r="M55" s="156"/>
      <c r="N55" s="204"/>
      <c r="O55" s="161"/>
    </row>
    <row r="56" spans="1:15" ht="31.5" x14ac:dyDescent="0.25">
      <c r="A56" s="159">
        <v>45958</v>
      </c>
      <c r="B56" s="325" t="s">
        <v>2028</v>
      </c>
      <c r="C56" s="228" t="s">
        <v>2029</v>
      </c>
      <c r="D56" s="161" t="s">
        <v>2034</v>
      </c>
      <c r="E56" s="162" t="s">
        <v>2031</v>
      </c>
      <c r="F56" s="162" t="s">
        <v>381</v>
      </c>
      <c r="G56" s="154"/>
      <c r="H56" s="155"/>
      <c r="I56" s="156"/>
      <c r="J56" s="204"/>
      <c r="K56" s="154"/>
      <c r="L56" s="155">
        <v>325</v>
      </c>
      <c r="M56" s="156"/>
      <c r="N56" s="204"/>
      <c r="O56" s="161"/>
    </row>
    <row r="57" spans="1:15" ht="31.5" x14ac:dyDescent="0.25">
      <c r="A57" s="159">
        <v>45959</v>
      </c>
      <c r="B57" s="161" t="s">
        <v>2010</v>
      </c>
      <c r="C57" s="228" t="s">
        <v>2013</v>
      </c>
      <c r="D57" s="161" t="s">
        <v>2055</v>
      </c>
      <c r="E57" s="162" t="s">
        <v>2044</v>
      </c>
      <c r="F57" s="162" t="s">
        <v>456</v>
      </c>
      <c r="G57" s="154"/>
      <c r="H57" s="155"/>
      <c r="I57" s="156"/>
      <c r="J57" s="204"/>
      <c r="K57" s="154"/>
      <c r="L57" s="155">
        <v>90</v>
      </c>
      <c r="M57" s="156"/>
      <c r="N57" s="204"/>
      <c r="O57" s="161"/>
    </row>
    <row r="58" spans="1:15" ht="31.5" x14ac:dyDescent="0.25">
      <c r="A58" s="159">
        <v>45959</v>
      </c>
      <c r="B58" s="161" t="s">
        <v>2028</v>
      </c>
      <c r="C58" s="228" t="s">
        <v>2029</v>
      </c>
      <c r="D58" s="161" t="s">
        <v>2034</v>
      </c>
      <c r="E58" s="162" t="s">
        <v>2031</v>
      </c>
      <c r="F58" s="162" t="s">
        <v>381</v>
      </c>
      <c r="G58" s="154"/>
      <c r="H58" s="155"/>
      <c r="I58" s="156"/>
      <c r="J58" s="204"/>
      <c r="K58" s="154"/>
      <c r="L58" s="155">
        <v>265</v>
      </c>
      <c r="M58" s="156"/>
      <c r="N58" s="204"/>
      <c r="O58" s="161"/>
    </row>
    <row r="59" spans="1:15" ht="31.5" x14ac:dyDescent="0.25">
      <c r="A59" s="159">
        <v>45959</v>
      </c>
      <c r="B59" s="161" t="s">
        <v>2032</v>
      </c>
      <c r="C59" s="228"/>
      <c r="D59" s="161" t="s">
        <v>1066</v>
      </c>
      <c r="E59" s="162" t="s">
        <v>2033</v>
      </c>
      <c r="F59" s="162" t="s">
        <v>28</v>
      </c>
      <c r="G59" s="154"/>
      <c r="H59" s="155"/>
      <c r="I59" s="156"/>
      <c r="J59" s="204"/>
      <c r="K59" s="154"/>
      <c r="L59" s="155"/>
      <c r="M59" s="156">
        <v>5</v>
      </c>
      <c r="N59" s="204"/>
      <c r="O59" s="161"/>
    </row>
    <row r="60" spans="1:15" x14ac:dyDescent="0.25">
      <c r="A60" s="159">
        <v>45961</v>
      </c>
      <c r="B60" s="161" t="s">
        <v>2056</v>
      </c>
      <c r="C60" s="228" t="s">
        <v>207</v>
      </c>
      <c r="D60" s="161"/>
      <c r="E60" s="162"/>
      <c r="F60" s="162"/>
      <c r="G60" s="154"/>
      <c r="H60" s="155"/>
      <c r="I60" s="156"/>
      <c r="J60" s="204"/>
      <c r="K60" s="154">
        <v>6.25</v>
      </c>
      <c r="L60" s="155"/>
      <c r="M60" s="156"/>
      <c r="N60" s="204"/>
      <c r="O60" s="161"/>
    </row>
    <row r="61" spans="1:15" ht="31.5" x14ac:dyDescent="0.25">
      <c r="A61" s="159">
        <v>45964</v>
      </c>
      <c r="B61" s="161" t="s">
        <v>2010</v>
      </c>
      <c r="C61" s="228" t="s">
        <v>2013</v>
      </c>
      <c r="D61" s="161" t="s">
        <v>2055</v>
      </c>
      <c r="E61" s="162" t="s">
        <v>2044</v>
      </c>
      <c r="F61" s="162" t="s">
        <v>456</v>
      </c>
      <c r="G61" s="154"/>
      <c r="H61" s="155"/>
      <c r="I61" s="156"/>
      <c r="J61" s="204"/>
      <c r="K61" s="154"/>
      <c r="L61" s="155">
        <v>60</v>
      </c>
      <c r="M61" s="156"/>
      <c r="N61" s="204"/>
      <c r="O61" s="161"/>
    </row>
    <row r="62" spans="1:15" ht="31.5" x14ac:dyDescent="0.25">
      <c r="A62" s="159">
        <v>45965</v>
      </c>
      <c r="B62" s="161" t="s">
        <v>2010</v>
      </c>
      <c r="C62" s="228" t="s">
        <v>2060</v>
      </c>
      <c r="D62" s="161" t="s">
        <v>2043</v>
      </c>
      <c r="E62" s="162" t="s">
        <v>2061</v>
      </c>
      <c r="F62" s="162" t="s">
        <v>456</v>
      </c>
      <c r="G62" s="154"/>
      <c r="H62" s="155"/>
      <c r="I62" s="156"/>
      <c r="J62" s="204"/>
      <c r="K62" s="154"/>
      <c r="L62" s="155">
        <v>60</v>
      </c>
      <c r="M62" s="156"/>
      <c r="N62" s="204"/>
      <c r="O62" s="161"/>
    </row>
    <row r="63" spans="1:15" ht="31.5" x14ac:dyDescent="0.25">
      <c r="A63" s="159">
        <v>45966</v>
      </c>
      <c r="B63" s="161" t="s">
        <v>2010</v>
      </c>
      <c r="C63" s="228" t="s">
        <v>2068</v>
      </c>
      <c r="D63" s="161" t="s">
        <v>2043</v>
      </c>
      <c r="E63" s="162" t="s">
        <v>2069</v>
      </c>
      <c r="F63" s="162" t="s">
        <v>456</v>
      </c>
      <c r="G63" s="154"/>
      <c r="H63" s="155"/>
      <c r="I63" s="156"/>
      <c r="J63" s="204"/>
      <c r="K63" s="154"/>
      <c r="L63" s="155">
        <v>68</v>
      </c>
      <c r="M63" s="156"/>
      <c r="N63" s="204"/>
      <c r="O63" s="161"/>
    </row>
    <row r="64" spans="1:15" ht="31.5" x14ac:dyDescent="0.25">
      <c r="A64" s="159">
        <v>45971</v>
      </c>
      <c r="B64" s="161" t="s">
        <v>2010</v>
      </c>
      <c r="C64" s="228" t="s">
        <v>2077</v>
      </c>
      <c r="D64" s="161" t="s">
        <v>2024</v>
      </c>
      <c r="E64" s="162" t="s">
        <v>2036</v>
      </c>
      <c r="F64" s="162" t="s">
        <v>456</v>
      </c>
      <c r="G64" s="154"/>
      <c r="H64" s="155"/>
      <c r="I64" s="156"/>
      <c r="J64" s="204"/>
      <c r="K64" s="154"/>
      <c r="L64" s="155">
        <v>16</v>
      </c>
      <c r="M64" s="156"/>
      <c r="N64" s="204"/>
      <c r="O64" s="161"/>
    </row>
    <row r="65" spans="1:15" ht="31.5" x14ac:dyDescent="0.25">
      <c r="A65" s="159">
        <v>45973</v>
      </c>
      <c r="B65" s="161" t="s">
        <v>2010</v>
      </c>
      <c r="C65" s="228" t="s">
        <v>2035</v>
      </c>
      <c r="D65" s="161" t="s">
        <v>2084</v>
      </c>
      <c r="E65" s="162" t="s">
        <v>2036</v>
      </c>
      <c r="F65" s="162" t="s">
        <v>456</v>
      </c>
      <c r="G65" s="154"/>
      <c r="H65" s="155"/>
      <c r="I65" s="156"/>
      <c r="J65" s="204"/>
      <c r="K65" s="154"/>
      <c r="L65" s="155">
        <v>37</v>
      </c>
      <c r="M65" s="156"/>
      <c r="N65" s="204"/>
      <c r="O65" s="161"/>
    </row>
    <row r="66" spans="1:15" ht="31.5" x14ac:dyDescent="0.25">
      <c r="A66" s="159">
        <v>45973</v>
      </c>
      <c r="B66" s="161" t="s">
        <v>2032</v>
      </c>
      <c r="C66" s="228"/>
      <c r="D66" s="161"/>
      <c r="E66" s="162" t="s">
        <v>2033</v>
      </c>
      <c r="F66" s="162" t="s">
        <v>28</v>
      </c>
      <c r="G66" s="154"/>
      <c r="H66" s="155"/>
      <c r="I66" s="156"/>
      <c r="J66" s="204"/>
      <c r="K66" s="154"/>
      <c r="L66" s="155"/>
      <c r="M66" s="156">
        <v>50</v>
      </c>
      <c r="N66" s="204"/>
      <c r="O66" s="161"/>
    </row>
    <row r="67" spans="1:15" ht="31.5" x14ac:dyDescent="0.25">
      <c r="A67" s="159">
        <v>45974</v>
      </c>
      <c r="B67" s="161" t="s">
        <v>2018</v>
      </c>
      <c r="C67" s="228" t="s">
        <v>2019</v>
      </c>
      <c r="D67" s="161" t="s">
        <v>2087</v>
      </c>
      <c r="E67" s="162" t="s">
        <v>2021</v>
      </c>
      <c r="F67" s="162" t="s">
        <v>412</v>
      </c>
      <c r="G67" s="154"/>
      <c r="H67" s="155"/>
      <c r="I67" s="156"/>
      <c r="J67" s="204"/>
      <c r="K67" s="154"/>
      <c r="L67" s="155">
        <v>39</v>
      </c>
      <c r="M67" s="156"/>
      <c r="N67" s="204"/>
      <c r="O67" s="161"/>
    </row>
    <row r="68" spans="1:15" ht="31.5" x14ac:dyDescent="0.25">
      <c r="A68" s="159">
        <v>45974</v>
      </c>
      <c r="B68" s="161" t="s">
        <v>2010</v>
      </c>
      <c r="C68" s="228" t="s">
        <v>2060</v>
      </c>
      <c r="D68" s="161" t="s">
        <v>2088</v>
      </c>
      <c r="E68" s="162" t="s">
        <v>2061</v>
      </c>
      <c r="F68" s="162" t="s">
        <v>456</v>
      </c>
      <c r="G68" s="154"/>
      <c r="H68" s="155"/>
      <c r="I68" s="156"/>
      <c r="J68" s="204"/>
      <c r="K68" s="154"/>
      <c r="L68" s="155">
        <v>21</v>
      </c>
      <c r="M68" s="156"/>
      <c r="N68" s="204"/>
      <c r="O68" s="161"/>
    </row>
    <row r="69" spans="1:15" ht="31.5" x14ac:dyDescent="0.25">
      <c r="A69" s="159">
        <v>45978</v>
      </c>
      <c r="B69" s="161" t="s">
        <v>2090</v>
      </c>
      <c r="C69" s="228"/>
      <c r="D69" s="161" t="s">
        <v>247</v>
      </c>
      <c r="E69" s="162" t="s">
        <v>2091</v>
      </c>
      <c r="F69" s="162" t="s">
        <v>28</v>
      </c>
      <c r="G69" s="154"/>
      <c r="H69" s="155"/>
      <c r="I69" s="156" t="s">
        <v>218</v>
      </c>
      <c r="J69" s="204"/>
      <c r="K69" s="154"/>
      <c r="L69" s="155"/>
      <c r="M69" s="156">
        <v>165</v>
      </c>
      <c r="N69" s="204"/>
      <c r="O69" s="161"/>
    </row>
    <row r="70" spans="1:15" ht="31.5" x14ac:dyDescent="0.25">
      <c r="A70" s="159">
        <v>45979</v>
      </c>
      <c r="B70" s="161" t="s">
        <v>2010</v>
      </c>
      <c r="C70" s="228" t="s">
        <v>2096</v>
      </c>
      <c r="D70" s="161" t="s">
        <v>2097</v>
      </c>
      <c r="E70" s="162" t="s">
        <v>2061</v>
      </c>
      <c r="F70" s="162" t="s">
        <v>456</v>
      </c>
      <c r="G70" s="154"/>
      <c r="H70" s="155"/>
      <c r="I70" s="156"/>
      <c r="J70" s="204"/>
      <c r="K70" s="154"/>
      <c r="L70" s="155">
        <v>28</v>
      </c>
      <c r="M70" s="156"/>
      <c r="N70" s="204"/>
      <c r="O70" s="161"/>
    </row>
    <row r="71" spans="1:15" ht="31.5" x14ac:dyDescent="0.25">
      <c r="A71" s="159">
        <v>45980</v>
      </c>
      <c r="B71" s="161" t="s">
        <v>2010</v>
      </c>
      <c r="C71" s="228" t="s">
        <v>2096</v>
      </c>
      <c r="D71" s="161" t="s">
        <v>2097</v>
      </c>
      <c r="E71" s="162" t="s">
        <v>2098</v>
      </c>
      <c r="F71" s="162" t="s">
        <v>456</v>
      </c>
      <c r="G71" s="154"/>
      <c r="H71" s="155"/>
      <c r="I71" s="156"/>
      <c r="J71" s="204"/>
      <c r="K71" s="154"/>
      <c r="L71" s="155">
        <v>5</v>
      </c>
      <c r="M71" s="156"/>
      <c r="N71" s="204"/>
      <c r="O71" s="161"/>
    </row>
    <row r="72" spans="1:15" ht="31.5" x14ac:dyDescent="0.25">
      <c r="A72" s="159">
        <v>45981</v>
      </c>
      <c r="B72" s="161" t="s">
        <v>2010</v>
      </c>
      <c r="C72" s="228" t="s">
        <v>2099</v>
      </c>
      <c r="D72" s="161" t="s">
        <v>1525</v>
      </c>
      <c r="E72" s="162" t="s">
        <v>2100</v>
      </c>
      <c r="F72" s="162" t="s">
        <v>456</v>
      </c>
      <c r="G72" s="154"/>
      <c r="H72" s="155"/>
      <c r="I72" s="156"/>
      <c r="J72" s="204"/>
      <c r="K72" s="154"/>
      <c r="L72" s="155">
        <v>1</v>
      </c>
      <c r="M72" s="156"/>
      <c r="N72" s="204"/>
      <c r="O72" s="161"/>
    </row>
    <row r="73" spans="1:15" ht="31.5" x14ac:dyDescent="0.25">
      <c r="A73" s="159">
        <v>45993</v>
      </c>
      <c r="B73" s="161" t="s">
        <v>2028</v>
      </c>
      <c r="C73" s="228" t="s">
        <v>2106</v>
      </c>
      <c r="D73" s="161" t="s">
        <v>2109</v>
      </c>
      <c r="E73" s="162" t="s">
        <v>2111</v>
      </c>
      <c r="F73" s="162" t="s">
        <v>381</v>
      </c>
      <c r="G73" s="154"/>
      <c r="H73" s="155"/>
      <c r="I73" s="156"/>
      <c r="J73" s="204"/>
      <c r="K73" s="154"/>
      <c r="L73" s="155">
        <v>64</v>
      </c>
      <c r="M73" s="156"/>
      <c r="N73" s="204"/>
      <c r="O73" s="161"/>
    </row>
    <row r="74" spans="1:15" ht="47.25" x14ac:dyDescent="0.25">
      <c r="A74" s="159">
        <v>45993</v>
      </c>
      <c r="B74" s="161" t="s">
        <v>2018</v>
      </c>
      <c r="C74" s="228" t="s">
        <v>2107</v>
      </c>
      <c r="D74" s="161" t="s">
        <v>1519</v>
      </c>
      <c r="E74" s="162" t="s">
        <v>2108</v>
      </c>
      <c r="F74" s="162" t="s">
        <v>412</v>
      </c>
      <c r="G74" s="154"/>
      <c r="H74" s="155"/>
      <c r="I74" s="156"/>
      <c r="J74" s="204"/>
      <c r="K74" s="154"/>
      <c r="L74" s="155">
        <v>117</v>
      </c>
      <c r="M74" s="156"/>
      <c r="N74" s="204"/>
      <c r="O74" s="161"/>
    </row>
    <row r="75" spans="1:15" ht="47.25" x14ac:dyDescent="0.25">
      <c r="A75" s="159">
        <v>45993</v>
      </c>
      <c r="B75" s="161" t="s">
        <v>219</v>
      </c>
      <c r="C75" s="228" t="s">
        <v>220</v>
      </c>
      <c r="D75" s="161" t="s">
        <v>2110</v>
      </c>
      <c r="E75" s="162" t="s">
        <v>224</v>
      </c>
      <c r="F75" s="162" t="s">
        <v>225</v>
      </c>
      <c r="G75" s="154"/>
      <c r="H75" s="155"/>
      <c r="I75" s="156"/>
      <c r="J75" s="204"/>
      <c r="K75" s="154"/>
      <c r="L75" s="155">
        <v>79</v>
      </c>
      <c r="M75" s="156"/>
      <c r="N75" s="204"/>
      <c r="O75" s="161"/>
    </row>
    <row r="76" spans="1:15" ht="31.5" x14ac:dyDescent="0.25">
      <c r="A76" s="159">
        <v>45993</v>
      </c>
      <c r="B76" s="161" t="s">
        <v>2105</v>
      </c>
      <c r="C76" s="228" t="s">
        <v>2113</v>
      </c>
      <c r="D76" s="161" t="s">
        <v>2112</v>
      </c>
      <c r="E76" s="162" t="s">
        <v>2114</v>
      </c>
      <c r="F76" s="162"/>
      <c r="G76" s="154" t="s">
        <v>218</v>
      </c>
      <c r="H76" s="155"/>
      <c r="I76" s="156"/>
      <c r="J76" s="204"/>
      <c r="K76" s="154">
        <v>85</v>
      </c>
      <c r="L76" s="155"/>
      <c r="M76" s="156"/>
      <c r="N76" s="204"/>
      <c r="O76" s="161"/>
    </row>
    <row r="77" spans="1:15" x14ac:dyDescent="0.25">
      <c r="A77" s="159">
        <v>45991</v>
      </c>
      <c r="B77" s="161" t="s">
        <v>2115</v>
      </c>
      <c r="C77" s="228" t="s">
        <v>207</v>
      </c>
      <c r="D77" s="161"/>
      <c r="E77" s="162"/>
      <c r="F77" s="162"/>
      <c r="G77" s="154"/>
      <c r="H77" s="155"/>
      <c r="I77" s="156"/>
      <c r="J77" s="204"/>
      <c r="K77" s="154">
        <v>4</v>
      </c>
      <c r="L77" s="155"/>
      <c r="M77" s="156"/>
      <c r="N77" s="204"/>
      <c r="O77" s="161"/>
    </row>
    <row r="78" spans="1:15" ht="31.5" x14ac:dyDescent="0.25">
      <c r="A78" s="159">
        <v>45994</v>
      </c>
      <c r="B78" s="161" t="s">
        <v>2010</v>
      </c>
      <c r="C78" s="228" t="s">
        <v>2116</v>
      </c>
      <c r="D78" s="161" t="s">
        <v>1525</v>
      </c>
      <c r="E78" s="162" t="s">
        <v>2117</v>
      </c>
      <c r="F78" s="162" t="s">
        <v>456</v>
      </c>
      <c r="G78" s="154"/>
      <c r="H78" s="155"/>
      <c r="I78" s="156"/>
      <c r="J78" s="204"/>
      <c r="K78" s="154"/>
      <c r="L78" s="155">
        <v>1</v>
      </c>
      <c r="M78" s="156"/>
      <c r="N78" s="204"/>
      <c r="O78" s="161"/>
    </row>
    <row r="79" spans="1:15" ht="47.25" x14ac:dyDescent="0.25">
      <c r="A79" s="159">
        <v>45994</v>
      </c>
      <c r="B79" s="161" t="s">
        <v>2018</v>
      </c>
      <c r="C79" s="228" t="s">
        <v>2107</v>
      </c>
      <c r="D79" s="161" t="s">
        <v>2118</v>
      </c>
      <c r="E79" s="162" t="s">
        <v>2108</v>
      </c>
      <c r="F79" s="162" t="s">
        <v>412</v>
      </c>
      <c r="G79" s="154"/>
      <c r="H79" s="155"/>
      <c r="I79" s="156"/>
      <c r="J79" s="204"/>
      <c r="K79" s="154"/>
      <c r="L79" s="155">
        <v>130</v>
      </c>
      <c r="M79" s="156"/>
      <c r="N79" s="204"/>
      <c r="O79" s="161"/>
    </row>
    <row r="80" spans="1:15" ht="47.25" x14ac:dyDescent="0.25">
      <c r="A80" s="159">
        <v>45994</v>
      </c>
      <c r="B80" s="161" t="s">
        <v>219</v>
      </c>
      <c r="C80" s="228" t="s">
        <v>220</v>
      </c>
      <c r="D80" s="161" t="s">
        <v>2110</v>
      </c>
      <c r="E80" s="162" t="s">
        <v>224</v>
      </c>
      <c r="F80" s="162" t="s">
        <v>225</v>
      </c>
      <c r="G80" s="154"/>
      <c r="H80" s="155"/>
      <c r="I80" s="156"/>
      <c r="J80" s="204"/>
      <c r="K80" s="154"/>
      <c r="L80" s="155">
        <v>46</v>
      </c>
      <c r="M80" s="156"/>
      <c r="N80" s="204"/>
      <c r="O80" s="161"/>
    </row>
    <row r="81" spans="1:15" x14ac:dyDescent="0.25">
      <c r="A81" s="159">
        <v>45994</v>
      </c>
      <c r="B81" s="161" t="s">
        <v>2105</v>
      </c>
      <c r="C81" s="228" t="s">
        <v>2119</v>
      </c>
      <c r="D81" s="161" t="s">
        <v>2120</v>
      </c>
      <c r="E81" s="162" t="s">
        <v>2114</v>
      </c>
      <c r="F81" s="162"/>
      <c r="G81" s="154"/>
      <c r="H81" s="155"/>
      <c r="I81" s="156"/>
      <c r="J81" s="204"/>
      <c r="K81" s="154">
        <v>103</v>
      </c>
      <c r="L81" s="155"/>
      <c r="M81" s="156"/>
      <c r="N81" s="204"/>
      <c r="O81" s="161"/>
    </row>
    <row r="82" spans="1:15" ht="31.5" x14ac:dyDescent="0.25">
      <c r="A82" s="159">
        <v>45995</v>
      </c>
      <c r="B82" s="161" t="s">
        <v>2010</v>
      </c>
      <c r="C82" s="228" t="s">
        <v>2121</v>
      </c>
      <c r="D82" s="161" t="s">
        <v>1525</v>
      </c>
      <c r="E82" s="162" t="s">
        <v>2122</v>
      </c>
      <c r="F82" s="162" t="s">
        <v>456</v>
      </c>
      <c r="G82" s="154"/>
      <c r="H82" s="155"/>
      <c r="I82" s="156"/>
      <c r="J82" s="204"/>
      <c r="K82" s="154"/>
      <c r="L82" s="155">
        <v>1</v>
      </c>
      <c r="M82" s="156"/>
      <c r="N82" s="204"/>
      <c r="O82" s="161"/>
    </row>
    <row r="83" spans="1:15" ht="47.25" x14ac:dyDescent="0.25">
      <c r="A83" s="159">
        <v>45995</v>
      </c>
      <c r="B83" s="161" t="s">
        <v>219</v>
      </c>
      <c r="C83" s="228" t="s">
        <v>220</v>
      </c>
      <c r="D83" s="161" t="s">
        <v>2110</v>
      </c>
      <c r="E83" s="162" t="s">
        <v>2123</v>
      </c>
      <c r="F83" s="162" t="s">
        <v>225</v>
      </c>
      <c r="G83" s="154"/>
      <c r="H83" s="155"/>
      <c r="I83" s="156"/>
      <c r="J83" s="204"/>
      <c r="K83" s="154"/>
      <c r="L83" s="155">
        <v>183</v>
      </c>
      <c r="M83" s="156"/>
      <c r="N83" s="204"/>
      <c r="O83" s="161"/>
    </row>
    <row r="84" spans="1:15" ht="47.25" x14ac:dyDescent="0.25">
      <c r="A84" s="159">
        <v>45995</v>
      </c>
      <c r="B84" s="161" t="s">
        <v>2018</v>
      </c>
      <c r="C84" s="228" t="s">
        <v>2107</v>
      </c>
      <c r="D84" s="161" t="s">
        <v>2118</v>
      </c>
      <c r="E84" s="162" t="s">
        <v>2108</v>
      </c>
      <c r="F84" s="162" t="s">
        <v>412</v>
      </c>
      <c r="G84" s="154"/>
      <c r="H84" s="155"/>
      <c r="I84" s="156"/>
      <c r="J84" s="204"/>
      <c r="K84" s="154"/>
      <c r="L84" s="155">
        <v>60</v>
      </c>
      <c r="M84" s="156"/>
      <c r="N84" s="204"/>
      <c r="O84" s="161"/>
    </row>
    <row r="85" spans="1:15" ht="47.25" x14ac:dyDescent="0.25">
      <c r="A85" s="159">
        <v>45996</v>
      </c>
      <c r="B85" s="161" t="s">
        <v>2018</v>
      </c>
      <c r="C85" s="228" t="s">
        <v>2107</v>
      </c>
      <c r="D85" s="161" t="s">
        <v>2118</v>
      </c>
      <c r="E85" s="162" t="s">
        <v>2108</v>
      </c>
      <c r="F85" s="162" t="s">
        <v>412</v>
      </c>
      <c r="G85" s="154"/>
      <c r="H85" s="155"/>
      <c r="I85" s="156"/>
      <c r="J85" s="204"/>
      <c r="K85" s="154"/>
      <c r="L85" s="155">
        <v>20</v>
      </c>
      <c r="M85" s="156"/>
      <c r="N85" s="204"/>
      <c r="O85" s="161"/>
    </row>
    <row r="86" spans="1:15" ht="47.25" x14ac:dyDescent="0.25">
      <c r="A86" s="159">
        <v>45999</v>
      </c>
      <c r="B86" s="161" t="s">
        <v>2018</v>
      </c>
      <c r="C86" s="228" t="s">
        <v>2107</v>
      </c>
      <c r="D86" s="161" t="s">
        <v>2124</v>
      </c>
      <c r="E86" s="162" t="s">
        <v>2108</v>
      </c>
      <c r="F86" s="162" t="s">
        <v>412</v>
      </c>
      <c r="G86" s="154"/>
      <c r="H86" s="155"/>
      <c r="I86" s="156"/>
      <c r="J86" s="204"/>
      <c r="K86" s="154"/>
      <c r="L86" s="155">
        <v>75</v>
      </c>
      <c r="M86" s="156"/>
      <c r="N86" s="204"/>
      <c r="O86" s="161"/>
    </row>
    <row r="87" spans="1:15" ht="47.25" x14ac:dyDescent="0.25">
      <c r="A87" s="159">
        <v>45999</v>
      </c>
      <c r="B87" s="161" t="s">
        <v>219</v>
      </c>
      <c r="C87" s="228" t="s">
        <v>2125</v>
      </c>
      <c r="D87" s="161" t="s">
        <v>2110</v>
      </c>
      <c r="E87" s="162" t="s">
        <v>2126</v>
      </c>
      <c r="F87" s="162" t="s">
        <v>225</v>
      </c>
      <c r="G87" s="154"/>
      <c r="H87" s="155"/>
      <c r="I87" s="156"/>
      <c r="J87" s="204"/>
      <c r="K87" s="154"/>
      <c r="L87" s="155">
        <v>76</v>
      </c>
      <c r="M87" s="156"/>
      <c r="N87" s="204"/>
      <c r="O87" s="161"/>
    </row>
    <row r="88" spans="1:15" ht="31.5" x14ac:dyDescent="0.25">
      <c r="A88" s="159">
        <v>45999</v>
      </c>
      <c r="B88" s="161" t="s">
        <v>2090</v>
      </c>
      <c r="C88" s="228"/>
      <c r="D88" s="161" t="s">
        <v>247</v>
      </c>
      <c r="E88" s="162" t="s">
        <v>2091</v>
      </c>
      <c r="F88" s="162" t="s">
        <v>28</v>
      </c>
      <c r="G88" s="154"/>
      <c r="H88" s="155"/>
      <c r="I88" s="156"/>
      <c r="J88" s="204"/>
      <c r="K88" s="154"/>
      <c r="L88" s="155"/>
      <c r="M88" s="156">
        <v>135</v>
      </c>
      <c r="N88" s="204"/>
      <c r="O88" s="161"/>
    </row>
    <row r="89" spans="1:15" ht="31.5" x14ac:dyDescent="0.25">
      <c r="A89" s="159">
        <v>45999</v>
      </c>
      <c r="B89" s="161" t="s">
        <v>2105</v>
      </c>
      <c r="C89" s="228" t="s">
        <v>2127</v>
      </c>
      <c r="D89" s="161" t="s">
        <v>2128</v>
      </c>
      <c r="E89" s="162" t="s">
        <v>2114</v>
      </c>
      <c r="F89" s="162"/>
      <c r="G89" s="154"/>
      <c r="H89" s="155"/>
      <c r="I89" s="156"/>
      <c r="J89" s="204"/>
      <c r="K89" s="154">
        <v>45</v>
      </c>
      <c r="L89" s="155"/>
      <c r="M89" s="156"/>
      <c r="N89" s="204"/>
      <c r="O89" s="161"/>
    </row>
    <row r="90" spans="1:15" ht="47.25" x14ac:dyDescent="0.25">
      <c r="A90" s="159">
        <v>46000</v>
      </c>
      <c r="B90" s="161" t="s">
        <v>2018</v>
      </c>
      <c r="C90" s="228" t="s">
        <v>2107</v>
      </c>
      <c r="D90" s="161" t="s">
        <v>2124</v>
      </c>
      <c r="E90" s="162" t="s">
        <v>2108</v>
      </c>
      <c r="F90" s="162" t="s">
        <v>412</v>
      </c>
      <c r="G90" s="154"/>
      <c r="H90" s="155"/>
      <c r="I90" s="156"/>
      <c r="J90" s="204"/>
      <c r="K90" s="154"/>
      <c r="L90" s="155">
        <v>75</v>
      </c>
      <c r="M90" s="156"/>
      <c r="N90" s="204"/>
      <c r="O90" s="161"/>
    </row>
    <row r="91" spans="1:15" ht="47.25" x14ac:dyDescent="0.25">
      <c r="A91" s="159">
        <v>46000</v>
      </c>
      <c r="B91" s="161" t="s">
        <v>219</v>
      </c>
      <c r="C91" s="228" t="s">
        <v>2125</v>
      </c>
      <c r="D91" s="161" t="s">
        <v>2110</v>
      </c>
      <c r="E91" s="162" t="s">
        <v>2126</v>
      </c>
      <c r="F91" s="162" t="s">
        <v>225</v>
      </c>
      <c r="G91" s="154"/>
      <c r="H91" s="155"/>
      <c r="I91" s="156"/>
      <c r="J91" s="204"/>
      <c r="K91" s="154"/>
      <c r="L91" s="155">
        <v>50</v>
      </c>
      <c r="M91" s="156"/>
      <c r="N91" s="204"/>
      <c r="O91" s="161"/>
    </row>
    <row r="92" spans="1:15" ht="31.5" x14ac:dyDescent="0.25">
      <c r="A92" s="159">
        <v>46000</v>
      </c>
      <c r="B92" s="161" t="s">
        <v>2010</v>
      </c>
      <c r="C92" s="228" t="s">
        <v>2129</v>
      </c>
      <c r="D92" s="161" t="s">
        <v>2024</v>
      </c>
      <c r="E92" s="162" t="s">
        <v>2131</v>
      </c>
      <c r="F92" s="162" t="s">
        <v>456</v>
      </c>
      <c r="G92" s="154"/>
      <c r="H92" s="155"/>
      <c r="I92" s="156"/>
      <c r="J92" s="204"/>
      <c r="K92" s="154"/>
      <c r="L92" s="155">
        <v>1</v>
      </c>
      <c r="M92" s="156"/>
      <c r="N92" s="204"/>
      <c r="O92" s="161"/>
    </row>
    <row r="93" spans="1:15" ht="31.5" x14ac:dyDescent="0.25">
      <c r="A93" s="159">
        <v>46000</v>
      </c>
      <c r="B93" s="161" t="s">
        <v>2017</v>
      </c>
      <c r="C93" s="228" t="s">
        <v>2130</v>
      </c>
      <c r="D93" s="161" t="s">
        <v>2014</v>
      </c>
      <c r="E93" s="166" t="s">
        <v>2023</v>
      </c>
      <c r="F93" s="162" t="s">
        <v>327</v>
      </c>
      <c r="G93" s="154"/>
      <c r="H93" s="155"/>
      <c r="I93" s="156"/>
      <c r="J93" s="204"/>
      <c r="K93" s="154"/>
      <c r="L93" s="155">
        <v>66</v>
      </c>
      <c r="M93" s="156"/>
      <c r="N93" s="204"/>
      <c r="O93" s="161"/>
    </row>
    <row r="94" spans="1:15" ht="47.25" x14ac:dyDescent="0.25">
      <c r="A94" s="159">
        <v>46001</v>
      </c>
      <c r="B94" s="161" t="s">
        <v>2018</v>
      </c>
      <c r="C94" s="228" t="s">
        <v>2107</v>
      </c>
      <c r="D94" s="161" t="s">
        <v>2124</v>
      </c>
      <c r="E94" s="162" t="s">
        <v>2108</v>
      </c>
      <c r="F94" s="162" t="s">
        <v>412</v>
      </c>
      <c r="G94" s="154"/>
      <c r="H94" s="155"/>
      <c r="I94" s="156"/>
      <c r="J94" s="204"/>
      <c r="K94" s="154"/>
      <c r="L94" s="155">
        <v>150</v>
      </c>
      <c r="M94" s="156"/>
      <c r="N94" s="204"/>
      <c r="O94" s="161"/>
    </row>
    <row r="95" spans="1:15" ht="47.25" x14ac:dyDescent="0.25">
      <c r="A95" s="159">
        <v>46001</v>
      </c>
      <c r="B95" s="161" t="s">
        <v>219</v>
      </c>
      <c r="C95" s="228" t="s">
        <v>2125</v>
      </c>
      <c r="D95" s="161" t="s">
        <v>2110</v>
      </c>
      <c r="E95" s="162" t="s">
        <v>2126</v>
      </c>
      <c r="F95" s="162" t="s">
        <v>225</v>
      </c>
      <c r="G95" s="154"/>
      <c r="H95" s="155"/>
      <c r="I95" s="156"/>
      <c r="J95" s="204"/>
      <c r="K95" s="154"/>
      <c r="L95" s="155">
        <v>35</v>
      </c>
      <c r="M95" s="156"/>
      <c r="N95" s="204"/>
      <c r="O95" s="161"/>
    </row>
    <row r="96" spans="1:15" ht="31.5" x14ac:dyDescent="0.25">
      <c r="A96" s="159">
        <v>46007</v>
      </c>
      <c r="B96" s="161" t="s">
        <v>2010</v>
      </c>
      <c r="C96" s="228" t="s">
        <v>2132</v>
      </c>
      <c r="D96" s="161" t="s">
        <v>1525</v>
      </c>
      <c r="E96" s="162" t="s">
        <v>2133</v>
      </c>
      <c r="F96" s="162" t="s">
        <v>456</v>
      </c>
      <c r="G96" s="154"/>
      <c r="H96" s="155"/>
      <c r="I96" s="156"/>
      <c r="J96" s="204"/>
      <c r="K96" s="154"/>
      <c r="L96" s="155">
        <v>1</v>
      </c>
      <c r="M96" s="156"/>
      <c r="N96" s="204"/>
      <c r="O96" s="161"/>
    </row>
    <row r="97" spans="1:15" ht="47.25" x14ac:dyDescent="0.25">
      <c r="A97" s="159">
        <v>46008</v>
      </c>
      <c r="B97" s="161" t="s">
        <v>219</v>
      </c>
      <c r="C97" s="228" t="s">
        <v>220</v>
      </c>
      <c r="D97" s="161" t="s">
        <v>2110</v>
      </c>
      <c r="E97" s="162" t="s">
        <v>224</v>
      </c>
      <c r="F97" s="162" t="s">
        <v>225</v>
      </c>
      <c r="G97" s="154"/>
      <c r="H97" s="155"/>
      <c r="I97" s="156"/>
      <c r="J97" s="204"/>
      <c r="K97" s="154"/>
      <c r="L97" s="155">
        <v>14</v>
      </c>
      <c r="M97" s="156"/>
      <c r="N97" s="204"/>
      <c r="O97" s="161"/>
    </row>
    <row r="98" spans="1:15" x14ac:dyDescent="0.25">
      <c r="A98" s="159"/>
      <c r="B98" s="161"/>
      <c r="C98" s="228"/>
      <c r="D98" s="161"/>
      <c r="E98" s="162"/>
      <c r="F98" s="162"/>
      <c r="G98" s="154"/>
      <c r="H98" s="155"/>
      <c r="I98" s="156"/>
      <c r="J98" s="204"/>
      <c r="K98" s="154"/>
      <c r="L98" s="155"/>
      <c r="M98" s="156"/>
      <c r="N98" s="204"/>
      <c r="O98" s="161"/>
    </row>
    <row r="99" spans="1:15" x14ac:dyDescent="0.25">
      <c r="A99" s="159"/>
      <c r="B99" s="161"/>
      <c r="C99" s="228"/>
      <c r="D99" s="161"/>
      <c r="E99" s="162"/>
      <c r="F99" s="162"/>
      <c r="G99" s="154"/>
      <c r="H99" s="155"/>
      <c r="I99" s="156"/>
      <c r="J99" s="204"/>
      <c r="K99" s="154"/>
      <c r="L99" s="155"/>
      <c r="M99" s="156"/>
      <c r="N99" s="204"/>
      <c r="O99" s="161"/>
    </row>
    <row r="100" spans="1:15" x14ac:dyDescent="0.25">
      <c r="A100" s="159"/>
      <c r="B100" s="161"/>
      <c r="C100" s="228"/>
      <c r="D100" s="161"/>
      <c r="E100" s="162"/>
      <c r="F100" s="162"/>
      <c r="G100" s="154"/>
      <c r="H100" s="155"/>
      <c r="I100" s="156"/>
      <c r="J100" s="204"/>
      <c r="K100" s="154"/>
      <c r="L100" s="155"/>
      <c r="M100" s="156"/>
      <c r="N100" s="204"/>
      <c r="O100" s="161"/>
    </row>
    <row r="101" spans="1:15" x14ac:dyDescent="0.25">
      <c r="A101" s="159"/>
      <c r="B101" s="161"/>
      <c r="C101" s="228"/>
      <c r="D101" s="161"/>
      <c r="E101" s="162"/>
      <c r="F101" s="162"/>
      <c r="G101" s="154"/>
      <c r="H101" s="155"/>
      <c r="I101" s="156"/>
      <c r="J101" s="204"/>
      <c r="K101" s="154"/>
      <c r="L101" s="155"/>
      <c r="M101" s="156"/>
      <c r="N101" s="204"/>
      <c r="O101" s="161"/>
    </row>
    <row r="102" spans="1:15" x14ac:dyDescent="0.25">
      <c r="A102" s="159"/>
      <c r="B102" s="161"/>
      <c r="C102" s="228"/>
      <c r="D102" s="161"/>
      <c r="E102" s="162"/>
      <c r="F102" s="162"/>
      <c r="G102" s="154"/>
      <c r="H102" s="155"/>
      <c r="I102" s="156"/>
      <c r="J102" s="204"/>
      <c r="K102" s="154"/>
      <c r="L102" s="155"/>
      <c r="M102" s="156"/>
      <c r="N102" s="204"/>
      <c r="O102" s="161"/>
    </row>
    <row r="103" spans="1:15" x14ac:dyDescent="0.25">
      <c r="A103" s="159"/>
      <c r="B103" s="161"/>
      <c r="C103" s="228"/>
      <c r="D103" s="161"/>
      <c r="E103" s="162"/>
      <c r="F103" s="162"/>
      <c r="G103" s="154"/>
      <c r="H103" s="155"/>
      <c r="I103" s="156"/>
      <c r="J103" s="204"/>
      <c r="K103" s="154"/>
      <c r="L103" s="155"/>
      <c r="M103" s="156"/>
      <c r="N103" s="204"/>
      <c r="O103" s="161"/>
    </row>
    <row r="104" spans="1:15" x14ac:dyDescent="0.25">
      <c r="A104" s="159"/>
      <c r="B104" s="161"/>
      <c r="C104" s="228"/>
      <c r="D104" s="161"/>
      <c r="E104" s="162"/>
      <c r="F104" s="162"/>
      <c r="G104" s="154"/>
      <c r="H104" s="155"/>
      <c r="I104" s="156"/>
      <c r="J104" s="204"/>
      <c r="K104" s="154"/>
      <c r="L104" s="155"/>
      <c r="M104" s="156"/>
      <c r="N104" s="204"/>
      <c r="O104" s="161"/>
    </row>
    <row r="105" spans="1:15" x14ac:dyDescent="0.25">
      <c r="A105" s="159"/>
      <c r="B105" s="161"/>
      <c r="C105" s="228"/>
      <c r="D105" s="161"/>
      <c r="E105" s="162"/>
      <c r="F105" s="162"/>
      <c r="G105" s="154"/>
      <c r="H105" s="155"/>
      <c r="I105" s="156"/>
      <c r="J105" s="204"/>
      <c r="K105" s="154"/>
      <c r="L105" s="155"/>
      <c r="M105" s="156"/>
      <c r="N105" s="204"/>
      <c r="O105" s="161"/>
    </row>
    <row r="106" spans="1:15" x14ac:dyDescent="0.25">
      <c r="A106" s="159"/>
      <c r="B106" s="161"/>
      <c r="C106" s="228"/>
      <c r="D106" s="161"/>
      <c r="E106" s="162"/>
      <c r="F106" s="162"/>
      <c r="G106" s="154"/>
      <c r="H106" s="155"/>
      <c r="I106" s="156"/>
      <c r="J106" s="204"/>
      <c r="K106" s="154"/>
      <c r="L106" s="155"/>
      <c r="M106" s="156"/>
      <c r="N106" s="204"/>
      <c r="O106" s="161"/>
    </row>
    <row r="107" spans="1:15" x14ac:dyDescent="0.25">
      <c r="A107" s="159"/>
      <c r="B107" s="161"/>
      <c r="C107" s="228"/>
      <c r="D107" s="161"/>
      <c r="E107" s="162"/>
      <c r="F107" s="162"/>
      <c r="G107" s="154"/>
      <c r="H107" s="155"/>
      <c r="I107" s="156"/>
      <c r="J107" s="204"/>
      <c r="K107" s="154"/>
      <c r="L107" s="155"/>
      <c r="M107" s="156"/>
      <c r="N107" s="204"/>
      <c r="O107" s="161"/>
    </row>
    <row r="108" spans="1:15" x14ac:dyDescent="0.25">
      <c r="A108" s="159"/>
      <c r="B108" s="161"/>
      <c r="C108" s="228"/>
      <c r="D108" s="161"/>
      <c r="E108" s="162"/>
      <c r="F108" s="162"/>
      <c r="G108" s="154"/>
      <c r="H108" s="155"/>
      <c r="I108" s="156"/>
      <c r="J108" s="204"/>
      <c r="K108" s="154"/>
      <c r="L108" s="155"/>
      <c r="M108" s="156"/>
      <c r="N108" s="204"/>
      <c r="O108" s="161"/>
    </row>
    <row r="109" spans="1:15" x14ac:dyDescent="0.25">
      <c r="A109" s="159"/>
      <c r="B109" s="161"/>
      <c r="C109" s="228"/>
      <c r="D109" s="161"/>
      <c r="E109" s="162"/>
      <c r="F109" s="162"/>
      <c r="G109" s="154"/>
      <c r="H109" s="155"/>
      <c r="I109" s="156"/>
      <c r="J109" s="204"/>
      <c r="K109" s="154"/>
      <c r="L109" s="155"/>
      <c r="M109" s="156"/>
      <c r="N109" s="204"/>
      <c r="O109" s="161"/>
    </row>
    <row r="110" spans="1:15" x14ac:dyDescent="0.25">
      <c r="A110" s="159"/>
      <c r="B110" s="161"/>
      <c r="C110" s="228"/>
      <c r="D110" s="161"/>
      <c r="E110" s="162"/>
      <c r="F110" s="162"/>
      <c r="G110" s="154"/>
      <c r="H110" s="155"/>
      <c r="I110" s="156"/>
      <c r="J110" s="204"/>
      <c r="K110" s="154"/>
      <c r="L110" s="155"/>
      <c r="M110" s="156"/>
      <c r="N110" s="204"/>
      <c r="O110" s="161"/>
    </row>
    <row r="111" spans="1:15" x14ac:dyDescent="0.25">
      <c r="A111" s="159"/>
      <c r="B111" s="161"/>
      <c r="C111" s="228"/>
      <c r="D111" s="161"/>
      <c r="E111" s="162"/>
      <c r="F111" s="162"/>
      <c r="G111" s="154"/>
      <c r="H111" s="155"/>
      <c r="I111" s="156"/>
      <c r="J111" s="204"/>
      <c r="K111" s="154"/>
      <c r="L111" s="155"/>
      <c r="M111" s="156"/>
      <c r="N111" s="204"/>
      <c r="O111" s="161"/>
    </row>
    <row r="112" spans="1:15" x14ac:dyDescent="0.25">
      <c r="A112" s="159"/>
      <c r="B112" s="161"/>
      <c r="C112" s="228"/>
      <c r="D112" s="161"/>
      <c r="E112" s="162"/>
      <c r="F112" s="162"/>
      <c r="G112" s="154"/>
      <c r="H112" s="155"/>
      <c r="I112" s="156"/>
      <c r="J112" s="204"/>
      <c r="K112" s="154"/>
      <c r="L112" s="155"/>
      <c r="M112" s="156"/>
      <c r="N112" s="204"/>
      <c r="O112" s="161"/>
    </row>
    <row r="113" spans="1:15" x14ac:dyDescent="0.25">
      <c r="A113" s="159"/>
      <c r="B113" s="161"/>
      <c r="C113" s="228"/>
      <c r="D113" s="161"/>
      <c r="E113" s="162"/>
      <c r="F113" s="162"/>
      <c r="G113" s="154"/>
      <c r="H113" s="155"/>
      <c r="I113" s="156"/>
      <c r="J113" s="204"/>
      <c r="K113" s="154"/>
      <c r="L113" s="155"/>
      <c r="M113" s="156"/>
      <c r="N113" s="204"/>
      <c r="O113" s="161"/>
    </row>
    <row r="114" spans="1:15" x14ac:dyDescent="0.25">
      <c r="A114" s="159"/>
      <c r="B114" s="161"/>
      <c r="C114" s="228"/>
      <c r="D114" s="161"/>
      <c r="E114" s="162"/>
      <c r="F114" s="162"/>
      <c r="G114" s="154"/>
      <c r="H114" s="155"/>
      <c r="I114" s="156"/>
      <c r="J114" s="204"/>
      <c r="K114" s="154"/>
      <c r="L114" s="155"/>
      <c r="M114" s="156"/>
      <c r="N114" s="204"/>
      <c r="O114" s="161"/>
    </row>
    <row r="115" spans="1:15" x14ac:dyDescent="0.25">
      <c r="A115" s="159"/>
      <c r="B115" s="161"/>
      <c r="C115" s="228"/>
      <c r="D115" s="161"/>
      <c r="E115" s="162"/>
      <c r="F115" s="162"/>
      <c r="G115" s="154"/>
      <c r="H115" s="155"/>
      <c r="I115" s="156"/>
      <c r="J115" s="204"/>
      <c r="K115" s="154"/>
      <c r="L115" s="155"/>
      <c r="M115" s="156"/>
      <c r="N115" s="204"/>
      <c r="O115" s="161"/>
    </row>
    <row r="116" spans="1:15" x14ac:dyDescent="0.25">
      <c r="A116" s="159"/>
      <c r="B116" s="161"/>
      <c r="C116" s="228"/>
      <c r="D116" s="161"/>
      <c r="E116" s="162"/>
      <c r="F116" s="162"/>
      <c r="G116" s="154"/>
      <c r="H116" s="155"/>
      <c r="I116" s="156"/>
      <c r="J116" s="204"/>
      <c r="K116" s="154"/>
      <c r="L116" s="155"/>
      <c r="M116" s="156"/>
      <c r="N116" s="204"/>
      <c r="O116" s="161"/>
    </row>
    <row r="117" spans="1:15" x14ac:dyDescent="0.25">
      <c r="A117" s="159"/>
      <c r="B117" s="161"/>
      <c r="C117" s="228"/>
      <c r="D117" s="161"/>
      <c r="E117" s="162"/>
      <c r="F117" s="162"/>
      <c r="G117" s="154"/>
      <c r="H117" s="155"/>
      <c r="I117" s="156"/>
      <c r="J117" s="204"/>
      <c r="K117" s="154"/>
      <c r="L117" s="155"/>
      <c r="M117" s="156"/>
      <c r="N117" s="204"/>
      <c r="O117" s="161"/>
    </row>
    <row r="118" spans="1:15" x14ac:dyDescent="0.25">
      <c r="A118" s="159"/>
      <c r="B118" s="161"/>
      <c r="C118" s="228"/>
      <c r="D118" s="161"/>
      <c r="E118" s="162"/>
      <c r="F118" s="162"/>
      <c r="G118" s="154"/>
      <c r="H118" s="155"/>
      <c r="I118" s="156"/>
      <c r="J118" s="204"/>
      <c r="K118" s="154"/>
      <c r="L118" s="155"/>
      <c r="M118" s="156"/>
      <c r="N118" s="204"/>
      <c r="O118" s="161"/>
    </row>
    <row r="119" spans="1:15" x14ac:dyDescent="0.25">
      <c r="A119" s="159"/>
      <c r="B119" s="161"/>
      <c r="C119" s="228"/>
      <c r="D119" s="161"/>
      <c r="E119" s="162"/>
      <c r="F119" s="162"/>
      <c r="G119" s="154"/>
      <c r="H119" s="155"/>
      <c r="I119" s="156"/>
      <c r="J119" s="204"/>
      <c r="K119" s="154"/>
      <c r="L119" s="155"/>
      <c r="M119" s="156"/>
      <c r="N119" s="204"/>
      <c r="O119" s="161"/>
    </row>
    <row r="120" spans="1:15" x14ac:dyDescent="0.25">
      <c r="A120" s="159"/>
      <c r="B120" s="161"/>
      <c r="C120" s="228"/>
      <c r="D120" s="161"/>
      <c r="E120" s="162"/>
      <c r="F120" s="162"/>
      <c r="G120" s="154"/>
      <c r="H120" s="155"/>
      <c r="I120" s="156"/>
      <c r="J120" s="204"/>
      <c r="K120" s="154"/>
      <c r="L120" s="155"/>
      <c r="M120" s="156"/>
      <c r="N120" s="204"/>
      <c r="O120" s="161"/>
    </row>
    <row r="121" spans="1:15" x14ac:dyDescent="0.25">
      <c r="A121" s="159"/>
      <c r="B121" s="161"/>
      <c r="C121" s="228"/>
      <c r="D121" s="161"/>
      <c r="E121" s="162"/>
      <c r="F121" s="162"/>
      <c r="G121" s="154"/>
      <c r="H121" s="155"/>
      <c r="I121" s="156"/>
      <c r="J121" s="204"/>
      <c r="K121" s="154"/>
      <c r="L121" s="155"/>
      <c r="M121" s="156"/>
      <c r="N121" s="204"/>
      <c r="O121" s="161"/>
    </row>
    <row r="122" spans="1:15" x14ac:dyDescent="0.25">
      <c r="A122" s="159"/>
      <c r="B122" s="161"/>
      <c r="C122" s="228"/>
      <c r="D122" s="161"/>
      <c r="E122" s="162"/>
      <c r="F122" s="162"/>
      <c r="G122" s="154"/>
      <c r="H122" s="155"/>
      <c r="I122" s="156"/>
      <c r="J122" s="204"/>
      <c r="K122" s="154"/>
      <c r="L122" s="155"/>
      <c r="M122" s="156"/>
      <c r="N122" s="204"/>
      <c r="O122" s="161"/>
    </row>
    <row r="123" spans="1:15" x14ac:dyDescent="0.25">
      <c r="A123" s="159"/>
      <c r="B123" s="161"/>
      <c r="C123" s="228"/>
      <c r="D123" s="161"/>
      <c r="E123" s="162"/>
      <c r="F123" s="162"/>
      <c r="G123" s="154"/>
      <c r="H123" s="155"/>
      <c r="I123" s="156"/>
      <c r="J123" s="204"/>
      <c r="K123" s="154"/>
      <c r="L123" s="155"/>
      <c r="M123" s="156"/>
      <c r="N123" s="204"/>
      <c r="O123" s="161"/>
    </row>
    <row r="124" spans="1:15" x14ac:dyDescent="0.25">
      <c r="A124" s="159"/>
      <c r="B124" s="161"/>
      <c r="C124" s="228"/>
      <c r="D124" s="161"/>
      <c r="E124" s="162"/>
      <c r="F124" s="162"/>
      <c r="G124" s="154"/>
      <c r="H124" s="155"/>
      <c r="I124" s="156"/>
      <c r="J124" s="204"/>
      <c r="K124" s="154"/>
      <c r="L124" s="155"/>
      <c r="M124" s="156"/>
      <c r="N124" s="204"/>
      <c r="O124" s="161"/>
    </row>
    <row r="125" spans="1:15" x14ac:dyDescent="0.25">
      <c r="A125" s="159"/>
      <c r="B125" s="161"/>
      <c r="C125" s="228"/>
      <c r="D125" s="161"/>
      <c r="E125" s="162"/>
      <c r="F125" s="162"/>
      <c r="G125" s="154"/>
      <c r="H125" s="155"/>
      <c r="I125" s="156"/>
      <c r="J125" s="204"/>
      <c r="K125" s="154"/>
      <c r="L125" s="155"/>
      <c r="M125" s="156"/>
      <c r="N125" s="204"/>
      <c r="O125" s="161"/>
    </row>
    <row r="126" spans="1:15" x14ac:dyDescent="0.25">
      <c r="A126" s="159"/>
      <c r="B126" s="161"/>
      <c r="C126" s="228"/>
      <c r="D126" s="161"/>
      <c r="E126" s="162"/>
      <c r="F126" s="162"/>
      <c r="G126" s="154"/>
      <c r="H126" s="155"/>
      <c r="I126" s="156"/>
      <c r="J126" s="204"/>
      <c r="K126" s="154"/>
      <c r="L126" s="155"/>
      <c r="M126" s="156"/>
      <c r="N126" s="204"/>
      <c r="O126" s="161"/>
    </row>
    <row r="127" spans="1:15" x14ac:dyDescent="0.25">
      <c r="A127" s="159"/>
      <c r="B127" s="161"/>
      <c r="C127" s="228"/>
      <c r="D127" s="161"/>
      <c r="E127" s="162"/>
      <c r="F127" s="162"/>
      <c r="G127" s="154"/>
      <c r="H127" s="155"/>
      <c r="I127" s="156"/>
      <c r="J127" s="204"/>
      <c r="K127" s="154"/>
      <c r="L127" s="155"/>
      <c r="M127" s="156"/>
      <c r="N127" s="204"/>
      <c r="O127" s="161"/>
    </row>
    <row r="128" spans="1:15" x14ac:dyDescent="0.25">
      <c r="A128" s="159"/>
      <c r="B128" s="161"/>
      <c r="C128" s="228"/>
      <c r="D128" s="161"/>
      <c r="E128" s="162"/>
      <c r="F128" s="162"/>
      <c r="G128" s="154"/>
      <c r="H128" s="155"/>
      <c r="I128" s="156"/>
      <c r="J128" s="204"/>
      <c r="K128" s="154"/>
      <c r="L128" s="155"/>
      <c r="M128" s="156"/>
      <c r="N128" s="204"/>
      <c r="O128" s="161"/>
    </row>
    <row r="129" spans="1:15" x14ac:dyDescent="0.25">
      <c r="A129" s="159"/>
      <c r="B129" s="161"/>
      <c r="C129" s="228"/>
      <c r="D129" s="161"/>
      <c r="E129" s="162"/>
      <c r="F129" s="162"/>
      <c r="G129" s="154"/>
      <c r="H129" s="155"/>
      <c r="I129" s="156"/>
      <c r="J129" s="204"/>
      <c r="K129" s="154"/>
      <c r="L129" s="155"/>
      <c r="M129" s="156"/>
      <c r="N129" s="204"/>
      <c r="O129" s="161"/>
    </row>
    <row r="130" spans="1:15" x14ac:dyDescent="0.25">
      <c r="A130" s="159"/>
      <c r="B130" s="161"/>
      <c r="C130" s="228"/>
      <c r="D130" s="161"/>
      <c r="E130" s="162"/>
      <c r="F130" s="162"/>
      <c r="G130" s="154"/>
      <c r="H130" s="155"/>
      <c r="I130" s="156"/>
      <c r="J130" s="204"/>
      <c r="K130" s="154"/>
      <c r="L130" s="155"/>
      <c r="M130" s="156"/>
      <c r="N130" s="204"/>
      <c r="O130" s="161"/>
    </row>
    <row r="131" spans="1:15" x14ac:dyDescent="0.25">
      <c r="A131" s="159"/>
      <c r="B131" s="161"/>
      <c r="C131" s="228"/>
      <c r="D131" s="161"/>
      <c r="E131" s="162"/>
      <c r="F131" s="162"/>
      <c r="G131" s="154"/>
      <c r="H131" s="155"/>
      <c r="I131" s="156"/>
      <c r="J131" s="204"/>
      <c r="K131" s="154"/>
      <c r="L131" s="155"/>
      <c r="M131" s="156"/>
      <c r="N131" s="204"/>
      <c r="O131" s="161"/>
    </row>
    <row r="132" spans="1:15" x14ac:dyDescent="0.25">
      <c r="A132" s="159"/>
      <c r="B132" s="161"/>
      <c r="C132" s="228"/>
      <c r="D132" s="161"/>
      <c r="E132" s="162"/>
      <c r="F132" s="162"/>
      <c r="G132" s="154"/>
      <c r="H132" s="155"/>
      <c r="I132" s="156"/>
      <c r="J132" s="204"/>
      <c r="K132" s="154"/>
      <c r="L132" s="155"/>
      <c r="M132" s="156"/>
      <c r="N132" s="204"/>
      <c r="O132" s="161"/>
    </row>
    <row r="133" spans="1:15" x14ac:dyDescent="0.25">
      <c r="A133" s="159"/>
      <c r="B133" s="161"/>
      <c r="C133" s="228"/>
      <c r="D133" s="161"/>
      <c r="E133" s="162"/>
      <c r="F133" s="162"/>
      <c r="G133" s="154"/>
      <c r="H133" s="155"/>
      <c r="I133" s="156"/>
      <c r="J133" s="204"/>
      <c r="K133" s="154"/>
      <c r="L133" s="155"/>
      <c r="M133" s="156"/>
      <c r="N133" s="204"/>
      <c r="O133" s="161"/>
    </row>
    <row r="134" spans="1:15" x14ac:dyDescent="0.25">
      <c r="A134" s="159"/>
      <c r="B134" s="161"/>
      <c r="C134" s="228"/>
      <c r="D134" s="161"/>
      <c r="E134" s="162"/>
      <c r="F134" s="162"/>
      <c r="G134" s="154"/>
      <c r="H134" s="155"/>
      <c r="I134" s="156"/>
      <c r="J134" s="204"/>
      <c r="K134" s="154"/>
      <c r="L134" s="155"/>
      <c r="M134" s="156"/>
      <c r="N134" s="204"/>
      <c r="O134" s="161"/>
    </row>
    <row r="135" spans="1:15" x14ac:dyDescent="0.25">
      <c r="A135" s="159"/>
      <c r="B135" s="161"/>
      <c r="C135" s="228"/>
      <c r="D135" s="161"/>
      <c r="E135" s="162"/>
      <c r="F135" s="162"/>
      <c r="G135" s="154"/>
      <c r="H135" s="155"/>
      <c r="I135" s="156"/>
      <c r="J135" s="204"/>
      <c r="K135" s="154"/>
      <c r="L135" s="155"/>
      <c r="M135" s="156"/>
      <c r="N135" s="204"/>
      <c r="O135" s="161"/>
    </row>
    <row r="136" spans="1:15" x14ac:dyDescent="0.25">
      <c r="A136" s="159"/>
      <c r="B136" s="161"/>
      <c r="C136" s="228"/>
      <c r="D136" s="161"/>
      <c r="E136" s="162"/>
      <c r="F136" s="162"/>
      <c r="G136" s="154"/>
      <c r="H136" s="155"/>
      <c r="I136" s="156"/>
      <c r="J136" s="204"/>
      <c r="K136" s="154"/>
      <c r="L136" s="155"/>
      <c r="M136" s="156"/>
      <c r="N136" s="204"/>
      <c r="O136" s="161"/>
    </row>
    <row r="137" spans="1:15" x14ac:dyDescent="0.25">
      <c r="A137" s="159"/>
      <c r="B137" s="161"/>
      <c r="C137" s="228"/>
      <c r="D137" s="161"/>
      <c r="E137" s="162"/>
      <c r="F137" s="162"/>
      <c r="G137" s="154"/>
      <c r="H137" s="155"/>
      <c r="I137" s="156"/>
      <c r="J137" s="204"/>
      <c r="K137" s="154"/>
      <c r="L137" s="155"/>
      <c r="M137" s="156"/>
      <c r="N137" s="204"/>
      <c r="O137" s="161"/>
    </row>
    <row r="138" spans="1:15" x14ac:dyDescent="0.25">
      <c r="A138" s="159"/>
      <c r="B138" s="161"/>
      <c r="C138" s="228"/>
      <c r="D138" s="161"/>
      <c r="E138" s="162"/>
      <c r="F138" s="162"/>
      <c r="G138" s="154"/>
      <c r="H138" s="155"/>
      <c r="I138" s="156"/>
      <c r="J138" s="204"/>
      <c r="K138" s="154"/>
      <c r="L138" s="155"/>
      <c r="M138" s="156"/>
      <c r="N138" s="204"/>
      <c r="O138" s="161"/>
    </row>
    <row r="139" spans="1:15" x14ac:dyDescent="0.25">
      <c r="A139" s="159"/>
      <c r="B139" s="161"/>
      <c r="C139" s="228"/>
      <c r="D139" s="161"/>
      <c r="E139" s="162"/>
      <c r="F139" s="162"/>
      <c r="G139" s="154"/>
      <c r="H139" s="155"/>
      <c r="I139" s="156"/>
      <c r="J139" s="204"/>
      <c r="K139" s="154"/>
      <c r="L139" s="155"/>
      <c r="M139" s="156"/>
      <c r="N139" s="204"/>
      <c r="O139" s="161"/>
    </row>
    <row r="140" spans="1:15" x14ac:dyDescent="0.25">
      <c r="A140" s="159"/>
      <c r="B140" s="161"/>
      <c r="C140" s="228"/>
      <c r="D140" s="161"/>
      <c r="E140" s="162"/>
      <c r="F140" s="162"/>
      <c r="G140" s="154"/>
      <c r="H140" s="155"/>
      <c r="I140" s="156"/>
      <c r="J140" s="204"/>
      <c r="K140" s="154"/>
      <c r="L140" s="155"/>
      <c r="M140" s="156"/>
      <c r="N140" s="204"/>
      <c r="O140" s="161"/>
    </row>
    <row r="141" spans="1:15" x14ac:dyDescent="0.25">
      <c r="A141" s="159"/>
      <c r="B141" s="161"/>
      <c r="C141" s="228"/>
      <c r="D141" s="161"/>
      <c r="E141" s="162"/>
      <c r="F141" s="162"/>
      <c r="G141" s="154"/>
      <c r="H141" s="155"/>
      <c r="I141" s="156"/>
      <c r="J141" s="204"/>
      <c r="K141" s="154"/>
      <c r="L141" s="155"/>
      <c r="M141" s="156"/>
      <c r="N141" s="204"/>
      <c r="O141" s="161"/>
    </row>
    <row r="142" spans="1:15" x14ac:dyDescent="0.25">
      <c r="A142" s="159"/>
      <c r="B142" s="161"/>
      <c r="C142" s="228"/>
      <c r="D142" s="161"/>
      <c r="E142" s="162"/>
      <c r="F142" s="162"/>
      <c r="G142" s="154"/>
      <c r="H142" s="155"/>
      <c r="I142" s="156"/>
      <c r="J142" s="204"/>
      <c r="K142" s="154"/>
      <c r="L142" s="155"/>
      <c r="M142" s="156"/>
      <c r="N142" s="204"/>
      <c r="O142" s="161"/>
    </row>
    <row r="143" spans="1:15" x14ac:dyDescent="0.25">
      <c r="A143" s="159"/>
      <c r="B143" s="161"/>
      <c r="C143" s="228"/>
      <c r="D143" s="161"/>
      <c r="E143" s="162"/>
      <c r="F143" s="162"/>
      <c r="G143" s="154"/>
      <c r="H143" s="155"/>
      <c r="I143" s="156"/>
      <c r="J143" s="204"/>
      <c r="K143" s="154"/>
      <c r="L143" s="155"/>
      <c r="M143" s="156"/>
      <c r="N143" s="204"/>
      <c r="O143" s="161"/>
    </row>
    <row r="144" spans="1:15" x14ac:dyDescent="0.25">
      <c r="A144" s="159"/>
      <c r="B144" s="161"/>
      <c r="C144" s="228"/>
      <c r="D144" s="161"/>
      <c r="E144" s="162"/>
      <c r="F144" s="162"/>
      <c r="G144" s="154"/>
      <c r="H144" s="155"/>
      <c r="I144" s="156"/>
      <c r="J144" s="204"/>
      <c r="K144" s="154"/>
      <c r="L144" s="155"/>
      <c r="M144" s="156"/>
      <c r="N144" s="204"/>
      <c r="O144" s="161"/>
    </row>
    <row r="145" spans="1:15" x14ac:dyDescent="0.25">
      <c r="A145" s="159"/>
      <c r="B145" s="161"/>
      <c r="C145" s="228"/>
      <c r="D145" s="161"/>
      <c r="E145" s="162"/>
      <c r="F145" s="162"/>
      <c r="G145" s="154"/>
      <c r="H145" s="155"/>
      <c r="I145" s="156"/>
      <c r="J145" s="204"/>
      <c r="K145" s="154"/>
      <c r="L145" s="155"/>
      <c r="M145" s="156"/>
      <c r="N145" s="204"/>
      <c r="O145" s="161"/>
    </row>
    <row r="146" spans="1:15" x14ac:dyDescent="0.25">
      <c r="A146" s="159"/>
      <c r="B146" s="161"/>
      <c r="C146" s="228"/>
      <c r="D146" s="161"/>
      <c r="E146" s="162"/>
      <c r="F146" s="162"/>
      <c r="G146" s="154"/>
      <c r="H146" s="155"/>
      <c r="I146" s="156"/>
      <c r="J146" s="204"/>
      <c r="K146" s="154"/>
      <c r="L146" s="155"/>
      <c r="M146" s="156"/>
      <c r="N146" s="204"/>
      <c r="O146" s="161"/>
    </row>
    <row r="147" spans="1:15" x14ac:dyDescent="0.25">
      <c r="A147" s="159"/>
      <c r="B147" s="161"/>
      <c r="C147" s="228"/>
      <c r="D147" s="161"/>
      <c r="E147" s="162"/>
      <c r="F147" s="162"/>
      <c r="G147" s="154"/>
      <c r="H147" s="155"/>
      <c r="I147" s="156"/>
      <c r="J147" s="204"/>
      <c r="K147" s="154"/>
      <c r="L147" s="155"/>
      <c r="M147" s="156"/>
      <c r="N147" s="204"/>
      <c r="O147" s="161"/>
    </row>
    <row r="148" spans="1:15" x14ac:dyDescent="0.25">
      <c r="A148" s="159"/>
      <c r="B148" s="161"/>
      <c r="C148" s="228"/>
      <c r="D148" s="161"/>
      <c r="E148" s="162"/>
      <c r="F148" s="162"/>
      <c r="G148" s="154"/>
      <c r="H148" s="155"/>
      <c r="I148" s="156"/>
      <c r="J148" s="204"/>
      <c r="K148" s="154"/>
      <c r="L148" s="155"/>
      <c r="M148" s="156"/>
      <c r="N148" s="204"/>
      <c r="O148" s="161"/>
    </row>
    <row r="149" spans="1:15" x14ac:dyDescent="0.25">
      <c r="A149" s="159"/>
      <c r="B149" s="161"/>
      <c r="C149" s="228"/>
      <c r="D149" s="161"/>
      <c r="E149" s="162"/>
      <c r="F149" s="162"/>
      <c r="G149" s="154"/>
      <c r="H149" s="155"/>
      <c r="I149" s="156"/>
      <c r="J149" s="204"/>
      <c r="K149" s="154"/>
      <c r="L149" s="155"/>
      <c r="M149" s="156"/>
      <c r="N149" s="204"/>
      <c r="O149" s="161"/>
    </row>
    <row r="150" spans="1:15" x14ac:dyDescent="0.25">
      <c r="A150" s="159"/>
      <c r="B150" s="161"/>
      <c r="C150" s="228"/>
      <c r="D150" s="161"/>
      <c r="E150" s="162"/>
      <c r="F150" s="162"/>
      <c r="G150" s="154"/>
      <c r="H150" s="155"/>
      <c r="I150" s="156"/>
      <c r="J150" s="204"/>
      <c r="K150" s="154"/>
      <c r="L150" s="155"/>
      <c r="M150" s="156"/>
      <c r="N150" s="204"/>
      <c r="O150" s="161"/>
    </row>
    <row r="151" spans="1:15" x14ac:dyDescent="0.25">
      <c r="A151" s="159"/>
      <c r="B151" s="161"/>
      <c r="C151" s="228"/>
      <c r="D151" s="161"/>
      <c r="E151" s="162"/>
      <c r="F151" s="162"/>
      <c r="G151" s="154"/>
      <c r="H151" s="155"/>
      <c r="I151" s="156"/>
      <c r="J151" s="204"/>
      <c r="K151" s="154"/>
      <c r="L151" s="155"/>
      <c r="M151" s="156"/>
      <c r="N151" s="204"/>
      <c r="O151" s="161"/>
    </row>
    <row r="152" spans="1:15" x14ac:dyDescent="0.25">
      <c r="A152" s="159"/>
      <c r="B152" s="161"/>
      <c r="C152" s="228"/>
      <c r="D152" s="161"/>
      <c r="E152" s="162"/>
      <c r="F152" s="162"/>
      <c r="G152" s="154"/>
      <c r="H152" s="155"/>
      <c r="I152" s="156"/>
      <c r="J152" s="204"/>
      <c r="K152" s="154"/>
      <c r="L152" s="155"/>
      <c r="M152" s="156"/>
      <c r="N152" s="204"/>
      <c r="O152" s="161"/>
    </row>
    <row r="153" spans="1:15" x14ac:dyDescent="0.25">
      <c r="A153" s="159"/>
      <c r="B153" s="161"/>
      <c r="C153" s="228"/>
      <c r="D153" s="161"/>
      <c r="E153" s="162"/>
      <c r="F153" s="162"/>
      <c r="G153" s="154"/>
      <c r="H153" s="155"/>
      <c r="I153" s="156"/>
      <c r="J153" s="204"/>
      <c r="K153" s="154"/>
      <c r="L153" s="155"/>
      <c r="M153" s="156"/>
      <c r="N153" s="204"/>
      <c r="O153" s="161"/>
    </row>
    <row r="154" spans="1:15" x14ac:dyDescent="0.25">
      <c r="A154" s="159"/>
      <c r="B154" s="161"/>
      <c r="C154" s="228"/>
      <c r="D154" s="161"/>
      <c r="E154" s="162"/>
      <c r="F154" s="162"/>
      <c r="G154" s="154"/>
      <c r="H154" s="155"/>
      <c r="I154" s="156"/>
      <c r="J154" s="204"/>
      <c r="K154" s="154"/>
      <c r="L154" s="155"/>
      <c r="M154" s="156"/>
      <c r="N154" s="204"/>
      <c r="O154" s="161"/>
    </row>
    <row r="155" spans="1:15" x14ac:dyDescent="0.25">
      <c r="A155" s="159"/>
      <c r="B155" s="161"/>
      <c r="C155" s="228"/>
      <c r="D155" s="161"/>
      <c r="E155" s="162"/>
      <c r="F155" s="162"/>
      <c r="G155" s="154"/>
      <c r="H155" s="155"/>
      <c r="I155" s="156"/>
      <c r="J155" s="204"/>
      <c r="K155" s="154"/>
      <c r="L155" s="155"/>
      <c r="M155" s="156"/>
      <c r="N155" s="204"/>
      <c r="O155" s="161"/>
    </row>
    <row r="156" spans="1:15" x14ac:dyDescent="0.25">
      <c r="A156" s="159"/>
      <c r="B156" s="161"/>
      <c r="C156" s="228"/>
      <c r="D156" s="161"/>
      <c r="E156" s="162"/>
      <c r="F156" s="162"/>
      <c r="G156" s="154"/>
      <c r="H156" s="155"/>
      <c r="I156" s="156"/>
      <c r="J156" s="204"/>
      <c r="K156" s="154"/>
      <c r="L156" s="155"/>
      <c r="M156" s="156"/>
      <c r="N156" s="204"/>
      <c r="O156" s="161"/>
    </row>
    <row r="157" spans="1:15" x14ac:dyDescent="0.25">
      <c r="A157" s="159"/>
      <c r="B157" s="161"/>
      <c r="C157" s="228"/>
      <c r="D157" s="161"/>
      <c r="E157" s="162"/>
      <c r="F157" s="162"/>
      <c r="G157" s="154"/>
      <c r="H157" s="155"/>
      <c r="I157" s="156"/>
      <c r="J157" s="204"/>
      <c r="K157" s="154"/>
      <c r="L157" s="155"/>
      <c r="M157" s="156"/>
      <c r="N157" s="204"/>
      <c r="O157" s="161"/>
    </row>
    <row r="158" spans="1:15" x14ac:dyDescent="0.25">
      <c r="A158" s="159"/>
      <c r="B158" s="161"/>
      <c r="C158" s="228"/>
      <c r="D158" s="161"/>
      <c r="E158" s="162"/>
      <c r="F158" s="162"/>
      <c r="G158" s="154"/>
      <c r="H158" s="155"/>
      <c r="I158" s="156"/>
      <c r="J158" s="204"/>
      <c r="K158" s="154"/>
      <c r="L158" s="155"/>
      <c r="M158" s="156"/>
      <c r="N158" s="204"/>
      <c r="O158" s="161"/>
    </row>
    <row r="159" spans="1:15" x14ac:dyDescent="0.25">
      <c r="A159" s="159"/>
      <c r="B159" s="161"/>
      <c r="C159" s="228"/>
      <c r="D159" s="161"/>
      <c r="E159" s="162"/>
      <c r="F159" s="162"/>
      <c r="G159" s="154"/>
      <c r="H159" s="155"/>
      <c r="I159" s="156"/>
      <c r="J159" s="204"/>
      <c r="K159" s="154"/>
      <c r="L159" s="155"/>
      <c r="M159" s="156"/>
      <c r="N159" s="204"/>
      <c r="O159" s="161"/>
    </row>
    <row r="160" spans="1:15" x14ac:dyDescent="0.25">
      <c r="A160" s="159"/>
      <c r="B160" s="161"/>
      <c r="C160" s="228"/>
      <c r="D160" s="161"/>
      <c r="E160" s="162"/>
      <c r="F160" s="162"/>
      <c r="G160" s="154"/>
      <c r="H160" s="155"/>
      <c r="I160" s="156"/>
      <c r="J160" s="204"/>
      <c r="K160" s="154"/>
      <c r="L160" s="155"/>
      <c r="M160" s="156"/>
      <c r="N160" s="204"/>
      <c r="O160" s="161"/>
    </row>
    <row r="161" spans="1:15" x14ac:dyDescent="0.25">
      <c r="A161" s="159"/>
      <c r="B161" s="161"/>
      <c r="C161" s="228"/>
      <c r="D161" s="161"/>
      <c r="E161" s="162"/>
      <c r="F161" s="162"/>
      <c r="G161" s="154"/>
      <c r="H161" s="155"/>
      <c r="I161" s="156"/>
      <c r="J161" s="204"/>
      <c r="K161" s="154"/>
      <c r="L161" s="155"/>
      <c r="M161" s="156"/>
      <c r="N161" s="204"/>
      <c r="O161" s="161"/>
    </row>
    <row r="162" spans="1:15" x14ac:dyDescent="0.25">
      <c r="A162" s="159"/>
      <c r="B162" s="161"/>
      <c r="C162" s="228"/>
      <c r="D162" s="161"/>
      <c r="E162" s="162"/>
      <c r="F162" s="162"/>
      <c r="G162" s="154"/>
      <c r="H162" s="155"/>
      <c r="I162" s="156"/>
      <c r="J162" s="204"/>
      <c r="K162" s="154"/>
      <c r="L162" s="155"/>
      <c r="M162" s="156"/>
      <c r="N162" s="204"/>
      <c r="O162" s="161"/>
    </row>
    <row r="163" spans="1:15" x14ac:dyDescent="0.25">
      <c r="A163" s="159"/>
      <c r="B163" s="161"/>
      <c r="C163" s="228"/>
      <c r="D163" s="161"/>
      <c r="E163" s="162"/>
      <c r="F163" s="162"/>
      <c r="G163" s="154"/>
      <c r="H163" s="155"/>
      <c r="I163" s="156"/>
      <c r="J163" s="204"/>
      <c r="K163" s="154"/>
      <c r="L163" s="155"/>
      <c r="M163" s="156"/>
      <c r="N163" s="204"/>
      <c r="O163" s="161"/>
    </row>
    <row r="164" spans="1:15" x14ac:dyDescent="0.25">
      <c r="A164" s="159"/>
      <c r="B164" s="161"/>
      <c r="C164" s="228"/>
      <c r="D164" s="161"/>
      <c r="E164" s="162"/>
      <c r="F164" s="162"/>
      <c r="G164" s="154"/>
      <c r="H164" s="155"/>
      <c r="I164" s="156"/>
      <c r="J164" s="204"/>
      <c r="K164" s="154"/>
      <c r="L164" s="155"/>
      <c r="M164" s="156"/>
      <c r="N164" s="204"/>
      <c r="O164" s="161"/>
    </row>
    <row r="165" spans="1:15" x14ac:dyDescent="0.25">
      <c r="A165" s="159"/>
      <c r="B165" s="161"/>
      <c r="C165" s="228"/>
      <c r="D165" s="161"/>
      <c r="E165" s="162"/>
      <c r="F165" s="162"/>
      <c r="G165" s="154"/>
      <c r="H165" s="155"/>
      <c r="I165" s="156"/>
      <c r="J165" s="204"/>
      <c r="K165" s="154"/>
      <c r="L165" s="155"/>
      <c r="M165" s="156"/>
      <c r="N165" s="204"/>
      <c r="O165" s="161"/>
    </row>
    <row r="166" spans="1:15" x14ac:dyDescent="0.25">
      <c r="A166" s="159"/>
      <c r="B166" s="161"/>
      <c r="C166" s="228"/>
      <c r="D166" s="161"/>
      <c r="E166" s="162"/>
      <c r="F166" s="162"/>
      <c r="G166" s="154"/>
      <c r="H166" s="155"/>
      <c r="I166" s="156"/>
      <c r="J166" s="204"/>
      <c r="K166" s="154"/>
      <c r="L166" s="155"/>
      <c r="M166" s="156"/>
      <c r="N166" s="204"/>
      <c r="O166" s="161"/>
    </row>
    <row r="167" spans="1:15" x14ac:dyDescent="0.25">
      <c r="A167" s="159"/>
      <c r="B167" s="161"/>
      <c r="C167" s="228"/>
      <c r="D167" s="161"/>
      <c r="E167" s="162"/>
      <c r="F167" s="162"/>
      <c r="G167" s="154"/>
      <c r="H167" s="155"/>
      <c r="I167" s="156"/>
      <c r="J167" s="204"/>
      <c r="K167" s="154"/>
      <c r="L167" s="155"/>
      <c r="M167" s="156"/>
      <c r="N167" s="204"/>
      <c r="O167" s="161"/>
    </row>
    <row r="168" spans="1:15" x14ac:dyDescent="0.25">
      <c r="A168" s="159"/>
      <c r="B168" s="161"/>
      <c r="C168" s="228"/>
      <c r="D168" s="161"/>
      <c r="E168" s="162"/>
      <c r="F168" s="162"/>
      <c r="G168" s="154"/>
      <c r="H168" s="155"/>
      <c r="I168" s="156"/>
      <c r="J168" s="204"/>
      <c r="K168" s="154"/>
      <c r="L168" s="155"/>
      <c r="M168" s="156"/>
      <c r="N168" s="204"/>
      <c r="O168" s="161"/>
    </row>
    <row r="169" spans="1:15" x14ac:dyDescent="0.25">
      <c r="A169" s="159"/>
      <c r="B169" s="161"/>
      <c r="C169" s="228"/>
      <c r="D169" s="161"/>
      <c r="E169" s="162"/>
      <c r="F169" s="162"/>
      <c r="G169" s="154"/>
      <c r="H169" s="155"/>
      <c r="I169" s="156"/>
      <c r="J169" s="204"/>
      <c r="K169" s="154"/>
      <c r="L169" s="155"/>
      <c r="M169" s="156"/>
      <c r="N169" s="204"/>
      <c r="O169" s="161"/>
    </row>
    <row r="170" spans="1:15" x14ac:dyDescent="0.25">
      <c r="A170" s="159"/>
      <c r="B170" s="161"/>
      <c r="C170" s="228"/>
      <c r="D170" s="161"/>
      <c r="E170" s="162"/>
      <c r="F170" s="162"/>
      <c r="G170" s="154"/>
      <c r="H170" s="155"/>
      <c r="I170" s="156"/>
      <c r="J170" s="204"/>
      <c r="K170" s="154"/>
      <c r="L170" s="155"/>
      <c r="M170" s="156"/>
      <c r="N170" s="204"/>
      <c r="O170" s="161"/>
    </row>
    <row r="171" spans="1:15" x14ac:dyDescent="0.25">
      <c r="A171" s="159"/>
      <c r="B171" s="161"/>
      <c r="C171" s="228"/>
      <c r="D171" s="161"/>
      <c r="E171" s="162"/>
      <c r="F171" s="162"/>
      <c r="G171" s="154"/>
      <c r="H171" s="155"/>
      <c r="I171" s="156"/>
      <c r="J171" s="204"/>
      <c r="K171" s="154"/>
      <c r="L171" s="155"/>
      <c r="M171" s="156"/>
      <c r="N171" s="204"/>
      <c r="O171" s="161"/>
    </row>
    <row r="172" spans="1:15" x14ac:dyDescent="0.25">
      <c r="A172" s="159"/>
      <c r="B172" s="161"/>
      <c r="C172" s="228"/>
      <c r="D172" s="161"/>
      <c r="E172" s="162"/>
      <c r="F172" s="162"/>
      <c r="G172" s="154"/>
      <c r="H172" s="155"/>
      <c r="I172" s="156"/>
      <c r="J172" s="204"/>
      <c r="K172" s="154"/>
      <c r="L172" s="155"/>
      <c r="M172" s="156"/>
      <c r="N172" s="204"/>
      <c r="O172" s="161"/>
    </row>
    <row r="173" spans="1:15" x14ac:dyDescent="0.25">
      <c r="A173" s="159"/>
      <c r="B173" s="161"/>
      <c r="C173" s="228"/>
      <c r="D173" s="161"/>
      <c r="E173" s="162"/>
      <c r="F173" s="162"/>
      <c r="G173" s="154"/>
      <c r="H173" s="155"/>
      <c r="I173" s="156"/>
      <c r="J173" s="204"/>
      <c r="K173" s="154"/>
      <c r="L173" s="155"/>
      <c r="M173" s="156"/>
      <c r="N173" s="204"/>
      <c r="O173" s="161"/>
    </row>
    <row r="174" spans="1:15" x14ac:dyDescent="0.25">
      <c r="A174" s="159"/>
      <c r="B174" s="161"/>
      <c r="C174" s="228"/>
      <c r="D174" s="161"/>
      <c r="E174" s="162"/>
      <c r="F174" s="162"/>
      <c r="G174" s="154"/>
      <c r="H174" s="155"/>
      <c r="I174" s="156"/>
      <c r="J174" s="204"/>
      <c r="K174" s="154"/>
      <c r="L174" s="155"/>
      <c r="M174" s="156"/>
      <c r="N174" s="204"/>
      <c r="O174" s="161"/>
    </row>
    <row r="175" spans="1:15" x14ac:dyDescent="0.25">
      <c r="A175" s="159"/>
      <c r="B175" s="161"/>
      <c r="C175" s="228"/>
      <c r="D175" s="161"/>
      <c r="E175" s="162"/>
      <c r="F175" s="162"/>
      <c r="G175" s="154"/>
      <c r="H175" s="155"/>
      <c r="I175" s="156"/>
      <c r="J175" s="204"/>
      <c r="K175" s="154"/>
      <c r="L175" s="155"/>
      <c r="M175" s="156"/>
      <c r="N175" s="204"/>
      <c r="O175" s="161"/>
    </row>
    <row r="176" spans="1:15" x14ac:dyDescent="0.25">
      <c r="A176" s="159"/>
      <c r="B176" s="161"/>
      <c r="C176" s="228"/>
      <c r="D176" s="161"/>
      <c r="E176" s="162"/>
      <c r="F176" s="162"/>
      <c r="G176" s="154"/>
      <c r="H176" s="155"/>
      <c r="I176" s="156"/>
      <c r="J176" s="204"/>
      <c r="K176" s="154"/>
      <c r="L176" s="155"/>
      <c r="M176" s="156"/>
      <c r="N176" s="204"/>
      <c r="O176" s="161"/>
    </row>
    <row r="177" spans="1:15" x14ac:dyDescent="0.25">
      <c r="A177" s="159"/>
      <c r="B177" s="161"/>
      <c r="C177" s="228"/>
      <c r="D177" s="161"/>
      <c r="E177" s="162"/>
      <c r="F177" s="162"/>
      <c r="G177" s="154"/>
      <c r="H177" s="155"/>
      <c r="I177" s="156"/>
      <c r="J177" s="204"/>
      <c r="K177" s="154"/>
      <c r="L177" s="155"/>
      <c r="M177" s="156"/>
      <c r="N177" s="204"/>
      <c r="O177" s="161"/>
    </row>
    <row r="178" spans="1:15" x14ac:dyDescent="0.25">
      <c r="A178" s="159"/>
      <c r="B178" s="161"/>
      <c r="C178" s="228"/>
      <c r="D178" s="161"/>
      <c r="E178" s="162"/>
      <c r="F178" s="162"/>
      <c r="G178" s="154"/>
      <c r="H178" s="155"/>
      <c r="I178" s="156"/>
      <c r="J178" s="204"/>
      <c r="K178" s="154"/>
      <c r="L178" s="155"/>
      <c r="M178" s="156"/>
      <c r="N178" s="204"/>
      <c r="O178" s="161"/>
    </row>
    <row r="179" spans="1:15" x14ac:dyDescent="0.25">
      <c r="A179" s="159"/>
      <c r="B179" s="161"/>
      <c r="C179" s="228"/>
      <c r="D179" s="161"/>
      <c r="E179" s="162"/>
      <c r="F179" s="162"/>
      <c r="G179" s="154"/>
      <c r="H179" s="155"/>
      <c r="I179" s="156"/>
      <c r="J179" s="204"/>
      <c r="K179" s="154"/>
      <c r="L179" s="155"/>
      <c r="M179" s="156"/>
      <c r="N179" s="204"/>
      <c r="O179" s="161"/>
    </row>
    <row r="180" spans="1:15" x14ac:dyDescent="0.25">
      <c r="A180" s="159"/>
      <c r="B180" s="161"/>
      <c r="C180" s="228"/>
      <c r="D180" s="161"/>
      <c r="E180" s="162"/>
      <c r="F180" s="162"/>
      <c r="G180" s="154"/>
      <c r="H180" s="155"/>
      <c r="I180" s="156"/>
      <c r="J180" s="204"/>
      <c r="K180" s="154"/>
      <c r="L180" s="155"/>
      <c r="M180" s="156"/>
      <c r="N180" s="204"/>
      <c r="O180" s="161"/>
    </row>
    <row r="181" spans="1:15" x14ac:dyDescent="0.25">
      <c r="A181" s="159"/>
      <c r="B181" s="161"/>
      <c r="C181" s="228"/>
      <c r="D181" s="161"/>
      <c r="E181" s="162"/>
      <c r="F181" s="162"/>
      <c r="G181" s="154"/>
      <c r="H181" s="155"/>
      <c r="I181" s="156"/>
      <c r="J181" s="204"/>
      <c r="K181" s="154"/>
      <c r="L181" s="155"/>
      <c r="M181" s="156"/>
      <c r="N181" s="204"/>
      <c r="O181" s="161"/>
    </row>
    <row r="182" spans="1:15" x14ac:dyDescent="0.25">
      <c r="A182" s="159"/>
      <c r="B182" s="161"/>
      <c r="C182" s="228"/>
      <c r="D182" s="161"/>
      <c r="E182" s="162"/>
      <c r="F182" s="162"/>
      <c r="G182" s="154"/>
      <c r="H182" s="155"/>
      <c r="I182" s="156"/>
      <c r="J182" s="204"/>
      <c r="K182" s="154"/>
      <c r="L182" s="155"/>
      <c r="M182" s="156"/>
      <c r="N182" s="204"/>
      <c r="O182" s="161"/>
    </row>
    <row r="183" spans="1:15" x14ac:dyDescent="0.25">
      <c r="A183" s="159"/>
      <c r="B183" s="161"/>
      <c r="C183" s="228"/>
      <c r="D183" s="161"/>
      <c r="E183" s="162"/>
      <c r="F183" s="162"/>
      <c r="G183" s="154"/>
      <c r="H183" s="155"/>
      <c r="I183" s="156"/>
      <c r="J183" s="204"/>
      <c r="K183" s="154"/>
      <c r="L183" s="155"/>
      <c r="M183" s="156"/>
      <c r="N183" s="204"/>
      <c r="O183" s="161"/>
    </row>
    <row r="184" spans="1:15" x14ac:dyDescent="0.25">
      <c r="A184" s="159"/>
      <c r="B184" s="161"/>
      <c r="C184" s="228"/>
      <c r="D184" s="161"/>
      <c r="E184" s="162"/>
      <c r="F184" s="162"/>
      <c r="G184" s="154"/>
      <c r="H184" s="155"/>
      <c r="I184" s="156"/>
      <c r="J184" s="204"/>
      <c r="K184" s="154"/>
      <c r="L184" s="155"/>
      <c r="M184" s="156"/>
      <c r="N184" s="204"/>
      <c r="O184" s="161"/>
    </row>
    <row r="185" spans="1:15" x14ac:dyDescent="0.25">
      <c r="A185" s="159"/>
      <c r="B185" s="161"/>
      <c r="C185" s="228"/>
      <c r="D185" s="161"/>
      <c r="E185" s="162"/>
      <c r="F185" s="162"/>
      <c r="G185" s="154"/>
      <c r="H185" s="155"/>
      <c r="I185" s="156"/>
      <c r="J185" s="204"/>
      <c r="K185" s="154"/>
      <c r="L185" s="155"/>
      <c r="M185" s="156"/>
      <c r="N185" s="204"/>
      <c r="O185" s="161"/>
    </row>
    <row r="186" spans="1:15" x14ac:dyDescent="0.25">
      <c r="A186" s="159"/>
      <c r="B186" s="161"/>
      <c r="C186" s="228"/>
      <c r="D186" s="161"/>
      <c r="E186" s="162"/>
      <c r="F186" s="162"/>
      <c r="G186" s="154"/>
      <c r="H186" s="155"/>
      <c r="I186" s="156"/>
      <c r="J186" s="204"/>
      <c r="K186" s="154"/>
      <c r="L186" s="155"/>
      <c r="M186" s="156"/>
      <c r="N186" s="204"/>
      <c r="O186" s="161"/>
    </row>
    <row r="187" spans="1:15" x14ac:dyDescent="0.25">
      <c r="A187" s="159"/>
      <c r="B187" s="161"/>
      <c r="C187" s="228"/>
      <c r="D187" s="161"/>
      <c r="E187" s="162"/>
      <c r="F187" s="162"/>
      <c r="G187" s="154"/>
      <c r="H187" s="155"/>
      <c r="I187" s="156"/>
      <c r="J187" s="204"/>
      <c r="K187" s="154"/>
      <c r="L187" s="155"/>
      <c r="M187" s="156"/>
      <c r="N187" s="204"/>
      <c r="O187" s="161"/>
    </row>
    <row r="188" spans="1:15" x14ac:dyDescent="0.25">
      <c r="A188" s="159"/>
      <c r="B188" s="161"/>
      <c r="C188" s="228"/>
      <c r="D188" s="161"/>
      <c r="E188" s="162"/>
      <c r="F188" s="162"/>
      <c r="G188" s="154"/>
      <c r="H188" s="155"/>
      <c r="I188" s="156"/>
      <c r="J188" s="204"/>
      <c r="K188" s="154"/>
      <c r="L188" s="155"/>
      <c r="M188" s="156"/>
      <c r="N188" s="204"/>
      <c r="O188" s="161"/>
    </row>
    <row r="189" spans="1:15" x14ac:dyDescent="0.25">
      <c r="A189" s="159"/>
      <c r="B189" s="161"/>
      <c r="C189" s="228"/>
      <c r="D189" s="161"/>
      <c r="E189" s="162"/>
      <c r="F189" s="162"/>
      <c r="G189" s="154"/>
      <c r="H189" s="155"/>
      <c r="I189" s="156"/>
      <c r="J189" s="204"/>
      <c r="K189" s="154"/>
      <c r="L189" s="155"/>
      <c r="M189" s="156"/>
      <c r="N189" s="204"/>
      <c r="O189" s="161"/>
    </row>
    <row r="190" spans="1:15" x14ac:dyDescent="0.25">
      <c r="A190" s="159"/>
      <c r="B190" s="161"/>
      <c r="C190" s="228"/>
      <c r="D190" s="161"/>
      <c r="E190" s="162"/>
      <c r="F190" s="162"/>
      <c r="G190" s="154"/>
      <c r="H190" s="155"/>
      <c r="I190" s="156"/>
      <c r="J190" s="204"/>
      <c r="K190" s="154"/>
      <c r="L190" s="155"/>
      <c r="M190" s="156"/>
      <c r="N190" s="204"/>
      <c r="O190" s="161"/>
    </row>
    <row r="191" spans="1:15" x14ac:dyDescent="0.25">
      <c r="A191" s="159"/>
      <c r="B191" s="161"/>
      <c r="C191" s="228"/>
      <c r="D191" s="161"/>
      <c r="E191" s="162"/>
      <c r="F191" s="162"/>
      <c r="G191" s="154"/>
      <c r="H191" s="155"/>
      <c r="I191" s="156"/>
      <c r="J191" s="204"/>
      <c r="K191" s="154"/>
      <c r="L191" s="155"/>
      <c r="M191" s="156"/>
      <c r="N191" s="204"/>
      <c r="O191" s="161"/>
    </row>
    <row r="192" spans="1:15" x14ac:dyDescent="0.25">
      <c r="A192" s="159"/>
      <c r="B192" s="161"/>
      <c r="C192" s="228"/>
      <c r="D192" s="161"/>
      <c r="E192" s="162"/>
      <c r="F192" s="162"/>
      <c r="G192" s="154"/>
      <c r="H192" s="155"/>
      <c r="I192" s="156"/>
      <c r="J192" s="204"/>
      <c r="K192" s="154"/>
      <c r="L192" s="155"/>
      <c r="M192" s="156"/>
      <c r="N192" s="204"/>
      <c r="O192" s="161"/>
    </row>
    <row r="193" spans="1:15" x14ac:dyDescent="0.25">
      <c r="A193" s="159"/>
      <c r="B193" s="161"/>
      <c r="C193" s="228"/>
      <c r="D193" s="161"/>
      <c r="E193" s="162"/>
      <c r="F193" s="162"/>
      <c r="G193" s="154"/>
      <c r="H193" s="155"/>
      <c r="I193" s="156"/>
      <c r="J193" s="204"/>
      <c r="K193" s="154"/>
      <c r="L193" s="155"/>
      <c r="M193" s="156"/>
      <c r="N193" s="204"/>
      <c r="O193" s="161"/>
    </row>
    <row r="194" spans="1:15" x14ac:dyDescent="0.25">
      <c r="A194" s="159"/>
      <c r="B194" s="161"/>
      <c r="C194" s="228"/>
      <c r="D194" s="161"/>
      <c r="E194" s="162"/>
      <c r="F194" s="162"/>
      <c r="G194" s="154"/>
      <c r="H194" s="155"/>
      <c r="I194" s="156"/>
      <c r="J194" s="204"/>
      <c r="K194" s="154"/>
      <c r="L194" s="155"/>
      <c r="M194" s="156"/>
      <c r="N194" s="204"/>
      <c r="O194" s="161"/>
    </row>
    <row r="195" spans="1:15" x14ac:dyDescent="0.25">
      <c r="A195" s="159"/>
      <c r="B195" s="161"/>
      <c r="C195" s="228"/>
      <c r="D195" s="161"/>
      <c r="E195" s="162"/>
      <c r="F195" s="162"/>
      <c r="G195" s="154"/>
      <c r="H195" s="155"/>
      <c r="I195" s="156"/>
      <c r="J195" s="204"/>
      <c r="K195" s="154"/>
      <c r="L195" s="155"/>
      <c r="M195" s="156"/>
      <c r="N195" s="204"/>
      <c r="O195" s="161"/>
    </row>
    <row r="196" spans="1:15" x14ac:dyDescent="0.25">
      <c r="A196" s="159"/>
      <c r="B196" s="161"/>
      <c r="C196" s="228"/>
      <c r="D196" s="161"/>
      <c r="E196" s="162"/>
      <c r="F196" s="162"/>
      <c r="G196" s="154"/>
      <c r="H196" s="155"/>
      <c r="I196" s="156"/>
      <c r="J196" s="204"/>
      <c r="K196" s="154"/>
      <c r="L196" s="155"/>
      <c r="M196" s="156"/>
      <c r="N196" s="204"/>
      <c r="O196" s="161"/>
    </row>
    <row r="197" spans="1:15" x14ac:dyDescent="0.25">
      <c r="A197" s="159"/>
      <c r="B197" s="161"/>
      <c r="C197" s="228"/>
      <c r="D197" s="161"/>
      <c r="E197" s="162"/>
      <c r="F197" s="162"/>
      <c r="G197" s="154"/>
      <c r="H197" s="155"/>
      <c r="I197" s="156"/>
      <c r="J197" s="204"/>
      <c r="K197" s="154"/>
      <c r="L197" s="155"/>
      <c r="M197" s="156"/>
      <c r="N197" s="204"/>
      <c r="O197" s="161"/>
    </row>
    <row r="198" spans="1:15" x14ac:dyDescent="0.25">
      <c r="A198" s="159"/>
      <c r="B198" s="161"/>
      <c r="C198" s="228"/>
      <c r="D198" s="161"/>
      <c r="E198" s="162"/>
      <c r="F198" s="162"/>
      <c r="G198" s="154"/>
      <c r="H198" s="155"/>
      <c r="I198" s="156"/>
      <c r="J198" s="204"/>
      <c r="K198" s="154"/>
      <c r="L198" s="155"/>
      <c r="M198" s="156"/>
      <c r="N198" s="204"/>
      <c r="O198" s="161"/>
    </row>
    <row r="199" spans="1:15" x14ac:dyDescent="0.25">
      <c r="A199" s="159"/>
      <c r="B199" s="161"/>
      <c r="C199" s="228"/>
      <c r="D199" s="161"/>
      <c r="E199" s="162"/>
      <c r="F199" s="162"/>
      <c r="G199" s="154"/>
      <c r="H199" s="155"/>
      <c r="I199" s="156"/>
      <c r="J199" s="204"/>
      <c r="K199" s="154"/>
      <c r="L199" s="155"/>
      <c r="M199" s="156"/>
      <c r="N199" s="204"/>
      <c r="O199" s="161"/>
    </row>
    <row r="200" spans="1:15" x14ac:dyDescent="0.25">
      <c r="A200" s="159"/>
      <c r="B200" s="161"/>
      <c r="C200" s="228"/>
      <c r="D200" s="161"/>
      <c r="E200" s="162"/>
      <c r="F200" s="162"/>
      <c r="G200" s="154"/>
      <c r="H200" s="155"/>
      <c r="I200" s="156"/>
      <c r="J200" s="204"/>
      <c r="K200" s="154"/>
      <c r="L200" s="155"/>
      <c r="M200" s="156"/>
      <c r="N200" s="204"/>
      <c r="O200" s="161"/>
    </row>
    <row r="201" spans="1:15" x14ac:dyDescent="0.25">
      <c r="A201" s="159"/>
      <c r="B201" s="161"/>
      <c r="C201" s="228"/>
      <c r="D201" s="161"/>
      <c r="E201" s="162"/>
      <c r="F201" s="162"/>
      <c r="G201" s="154"/>
      <c r="H201" s="155"/>
      <c r="I201" s="156"/>
      <c r="J201" s="204"/>
      <c r="K201" s="154"/>
      <c r="L201" s="155"/>
      <c r="M201" s="156"/>
      <c r="N201" s="204"/>
      <c r="O201" s="161"/>
    </row>
    <row r="202" spans="1:15" x14ac:dyDescent="0.25">
      <c r="A202" s="159"/>
      <c r="B202" s="161"/>
      <c r="C202" s="228"/>
      <c r="D202" s="161"/>
      <c r="E202" s="162"/>
      <c r="F202" s="162"/>
      <c r="G202" s="154"/>
      <c r="H202" s="155"/>
      <c r="I202" s="156"/>
      <c r="J202" s="204"/>
      <c r="K202" s="154"/>
      <c r="L202" s="155"/>
      <c r="M202" s="156"/>
      <c r="N202" s="204"/>
      <c r="O202" s="161"/>
    </row>
    <row r="203" spans="1:15" x14ac:dyDescent="0.25">
      <c r="A203" s="159"/>
      <c r="B203" s="161"/>
      <c r="C203" s="228"/>
      <c r="D203" s="161"/>
      <c r="E203" s="162"/>
      <c r="F203" s="162"/>
      <c r="G203" s="154"/>
      <c r="H203" s="155"/>
      <c r="I203" s="156"/>
      <c r="J203" s="204"/>
      <c r="K203" s="154"/>
      <c r="L203" s="155"/>
      <c r="M203" s="156"/>
      <c r="N203" s="204"/>
      <c r="O203" s="161"/>
    </row>
    <row r="204" spans="1:15" x14ac:dyDescent="0.25">
      <c r="A204" s="159"/>
      <c r="B204" s="161"/>
      <c r="C204" s="228"/>
      <c r="D204" s="161"/>
      <c r="E204" s="162"/>
      <c r="F204" s="162"/>
      <c r="G204" s="154"/>
      <c r="H204" s="155"/>
      <c r="I204" s="156"/>
      <c r="J204" s="204"/>
      <c r="K204" s="154"/>
      <c r="L204" s="155"/>
      <c r="M204" s="156"/>
      <c r="N204" s="204"/>
      <c r="O204" s="161"/>
    </row>
    <row r="205" spans="1:15" x14ac:dyDescent="0.25">
      <c r="A205" s="159"/>
      <c r="B205" s="161"/>
      <c r="C205" s="228"/>
      <c r="D205" s="161"/>
      <c r="E205" s="162"/>
      <c r="F205" s="162"/>
      <c r="G205" s="154"/>
      <c r="H205" s="155"/>
      <c r="I205" s="156"/>
      <c r="J205" s="204"/>
      <c r="K205" s="154"/>
      <c r="L205" s="155"/>
      <c r="M205" s="156"/>
      <c r="N205" s="204"/>
      <c r="O205" s="161"/>
    </row>
    <row r="206" spans="1:15" x14ac:dyDescent="0.25">
      <c r="A206" s="159"/>
      <c r="B206" s="161"/>
      <c r="C206" s="228"/>
      <c r="D206" s="161"/>
      <c r="E206" s="162"/>
      <c r="F206" s="162"/>
      <c r="G206" s="154"/>
      <c r="H206" s="155"/>
      <c r="I206" s="156"/>
      <c r="J206" s="204"/>
      <c r="K206" s="154"/>
      <c r="L206" s="155"/>
      <c r="M206" s="156"/>
      <c r="N206" s="204"/>
      <c r="O206" s="161"/>
    </row>
    <row r="207" spans="1:15" x14ac:dyDescent="0.25">
      <c r="A207" s="159"/>
      <c r="B207" s="161"/>
      <c r="C207" s="228"/>
      <c r="D207" s="161"/>
      <c r="E207" s="162"/>
      <c r="F207" s="162"/>
      <c r="G207" s="154"/>
      <c r="H207" s="155"/>
      <c r="I207" s="156"/>
      <c r="J207" s="204"/>
      <c r="K207" s="154"/>
      <c r="L207" s="155"/>
      <c r="M207" s="156"/>
      <c r="N207" s="204"/>
      <c r="O207" s="161"/>
    </row>
    <row r="208" spans="1:15" x14ac:dyDescent="0.25">
      <c r="A208" s="159"/>
      <c r="B208" s="161"/>
      <c r="C208" s="228"/>
      <c r="D208" s="161"/>
      <c r="E208" s="162"/>
      <c r="F208" s="162"/>
      <c r="G208" s="154"/>
      <c r="H208" s="155"/>
      <c r="I208" s="156"/>
      <c r="J208" s="204"/>
      <c r="K208" s="154"/>
      <c r="L208" s="155"/>
      <c r="M208" s="156"/>
      <c r="N208" s="204"/>
      <c r="O208" s="161"/>
    </row>
    <row r="209" spans="1:15" x14ac:dyDescent="0.25">
      <c r="A209" s="159"/>
      <c r="B209" s="161"/>
      <c r="C209" s="228"/>
      <c r="D209" s="161"/>
      <c r="E209" s="162"/>
      <c r="F209" s="162"/>
      <c r="G209" s="154"/>
      <c r="H209" s="155"/>
      <c r="I209" s="156"/>
      <c r="J209" s="204"/>
      <c r="K209" s="154"/>
      <c r="L209" s="155"/>
      <c r="M209" s="156"/>
      <c r="N209" s="204"/>
      <c r="O209" s="161"/>
    </row>
    <row r="210" spans="1:15" x14ac:dyDescent="0.25">
      <c r="A210" s="159"/>
      <c r="B210" s="161"/>
      <c r="C210" s="228"/>
      <c r="D210" s="161"/>
      <c r="E210" s="162"/>
      <c r="F210" s="162"/>
      <c r="G210" s="154"/>
      <c r="H210" s="155"/>
      <c r="I210" s="156"/>
      <c r="J210" s="204"/>
      <c r="K210" s="154"/>
      <c r="L210" s="155"/>
      <c r="M210" s="156"/>
      <c r="N210" s="204"/>
      <c r="O210" s="161"/>
    </row>
    <row r="211" spans="1:15" x14ac:dyDescent="0.25">
      <c r="A211" s="159"/>
      <c r="B211" s="161"/>
      <c r="C211" s="228"/>
      <c r="D211" s="161"/>
      <c r="E211" s="162"/>
      <c r="F211" s="162"/>
      <c r="G211" s="154"/>
      <c r="H211" s="155"/>
      <c r="I211" s="156"/>
      <c r="J211" s="204"/>
      <c r="K211" s="154"/>
      <c r="L211" s="155"/>
      <c r="M211" s="156"/>
      <c r="N211" s="204"/>
      <c r="O211" s="161"/>
    </row>
    <row r="212" spans="1:15" x14ac:dyDescent="0.25">
      <c r="A212" s="159"/>
      <c r="B212" s="161"/>
      <c r="C212" s="228"/>
      <c r="D212" s="161"/>
      <c r="E212" s="162"/>
      <c r="F212" s="162"/>
      <c r="G212" s="154"/>
      <c r="H212" s="155"/>
      <c r="I212" s="156"/>
      <c r="J212" s="204"/>
      <c r="K212" s="154"/>
      <c r="L212" s="155"/>
      <c r="M212" s="156"/>
      <c r="N212" s="204"/>
      <c r="O212" s="161"/>
    </row>
    <row r="213" spans="1:15" x14ac:dyDescent="0.25">
      <c r="A213" s="159"/>
      <c r="B213" s="161"/>
      <c r="C213" s="228"/>
      <c r="D213" s="161"/>
      <c r="E213" s="162"/>
      <c r="F213" s="162"/>
      <c r="G213" s="154"/>
      <c r="H213" s="155"/>
      <c r="I213" s="156"/>
      <c r="J213" s="204"/>
      <c r="K213" s="154"/>
      <c r="L213" s="155"/>
      <c r="M213" s="156"/>
      <c r="N213" s="204"/>
      <c r="O213" s="161"/>
    </row>
    <row r="214" spans="1:15" x14ac:dyDescent="0.25">
      <c r="A214" s="159"/>
      <c r="B214" s="161"/>
      <c r="C214" s="228"/>
      <c r="D214" s="161"/>
      <c r="E214" s="162"/>
      <c r="F214" s="162"/>
      <c r="G214" s="154"/>
      <c r="H214" s="155"/>
      <c r="I214" s="156"/>
      <c r="J214" s="204"/>
      <c r="K214" s="154"/>
      <c r="L214" s="155"/>
      <c r="M214" s="156"/>
      <c r="N214" s="204"/>
      <c r="O214" s="161"/>
    </row>
    <row r="215" spans="1:15" x14ac:dyDescent="0.25">
      <c r="A215" s="159"/>
      <c r="B215" s="161"/>
      <c r="C215" s="228"/>
      <c r="D215" s="161"/>
      <c r="E215" s="162"/>
      <c r="F215" s="162"/>
      <c r="G215" s="154"/>
      <c r="H215" s="155"/>
      <c r="I215" s="156"/>
      <c r="J215" s="204"/>
      <c r="K215" s="154"/>
      <c r="L215" s="155"/>
      <c r="M215" s="156"/>
      <c r="N215" s="204"/>
      <c r="O215" s="161"/>
    </row>
    <row r="216" spans="1:15" x14ac:dyDescent="0.25">
      <c r="A216" s="159"/>
      <c r="B216" s="161"/>
      <c r="C216" s="228"/>
      <c r="D216" s="161"/>
      <c r="E216" s="162"/>
      <c r="F216" s="162"/>
      <c r="G216" s="154"/>
      <c r="H216" s="155"/>
      <c r="I216" s="156"/>
      <c r="J216" s="204"/>
      <c r="K216" s="154"/>
      <c r="L216" s="155"/>
      <c r="M216" s="156"/>
      <c r="N216" s="204"/>
      <c r="O216" s="161"/>
    </row>
    <row r="217" spans="1:15" x14ac:dyDescent="0.25">
      <c r="A217" s="159"/>
      <c r="B217" s="161"/>
      <c r="C217" s="228"/>
      <c r="D217" s="161"/>
      <c r="E217" s="162"/>
      <c r="F217" s="162"/>
      <c r="G217" s="154"/>
      <c r="H217" s="155"/>
      <c r="I217" s="156"/>
      <c r="J217" s="204"/>
      <c r="K217" s="154"/>
      <c r="L217" s="155"/>
      <c r="M217" s="156"/>
      <c r="N217" s="204"/>
      <c r="O217" s="161"/>
    </row>
    <row r="218" spans="1:15" x14ac:dyDescent="0.25">
      <c r="A218" s="159"/>
      <c r="B218" s="161"/>
      <c r="C218" s="228"/>
      <c r="D218" s="161"/>
      <c r="E218" s="162"/>
      <c r="F218" s="162"/>
      <c r="G218" s="154"/>
      <c r="H218" s="155"/>
      <c r="I218" s="156"/>
      <c r="J218" s="204"/>
      <c r="K218" s="154"/>
      <c r="L218" s="155"/>
      <c r="M218" s="156"/>
      <c r="N218" s="204"/>
      <c r="O218" s="161"/>
    </row>
    <row r="219" spans="1:15" x14ac:dyDescent="0.25">
      <c r="A219" s="159"/>
      <c r="B219" s="161"/>
      <c r="C219" s="228"/>
      <c r="D219" s="161"/>
      <c r="E219" s="162"/>
      <c r="F219" s="162"/>
      <c r="G219" s="154"/>
      <c r="H219" s="155"/>
      <c r="I219" s="156"/>
      <c r="J219" s="204"/>
      <c r="K219" s="154"/>
      <c r="L219" s="155"/>
      <c r="M219" s="156"/>
      <c r="N219" s="204"/>
      <c r="O219" s="161"/>
    </row>
    <row r="220" spans="1:15" x14ac:dyDescent="0.25">
      <c r="A220" s="159"/>
      <c r="B220" s="161"/>
      <c r="C220" s="228"/>
      <c r="D220" s="161"/>
      <c r="E220" s="162"/>
      <c r="F220" s="162"/>
      <c r="G220" s="154"/>
      <c r="H220" s="155"/>
      <c r="I220" s="156"/>
      <c r="J220" s="204"/>
      <c r="K220" s="154"/>
      <c r="L220" s="155"/>
      <c r="M220" s="156"/>
      <c r="N220" s="204"/>
      <c r="O220" s="161"/>
    </row>
    <row r="221" spans="1:15" x14ac:dyDescent="0.25">
      <c r="A221" s="159"/>
      <c r="B221" s="161"/>
      <c r="C221" s="228"/>
      <c r="D221" s="161"/>
      <c r="E221" s="162"/>
      <c r="F221" s="162"/>
      <c r="G221" s="154"/>
      <c r="H221" s="155"/>
      <c r="I221" s="156"/>
      <c r="J221" s="204"/>
      <c r="K221" s="154"/>
      <c r="L221" s="155"/>
      <c r="M221" s="156"/>
      <c r="N221" s="204"/>
      <c r="O221" s="161"/>
    </row>
    <row r="222" spans="1:15" x14ac:dyDescent="0.25">
      <c r="A222" s="159"/>
      <c r="B222" s="161"/>
      <c r="C222" s="228"/>
      <c r="D222" s="161"/>
      <c r="E222" s="162"/>
      <c r="F222" s="162"/>
      <c r="G222" s="154"/>
      <c r="H222" s="155"/>
      <c r="I222" s="156"/>
      <c r="J222" s="204"/>
      <c r="K222" s="154"/>
      <c r="L222" s="155"/>
      <c r="M222" s="156"/>
      <c r="N222" s="204"/>
      <c r="O222" s="161"/>
    </row>
    <row r="223" spans="1:15" x14ac:dyDescent="0.25">
      <c r="A223" s="159"/>
      <c r="B223" s="161"/>
      <c r="C223" s="228"/>
      <c r="D223" s="161"/>
      <c r="E223" s="162"/>
      <c r="F223" s="162"/>
      <c r="G223" s="154"/>
      <c r="H223" s="155"/>
      <c r="I223" s="156"/>
      <c r="J223" s="204"/>
      <c r="K223" s="154"/>
      <c r="L223" s="155"/>
      <c r="M223" s="156"/>
      <c r="N223" s="204"/>
      <c r="O223" s="161"/>
    </row>
    <row r="224" spans="1:15" x14ac:dyDescent="0.25">
      <c r="A224" s="159"/>
      <c r="B224" s="161"/>
      <c r="C224" s="228"/>
      <c r="D224" s="161"/>
      <c r="E224" s="162"/>
      <c r="F224" s="162"/>
      <c r="G224" s="154"/>
      <c r="H224" s="155"/>
      <c r="I224" s="156"/>
      <c r="J224" s="204"/>
      <c r="K224" s="154"/>
      <c r="L224" s="155"/>
      <c r="M224" s="156"/>
      <c r="N224" s="204"/>
      <c r="O224" s="161"/>
    </row>
    <row r="225" spans="1:15" x14ac:dyDescent="0.25">
      <c r="A225" s="159"/>
      <c r="B225" s="161"/>
      <c r="C225" s="228"/>
      <c r="D225" s="161"/>
      <c r="E225" s="162"/>
      <c r="F225" s="162"/>
      <c r="G225" s="154"/>
      <c r="H225" s="155"/>
      <c r="I225" s="156"/>
      <c r="J225" s="204"/>
      <c r="K225" s="154"/>
      <c r="L225" s="155"/>
      <c r="M225" s="156"/>
      <c r="N225" s="204"/>
      <c r="O225" s="161"/>
    </row>
    <row r="226" spans="1:15" x14ac:dyDescent="0.25">
      <c r="A226" s="159"/>
      <c r="B226" s="161"/>
      <c r="C226" s="228"/>
      <c r="D226" s="161"/>
      <c r="E226" s="162"/>
      <c r="F226" s="162"/>
      <c r="G226" s="154"/>
      <c r="H226" s="155"/>
      <c r="I226" s="156"/>
      <c r="J226" s="204"/>
      <c r="K226" s="154"/>
      <c r="L226" s="155"/>
      <c r="M226" s="156"/>
      <c r="N226" s="204"/>
      <c r="O226" s="161"/>
    </row>
    <row r="227" spans="1:15" x14ac:dyDescent="0.25">
      <c r="A227" s="159"/>
      <c r="B227" s="161"/>
      <c r="C227" s="228"/>
      <c r="D227" s="161"/>
      <c r="E227" s="162"/>
      <c r="F227" s="162"/>
      <c r="G227" s="154"/>
      <c r="H227" s="155"/>
      <c r="I227" s="156"/>
      <c r="J227" s="204"/>
      <c r="K227" s="154"/>
      <c r="L227" s="155"/>
      <c r="M227" s="156"/>
      <c r="N227" s="204"/>
      <c r="O227" s="161"/>
    </row>
    <row r="228" spans="1:15" x14ac:dyDescent="0.25">
      <c r="A228" s="159"/>
      <c r="B228" s="161"/>
      <c r="C228" s="228"/>
      <c r="D228" s="161"/>
      <c r="E228" s="162"/>
      <c r="F228" s="162"/>
      <c r="G228" s="154"/>
      <c r="H228" s="155"/>
      <c r="I228" s="156"/>
      <c r="J228" s="204"/>
      <c r="K228" s="154"/>
      <c r="L228" s="155"/>
      <c r="M228" s="156"/>
      <c r="N228" s="204"/>
      <c r="O228" s="161"/>
    </row>
    <row r="229" spans="1:15" x14ac:dyDescent="0.25">
      <c r="A229" s="159"/>
      <c r="B229" s="161"/>
      <c r="C229" s="228"/>
      <c r="D229" s="161"/>
      <c r="E229" s="162"/>
      <c r="F229" s="162"/>
      <c r="G229" s="154"/>
      <c r="H229" s="155"/>
      <c r="I229" s="156"/>
      <c r="J229" s="204"/>
      <c r="K229" s="154"/>
      <c r="L229" s="155"/>
      <c r="M229" s="156"/>
      <c r="N229" s="204"/>
      <c r="O229" s="161"/>
    </row>
    <row r="230" spans="1:15" x14ac:dyDescent="0.25">
      <c r="A230" s="159"/>
      <c r="B230" s="161"/>
      <c r="C230" s="228"/>
      <c r="D230" s="161"/>
      <c r="E230" s="162"/>
      <c r="F230" s="162"/>
      <c r="G230" s="154"/>
      <c r="H230" s="155"/>
      <c r="I230" s="156"/>
      <c r="J230" s="204"/>
      <c r="K230" s="154"/>
      <c r="L230" s="155"/>
      <c r="M230" s="156"/>
      <c r="N230" s="204"/>
      <c r="O230" s="161"/>
    </row>
    <row r="231" spans="1:15" x14ac:dyDescent="0.25">
      <c r="A231" s="159"/>
      <c r="B231" s="161"/>
      <c r="C231" s="228"/>
      <c r="D231" s="161"/>
      <c r="E231" s="162"/>
      <c r="F231" s="162"/>
      <c r="G231" s="154"/>
      <c r="H231" s="155"/>
      <c r="I231" s="156"/>
      <c r="J231" s="204"/>
      <c r="K231" s="154"/>
      <c r="L231" s="155"/>
      <c r="M231" s="156"/>
      <c r="N231" s="204"/>
      <c r="O231" s="161"/>
    </row>
    <row r="232" spans="1:15" x14ac:dyDescent="0.25">
      <c r="A232" s="159"/>
      <c r="B232" s="161"/>
      <c r="C232" s="228"/>
      <c r="D232" s="161"/>
      <c r="E232" s="162"/>
      <c r="F232" s="162"/>
      <c r="G232" s="154"/>
      <c r="H232" s="155"/>
      <c r="I232" s="156"/>
      <c r="J232" s="204"/>
      <c r="K232" s="154"/>
      <c r="L232" s="155"/>
      <c r="M232" s="156"/>
      <c r="N232" s="204"/>
      <c r="O232" s="161"/>
    </row>
    <row r="233" spans="1:15" x14ac:dyDescent="0.25">
      <c r="A233" s="159"/>
      <c r="B233" s="161"/>
      <c r="C233" s="228"/>
      <c r="D233" s="161"/>
      <c r="E233" s="162"/>
      <c r="F233" s="162"/>
      <c r="G233" s="154"/>
      <c r="H233" s="155"/>
      <c r="I233" s="156"/>
      <c r="J233" s="204"/>
      <c r="K233" s="154"/>
      <c r="L233" s="155"/>
      <c r="M233" s="156"/>
      <c r="N233" s="204"/>
      <c r="O233" s="161"/>
    </row>
    <row r="234" spans="1:15" x14ac:dyDescent="0.25">
      <c r="A234" s="159"/>
      <c r="B234" s="161"/>
      <c r="C234" s="228"/>
      <c r="D234" s="161"/>
      <c r="E234" s="162"/>
      <c r="F234" s="162"/>
      <c r="G234" s="154"/>
      <c r="H234" s="155"/>
      <c r="I234" s="156"/>
      <c r="J234" s="204"/>
      <c r="K234" s="154"/>
      <c r="L234" s="155"/>
      <c r="M234" s="156"/>
      <c r="N234" s="204"/>
      <c r="O234" s="161"/>
    </row>
    <row r="235" spans="1:15" x14ac:dyDescent="0.25">
      <c r="A235" s="159"/>
      <c r="B235" s="161"/>
      <c r="C235" s="228"/>
      <c r="D235" s="161"/>
      <c r="E235" s="162"/>
      <c r="F235" s="162"/>
      <c r="G235" s="154"/>
      <c r="H235" s="155"/>
      <c r="I235" s="156"/>
      <c r="J235" s="204"/>
      <c r="K235" s="154"/>
      <c r="L235" s="155"/>
      <c r="M235" s="156"/>
      <c r="N235" s="204"/>
      <c r="O235" s="161"/>
    </row>
    <row r="236" spans="1:15" x14ac:dyDescent="0.25">
      <c r="A236" s="159"/>
      <c r="B236" s="161"/>
      <c r="C236" s="228"/>
      <c r="D236" s="161"/>
      <c r="E236" s="162"/>
      <c r="F236" s="162"/>
      <c r="G236" s="154"/>
      <c r="H236" s="155"/>
      <c r="I236" s="156"/>
      <c r="J236" s="204"/>
      <c r="K236" s="154"/>
      <c r="L236" s="155"/>
      <c r="M236" s="156"/>
      <c r="N236" s="204"/>
      <c r="O236" s="161"/>
    </row>
    <row r="237" spans="1:15" x14ac:dyDescent="0.25">
      <c r="A237" s="159"/>
      <c r="B237" s="161"/>
      <c r="C237" s="228"/>
      <c r="D237" s="161"/>
      <c r="E237" s="162"/>
      <c r="F237" s="162"/>
      <c r="G237" s="154"/>
      <c r="H237" s="155"/>
      <c r="I237" s="156"/>
      <c r="J237" s="204"/>
      <c r="K237" s="154"/>
      <c r="L237" s="155"/>
      <c r="M237" s="156"/>
      <c r="N237" s="204"/>
      <c r="O237" s="161"/>
    </row>
    <row r="238" spans="1:15" x14ac:dyDescent="0.25">
      <c r="A238" s="159"/>
      <c r="B238" s="161"/>
      <c r="C238" s="228"/>
      <c r="D238" s="161"/>
      <c r="E238" s="162"/>
      <c r="F238" s="162"/>
      <c r="G238" s="154"/>
      <c r="H238" s="155"/>
      <c r="I238" s="156"/>
      <c r="J238" s="204"/>
      <c r="K238" s="154"/>
      <c r="L238" s="155"/>
      <c r="M238" s="156"/>
      <c r="N238" s="204"/>
      <c r="O238" s="161"/>
    </row>
    <row r="239" spans="1:15" x14ac:dyDescent="0.25">
      <c r="A239" s="159"/>
      <c r="B239" s="161"/>
      <c r="C239" s="228"/>
      <c r="D239" s="161"/>
      <c r="E239" s="162"/>
      <c r="F239" s="162"/>
      <c r="G239" s="154"/>
      <c r="H239" s="155"/>
      <c r="I239" s="156"/>
      <c r="J239" s="204"/>
      <c r="K239" s="154"/>
      <c r="L239" s="155"/>
      <c r="M239" s="156"/>
      <c r="N239" s="204"/>
      <c r="O239" s="161"/>
    </row>
    <row r="240" spans="1:15" x14ac:dyDescent="0.25">
      <c r="A240" s="159"/>
      <c r="B240" s="161"/>
      <c r="C240" s="228"/>
      <c r="D240" s="161"/>
      <c r="E240" s="162"/>
      <c r="F240" s="162"/>
      <c r="G240" s="154"/>
      <c r="H240" s="155"/>
      <c r="I240" s="156"/>
      <c r="J240" s="204"/>
      <c r="K240" s="154"/>
      <c r="L240" s="155"/>
      <c r="M240" s="156"/>
      <c r="N240" s="204"/>
      <c r="O240" s="161"/>
    </row>
    <row r="241" spans="1:15" x14ac:dyDescent="0.25">
      <c r="A241" s="159"/>
      <c r="B241" s="161"/>
      <c r="C241" s="228"/>
      <c r="D241" s="161"/>
      <c r="E241" s="162"/>
      <c r="F241" s="162"/>
      <c r="G241" s="154"/>
      <c r="H241" s="155"/>
      <c r="I241" s="156"/>
      <c r="J241" s="204"/>
      <c r="K241" s="154"/>
      <c r="L241" s="155"/>
      <c r="M241" s="156"/>
      <c r="N241" s="204"/>
      <c r="O241" s="161"/>
    </row>
    <row r="242" spans="1:15" x14ac:dyDescent="0.25">
      <c r="A242" s="159"/>
      <c r="B242" s="161"/>
      <c r="C242" s="228"/>
      <c r="D242" s="161"/>
      <c r="E242" s="162"/>
      <c r="F242" s="162"/>
      <c r="G242" s="154"/>
      <c r="H242" s="155"/>
      <c r="I242" s="156"/>
      <c r="J242" s="204"/>
      <c r="K242" s="154"/>
      <c r="L242" s="155"/>
      <c r="M242" s="156"/>
      <c r="N242" s="204"/>
      <c r="O242" s="161"/>
    </row>
    <row r="243" spans="1:15" x14ac:dyDescent="0.25">
      <c r="A243" s="159"/>
      <c r="B243" s="161"/>
      <c r="C243" s="228"/>
      <c r="D243" s="161"/>
      <c r="E243" s="162"/>
      <c r="F243" s="162"/>
      <c r="G243" s="154"/>
      <c r="H243" s="155"/>
      <c r="I243" s="156"/>
      <c r="J243" s="204"/>
      <c r="K243" s="154"/>
      <c r="L243" s="155"/>
      <c r="M243" s="156"/>
      <c r="N243" s="204"/>
      <c r="O243" s="161"/>
    </row>
    <row r="244" spans="1:15" x14ac:dyDescent="0.25">
      <c r="A244" s="159"/>
      <c r="B244" s="161"/>
      <c r="C244" s="228"/>
      <c r="D244" s="161"/>
      <c r="E244" s="162"/>
      <c r="F244" s="162"/>
      <c r="G244" s="154"/>
      <c r="H244" s="155"/>
      <c r="I244" s="156"/>
      <c r="J244" s="204"/>
      <c r="K244" s="154"/>
      <c r="L244" s="155"/>
      <c r="M244" s="156"/>
      <c r="N244" s="204"/>
      <c r="O244" s="161"/>
    </row>
    <row r="245" spans="1:15" x14ac:dyDescent="0.25">
      <c r="A245" s="159"/>
      <c r="B245" s="161"/>
      <c r="C245" s="228"/>
      <c r="D245" s="161"/>
      <c r="E245" s="162"/>
      <c r="F245" s="162"/>
      <c r="G245" s="154"/>
      <c r="H245" s="155"/>
      <c r="I245" s="156"/>
      <c r="J245" s="204"/>
      <c r="K245" s="154"/>
      <c r="L245" s="155"/>
      <c r="M245" s="156"/>
      <c r="N245" s="204"/>
      <c r="O245" s="161"/>
    </row>
    <row r="246" spans="1:15" x14ac:dyDescent="0.25">
      <c r="A246" s="159"/>
      <c r="B246" s="161"/>
      <c r="C246" s="228"/>
      <c r="D246" s="161"/>
      <c r="E246" s="162"/>
      <c r="F246" s="162"/>
      <c r="G246" s="154"/>
      <c r="H246" s="155"/>
      <c r="I246" s="156"/>
      <c r="J246" s="204"/>
      <c r="K246" s="154"/>
      <c r="L246" s="155"/>
      <c r="M246" s="156"/>
      <c r="N246" s="204"/>
      <c r="O246" s="161"/>
    </row>
    <row r="247" spans="1:15" x14ac:dyDescent="0.25">
      <c r="A247" s="159"/>
      <c r="B247" s="161"/>
      <c r="C247" s="228"/>
      <c r="D247" s="161"/>
      <c r="E247" s="162"/>
      <c r="F247" s="162"/>
      <c r="G247" s="154"/>
      <c r="H247" s="155"/>
      <c r="I247" s="156"/>
      <c r="J247" s="204"/>
      <c r="K247" s="154"/>
      <c r="L247" s="155"/>
      <c r="M247" s="156"/>
      <c r="N247" s="204"/>
      <c r="O247" s="161"/>
    </row>
    <row r="248" spans="1:15" x14ac:dyDescent="0.25">
      <c r="A248" s="159"/>
      <c r="B248" s="161"/>
      <c r="C248" s="228"/>
      <c r="D248" s="161"/>
      <c r="E248" s="162"/>
      <c r="F248" s="162"/>
      <c r="G248" s="154"/>
      <c r="H248" s="155"/>
      <c r="I248" s="156"/>
      <c r="J248" s="204"/>
      <c r="K248" s="154"/>
      <c r="L248" s="155"/>
      <c r="M248" s="156"/>
      <c r="N248" s="204"/>
      <c r="O248" s="161"/>
    </row>
    <row r="249" spans="1:15" x14ac:dyDescent="0.25">
      <c r="A249" s="159"/>
      <c r="B249" s="161"/>
      <c r="C249" s="228"/>
      <c r="D249" s="161"/>
      <c r="E249" s="162"/>
      <c r="F249" s="162"/>
      <c r="G249" s="154"/>
      <c r="H249" s="155"/>
      <c r="I249" s="156"/>
      <c r="J249" s="204"/>
      <c r="K249" s="154"/>
      <c r="L249" s="155"/>
      <c r="M249" s="156"/>
      <c r="N249" s="204"/>
      <c r="O249" s="161"/>
    </row>
    <row r="250" spans="1:15" x14ac:dyDescent="0.25">
      <c r="A250" s="159"/>
      <c r="B250" s="161"/>
      <c r="C250" s="228"/>
      <c r="D250" s="161"/>
      <c r="E250" s="162"/>
      <c r="F250" s="162"/>
      <c r="G250" s="154"/>
      <c r="H250" s="155"/>
      <c r="I250" s="156"/>
      <c r="J250" s="204"/>
      <c r="K250" s="154"/>
      <c r="L250" s="155"/>
      <c r="M250" s="156"/>
      <c r="N250" s="204"/>
      <c r="O250" s="161"/>
    </row>
    <row r="251" spans="1:15" x14ac:dyDescent="0.25">
      <c r="A251" s="159"/>
      <c r="B251" s="161"/>
      <c r="C251" s="228"/>
      <c r="D251" s="161"/>
      <c r="E251" s="162"/>
      <c r="F251" s="162"/>
      <c r="G251" s="154"/>
      <c r="H251" s="155"/>
      <c r="I251" s="156"/>
      <c r="J251" s="204"/>
      <c r="K251" s="154"/>
      <c r="L251" s="155"/>
      <c r="M251" s="156"/>
      <c r="N251" s="204"/>
      <c r="O251" s="161"/>
    </row>
    <row r="252" spans="1:15" x14ac:dyDescent="0.25">
      <c r="A252" s="159"/>
      <c r="B252" s="161"/>
      <c r="C252" s="228"/>
      <c r="D252" s="161"/>
      <c r="E252" s="162"/>
      <c r="F252" s="162"/>
      <c r="G252" s="154"/>
      <c r="H252" s="155"/>
      <c r="I252" s="156"/>
      <c r="J252" s="204"/>
      <c r="K252" s="154"/>
      <c r="L252" s="155"/>
      <c r="M252" s="156"/>
      <c r="N252" s="204"/>
      <c r="O252" s="161"/>
    </row>
    <row r="253" spans="1:15" x14ac:dyDescent="0.25">
      <c r="A253" s="159"/>
      <c r="B253" s="161"/>
      <c r="C253" s="228"/>
      <c r="D253" s="161"/>
      <c r="E253" s="162"/>
      <c r="F253" s="162"/>
      <c r="G253" s="154"/>
      <c r="H253" s="155"/>
      <c r="I253" s="156"/>
      <c r="J253" s="204"/>
      <c r="K253" s="154"/>
      <c r="L253" s="155"/>
      <c r="M253" s="156"/>
      <c r="N253" s="204"/>
      <c r="O253" s="161"/>
    </row>
    <row r="254" spans="1:15" x14ac:dyDescent="0.25">
      <c r="A254" s="159"/>
      <c r="B254" s="161"/>
      <c r="C254" s="228"/>
      <c r="D254" s="161"/>
      <c r="E254" s="162"/>
      <c r="F254" s="162"/>
      <c r="G254" s="154"/>
      <c r="H254" s="155"/>
      <c r="I254" s="156"/>
      <c r="J254" s="204"/>
      <c r="K254" s="154"/>
      <c r="L254" s="155"/>
      <c r="M254" s="156"/>
      <c r="N254" s="204"/>
      <c r="O254" s="161"/>
    </row>
    <row r="255" spans="1:15" x14ac:dyDescent="0.25">
      <c r="A255" s="159"/>
      <c r="B255" s="161"/>
      <c r="C255" s="228"/>
      <c r="D255" s="161"/>
      <c r="E255" s="162"/>
      <c r="F255" s="162"/>
      <c r="G255" s="154"/>
      <c r="H255" s="155"/>
      <c r="I255" s="156"/>
      <c r="J255" s="204"/>
      <c r="K255" s="154"/>
      <c r="L255" s="155"/>
      <c r="M255" s="156"/>
      <c r="N255" s="204"/>
      <c r="O255" s="161"/>
    </row>
    <row r="256" spans="1:15" x14ac:dyDescent="0.25">
      <c r="A256" s="159"/>
      <c r="B256" s="161"/>
      <c r="C256" s="228"/>
      <c r="D256" s="161"/>
      <c r="E256" s="162"/>
      <c r="F256" s="162"/>
      <c r="G256" s="154"/>
      <c r="H256" s="155"/>
      <c r="I256" s="156"/>
      <c r="J256" s="204"/>
      <c r="K256" s="154"/>
      <c r="L256" s="155"/>
      <c r="M256" s="156"/>
      <c r="N256" s="204"/>
      <c r="O256" s="161"/>
    </row>
    <row r="257" spans="1:15" x14ac:dyDescent="0.25">
      <c r="A257" s="159"/>
      <c r="B257" s="161"/>
      <c r="C257" s="228"/>
      <c r="D257" s="161"/>
      <c r="E257" s="162"/>
      <c r="F257" s="162"/>
      <c r="G257" s="154"/>
      <c r="H257" s="155"/>
      <c r="I257" s="156"/>
      <c r="J257" s="204"/>
      <c r="K257" s="154"/>
      <c r="L257" s="155"/>
      <c r="M257" s="156"/>
      <c r="N257" s="204"/>
      <c r="O257" s="161"/>
    </row>
    <row r="258" spans="1:15" x14ac:dyDescent="0.25">
      <c r="A258" s="159"/>
      <c r="B258" s="161"/>
      <c r="C258" s="228"/>
      <c r="D258" s="161"/>
      <c r="E258" s="162"/>
      <c r="F258" s="162"/>
      <c r="G258" s="154"/>
      <c r="H258" s="155"/>
      <c r="I258" s="156"/>
      <c r="J258" s="204"/>
      <c r="K258" s="154"/>
      <c r="L258" s="155"/>
      <c r="M258" s="156"/>
      <c r="N258" s="204"/>
      <c r="O258" s="161"/>
    </row>
    <row r="259" spans="1:15" x14ac:dyDescent="0.25">
      <c r="A259" s="159"/>
      <c r="B259" s="161"/>
      <c r="C259" s="228"/>
      <c r="D259" s="161"/>
      <c r="E259" s="162"/>
      <c r="F259" s="162"/>
      <c r="G259" s="154"/>
      <c r="H259" s="155"/>
      <c r="I259" s="156"/>
      <c r="J259" s="204"/>
      <c r="K259" s="154"/>
      <c r="L259" s="155"/>
      <c r="M259" s="156"/>
      <c r="N259" s="204"/>
      <c r="O259" s="161"/>
    </row>
    <row r="260" spans="1:15" x14ac:dyDescent="0.25">
      <c r="A260" s="159"/>
      <c r="B260" s="161"/>
      <c r="C260" s="228"/>
      <c r="D260" s="161"/>
      <c r="E260" s="162"/>
      <c r="F260" s="162"/>
      <c r="G260" s="154"/>
      <c r="H260" s="155"/>
      <c r="I260" s="156"/>
      <c r="J260" s="204"/>
      <c r="K260" s="154"/>
      <c r="L260" s="155"/>
      <c r="M260" s="156"/>
      <c r="N260" s="204"/>
      <c r="O260" s="161"/>
    </row>
    <row r="261" spans="1:15" x14ac:dyDescent="0.25">
      <c r="A261" s="159"/>
      <c r="B261" s="161"/>
      <c r="C261" s="228"/>
      <c r="D261" s="161"/>
      <c r="E261" s="162"/>
      <c r="F261" s="162"/>
      <c r="G261" s="154"/>
      <c r="H261" s="155"/>
      <c r="I261" s="156"/>
      <c r="J261" s="204"/>
      <c r="K261" s="154"/>
      <c r="L261" s="155"/>
      <c r="M261" s="156"/>
      <c r="N261" s="204"/>
      <c r="O261" s="161"/>
    </row>
    <row r="262" spans="1:15" x14ac:dyDescent="0.25">
      <c r="A262" s="159"/>
      <c r="B262" s="161"/>
      <c r="C262" s="228"/>
      <c r="D262" s="161"/>
      <c r="E262" s="162"/>
      <c r="F262" s="162"/>
      <c r="G262" s="154"/>
      <c r="H262" s="155"/>
      <c r="I262" s="156"/>
      <c r="J262" s="204"/>
      <c r="K262" s="154"/>
      <c r="L262" s="155"/>
      <c r="M262" s="156"/>
      <c r="N262" s="204"/>
      <c r="O262" s="161"/>
    </row>
    <row r="263" spans="1:15" x14ac:dyDescent="0.25">
      <c r="A263" s="159"/>
      <c r="B263" s="161"/>
      <c r="C263" s="228"/>
      <c r="D263" s="161"/>
      <c r="E263" s="162"/>
      <c r="F263" s="162"/>
      <c r="G263" s="154"/>
      <c r="H263" s="155"/>
      <c r="I263" s="156"/>
      <c r="J263" s="204"/>
      <c r="K263" s="154"/>
      <c r="L263" s="155"/>
      <c r="M263" s="156"/>
      <c r="N263" s="204"/>
      <c r="O263" s="161"/>
    </row>
    <row r="264" spans="1:15" x14ac:dyDescent="0.25">
      <c r="A264" s="159"/>
      <c r="B264" s="161"/>
      <c r="C264" s="228"/>
      <c r="D264" s="161"/>
      <c r="E264" s="162"/>
      <c r="F264" s="162"/>
      <c r="G264" s="154"/>
      <c r="H264" s="155"/>
      <c r="I264" s="156"/>
      <c r="J264" s="204"/>
      <c r="K264" s="154"/>
      <c r="L264" s="155"/>
      <c r="M264" s="156"/>
      <c r="N264" s="204"/>
      <c r="O264" s="161"/>
    </row>
    <row r="265" spans="1:15" x14ac:dyDescent="0.25">
      <c r="A265" s="159"/>
      <c r="B265" s="161"/>
      <c r="C265" s="228"/>
      <c r="D265" s="161"/>
      <c r="E265" s="162"/>
      <c r="F265" s="162"/>
      <c r="G265" s="154"/>
      <c r="H265" s="155"/>
      <c r="I265" s="156"/>
      <c r="J265" s="204"/>
      <c r="K265" s="154"/>
      <c r="L265" s="155"/>
      <c r="M265" s="156"/>
      <c r="N265" s="204"/>
      <c r="O265" s="161"/>
    </row>
    <row r="266" spans="1:15" x14ac:dyDescent="0.25">
      <c r="A266" s="159"/>
      <c r="B266" s="161"/>
      <c r="C266" s="228"/>
      <c r="D266" s="161"/>
      <c r="E266" s="162"/>
      <c r="F266" s="162"/>
      <c r="G266" s="154"/>
      <c r="H266" s="155"/>
      <c r="I266" s="156"/>
      <c r="J266" s="204"/>
      <c r="K266" s="154"/>
      <c r="L266" s="155"/>
      <c r="M266" s="156"/>
      <c r="N266" s="204"/>
      <c r="O266" s="161"/>
    </row>
    <row r="267" spans="1:15" x14ac:dyDescent="0.25">
      <c r="A267" s="159"/>
      <c r="B267" s="161"/>
      <c r="C267" s="228"/>
      <c r="D267" s="161"/>
      <c r="E267" s="162"/>
      <c r="F267" s="162"/>
      <c r="G267" s="154"/>
      <c r="H267" s="155"/>
      <c r="I267" s="156"/>
      <c r="J267" s="204"/>
      <c r="K267" s="154"/>
      <c r="L267" s="155"/>
      <c r="M267" s="156"/>
      <c r="N267" s="204"/>
      <c r="O267" s="161"/>
    </row>
    <row r="268" spans="1:15" x14ac:dyDescent="0.25">
      <c r="A268" s="159"/>
      <c r="B268" s="161"/>
      <c r="C268" s="228"/>
      <c r="D268" s="161"/>
      <c r="E268" s="162"/>
      <c r="F268" s="162"/>
      <c r="G268" s="154"/>
      <c r="H268" s="155"/>
      <c r="I268" s="156"/>
      <c r="J268" s="204"/>
      <c r="K268" s="154"/>
      <c r="L268" s="155"/>
      <c r="M268" s="156"/>
      <c r="N268" s="204"/>
      <c r="O268" s="161"/>
    </row>
    <row r="269" spans="1:15" x14ac:dyDescent="0.25">
      <c r="A269" s="159"/>
      <c r="B269" s="161"/>
      <c r="C269" s="228"/>
      <c r="D269" s="161"/>
      <c r="E269" s="162"/>
      <c r="F269" s="162"/>
      <c r="G269" s="154"/>
      <c r="H269" s="155"/>
      <c r="I269" s="156"/>
      <c r="J269" s="204"/>
      <c r="K269" s="154"/>
      <c r="L269" s="155"/>
      <c r="M269" s="156"/>
      <c r="N269" s="204"/>
      <c r="O269" s="161"/>
    </row>
    <row r="270" spans="1:15" x14ac:dyDescent="0.25">
      <c r="A270" s="159"/>
      <c r="B270" s="161"/>
      <c r="C270" s="228"/>
      <c r="D270" s="161"/>
      <c r="E270" s="162"/>
      <c r="F270" s="162"/>
      <c r="G270" s="154"/>
      <c r="H270" s="155"/>
      <c r="I270" s="156"/>
      <c r="J270" s="204"/>
      <c r="K270" s="154"/>
      <c r="L270" s="155"/>
      <c r="M270" s="156"/>
      <c r="N270" s="204"/>
      <c r="O270" s="161"/>
    </row>
    <row r="271" spans="1:15" x14ac:dyDescent="0.25">
      <c r="A271" s="159"/>
      <c r="B271" s="161"/>
      <c r="C271" s="228"/>
      <c r="D271" s="161"/>
      <c r="E271" s="162"/>
      <c r="F271" s="162"/>
      <c r="G271" s="154"/>
      <c r="H271" s="155"/>
      <c r="I271" s="156"/>
      <c r="J271" s="204"/>
      <c r="K271" s="154"/>
      <c r="L271" s="155"/>
      <c r="M271" s="156"/>
      <c r="N271" s="204"/>
      <c r="O271" s="161"/>
    </row>
    <row r="272" spans="1:15" x14ac:dyDescent="0.25">
      <c r="A272" s="159"/>
      <c r="B272" s="161"/>
      <c r="C272" s="228"/>
      <c r="D272" s="161"/>
      <c r="E272" s="162"/>
      <c r="F272" s="162"/>
      <c r="G272" s="154"/>
      <c r="H272" s="155"/>
      <c r="I272" s="156"/>
      <c r="J272" s="204"/>
      <c r="K272" s="154"/>
      <c r="L272" s="155"/>
      <c r="M272" s="156"/>
      <c r="N272" s="204"/>
      <c r="O272" s="161"/>
    </row>
    <row r="273" spans="1:15" x14ac:dyDescent="0.25">
      <c r="A273" s="159"/>
      <c r="B273" s="161"/>
      <c r="C273" s="228"/>
      <c r="D273" s="161"/>
      <c r="E273" s="162"/>
      <c r="F273" s="162"/>
      <c r="G273" s="154"/>
      <c r="H273" s="155"/>
      <c r="I273" s="156"/>
      <c r="J273" s="204"/>
      <c r="K273" s="154"/>
      <c r="L273" s="155"/>
      <c r="M273" s="156"/>
      <c r="N273" s="204"/>
      <c r="O273" s="161"/>
    </row>
    <row r="274" spans="1:15" x14ac:dyDescent="0.25">
      <c r="A274" s="159"/>
      <c r="B274" s="161"/>
      <c r="C274" s="228"/>
      <c r="D274" s="161"/>
      <c r="E274" s="162"/>
      <c r="F274" s="162"/>
      <c r="G274" s="154"/>
      <c r="H274" s="155"/>
      <c r="I274" s="156"/>
      <c r="J274" s="204"/>
      <c r="K274" s="154"/>
      <c r="L274" s="155"/>
      <c r="M274" s="156"/>
      <c r="N274" s="204"/>
      <c r="O274" s="161"/>
    </row>
    <row r="275" spans="1:15" x14ac:dyDescent="0.25">
      <c r="A275" s="159"/>
      <c r="B275" s="161"/>
      <c r="C275" s="228"/>
      <c r="D275" s="161"/>
      <c r="E275" s="162"/>
      <c r="F275" s="162"/>
      <c r="G275" s="154"/>
      <c r="H275" s="155"/>
      <c r="I275" s="156"/>
      <c r="J275" s="204"/>
      <c r="K275" s="154"/>
      <c r="L275" s="155"/>
      <c r="M275" s="156"/>
      <c r="N275" s="204"/>
      <c r="O275" s="161"/>
    </row>
    <row r="276" spans="1:15" x14ac:dyDescent="0.25">
      <c r="A276" s="159"/>
      <c r="B276" s="161"/>
      <c r="C276" s="228"/>
      <c r="D276" s="161"/>
      <c r="E276" s="162"/>
      <c r="F276" s="162"/>
      <c r="G276" s="154"/>
      <c r="H276" s="155"/>
      <c r="I276" s="156"/>
      <c r="J276" s="204"/>
      <c r="K276" s="154"/>
      <c r="L276" s="155"/>
      <c r="M276" s="156"/>
      <c r="N276" s="204"/>
      <c r="O276" s="161"/>
    </row>
    <row r="277" spans="1:15" x14ac:dyDescent="0.25">
      <c r="A277" s="159"/>
      <c r="B277" s="161"/>
      <c r="C277" s="228"/>
      <c r="D277" s="161"/>
      <c r="E277" s="162"/>
      <c r="F277" s="162"/>
      <c r="G277" s="154"/>
      <c r="H277" s="155"/>
      <c r="I277" s="156"/>
      <c r="J277" s="204"/>
      <c r="K277" s="154"/>
      <c r="L277" s="155"/>
      <c r="M277" s="156"/>
      <c r="N277" s="204"/>
      <c r="O277" s="161"/>
    </row>
    <row r="278" spans="1:15" x14ac:dyDescent="0.25">
      <c r="A278" s="159"/>
      <c r="B278" s="161"/>
      <c r="C278" s="228"/>
      <c r="D278" s="161"/>
      <c r="E278" s="162"/>
      <c r="F278" s="162"/>
      <c r="G278" s="154"/>
      <c r="H278" s="155"/>
      <c r="I278" s="156"/>
      <c r="J278" s="204"/>
      <c r="K278" s="154"/>
      <c r="L278" s="155"/>
      <c r="M278" s="156"/>
      <c r="N278" s="204"/>
      <c r="O278" s="161"/>
    </row>
    <row r="279" spans="1:15" x14ac:dyDescent="0.25">
      <c r="A279" s="159"/>
      <c r="B279" s="161"/>
      <c r="C279" s="228"/>
      <c r="D279" s="161"/>
      <c r="E279" s="162"/>
      <c r="F279" s="162"/>
      <c r="G279" s="154"/>
      <c r="H279" s="155"/>
      <c r="I279" s="156"/>
      <c r="J279" s="204"/>
      <c r="K279" s="154"/>
      <c r="L279" s="155"/>
      <c r="M279" s="156"/>
      <c r="N279" s="204"/>
      <c r="O279" s="161"/>
    </row>
    <row r="280" spans="1:15" x14ac:dyDescent="0.25">
      <c r="A280" s="159"/>
      <c r="B280" s="161"/>
      <c r="C280" s="228"/>
      <c r="D280" s="161"/>
      <c r="E280" s="162"/>
      <c r="F280" s="162"/>
      <c r="G280" s="154"/>
      <c r="H280" s="155"/>
      <c r="I280" s="156"/>
      <c r="J280" s="204"/>
      <c r="K280" s="154"/>
      <c r="L280" s="155"/>
      <c r="M280" s="156"/>
      <c r="N280" s="204"/>
      <c r="O280" s="161"/>
    </row>
    <row r="281" spans="1:15" x14ac:dyDescent="0.25">
      <c r="A281" s="159"/>
      <c r="B281" s="161"/>
      <c r="C281" s="228"/>
      <c r="D281" s="161"/>
      <c r="E281" s="162"/>
      <c r="F281" s="162"/>
      <c r="G281" s="154"/>
      <c r="H281" s="155"/>
      <c r="I281" s="156"/>
      <c r="J281" s="204"/>
      <c r="K281" s="154"/>
      <c r="L281" s="155"/>
      <c r="M281" s="156"/>
      <c r="N281" s="204"/>
      <c r="O281" s="161"/>
    </row>
    <row r="282" spans="1:15" x14ac:dyDescent="0.25">
      <c r="A282" s="159"/>
      <c r="B282" s="161"/>
      <c r="C282" s="228"/>
      <c r="D282" s="161"/>
      <c r="E282" s="162"/>
      <c r="F282" s="162"/>
      <c r="G282" s="154"/>
      <c r="H282" s="155"/>
      <c r="I282" s="156"/>
      <c r="J282" s="204"/>
      <c r="K282" s="154"/>
      <c r="L282" s="155"/>
      <c r="M282" s="156"/>
      <c r="N282" s="204"/>
      <c r="O282" s="161"/>
    </row>
    <row r="283" spans="1:15" x14ac:dyDescent="0.25">
      <c r="A283" s="159"/>
      <c r="B283" s="161"/>
      <c r="C283" s="228"/>
      <c r="D283" s="161"/>
      <c r="E283" s="162"/>
      <c r="F283" s="162"/>
      <c r="G283" s="154"/>
      <c r="H283" s="155"/>
      <c r="I283" s="156"/>
      <c r="J283" s="204"/>
      <c r="K283" s="154"/>
      <c r="L283" s="155"/>
      <c r="M283" s="156"/>
      <c r="N283" s="204"/>
      <c r="O283" s="161"/>
    </row>
    <row r="284" spans="1:15" x14ac:dyDescent="0.25">
      <c r="A284" s="159"/>
      <c r="B284" s="161"/>
      <c r="C284" s="228"/>
      <c r="D284" s="161"/>
      <c r="E284" s="162"/>
      <c r="F284" s="162"/>
      <c r="G284" s="154"/>
      <c r="H284" s="155"/>
      <c r="I284" s="156"/>
      <c r="J284" s="204"/>
      <c r="K284" s="154"/>
      <c r="L284" s="155"/>
      <c r="M284" s="156"/>
      <c r="N284" s="204"/>
      <c r="O284" s="161"/>
    </row>
    <row r="285" spans="1:15" x14ac:dyDescent="0.25">
      <c r="A285" s="159"/>
      <c r="B285" s="161"/>
      <c r="C285" s="228"/>
      <c r="D285" s="161"/>
      <c r="E285" s="162"/>
      <c r="F285" s="162"/>
      <c r="G285" s="154"/>
      <c r="H285" s="155"/>
      <c r="I285" s="156"/>
      <c r="J285" s="204"/>
      <c r="K285" s="154"/>
      <c r="L285" s="155"/>
      <c r="M285" s="156"/>
      <c r="N285" s="204"/>
      <c r="O285" s="161"/>
    </row>
    <row r="286" spans="1:15" x14ac:dyDescent="0.25">
      <c r="A286" s="159"/>
      <c r="B286" s="161"/>
      <c r="C286" s="228"/>
      <c r="D286" s="161"/>
      <c r="E286" s="162"/>
      <c r="F286" s="162"/>
      <c r="G286" s="154"/>
      <c r="H286" s="155"/>
      <c r="I286" s="156"/>
      <c r="J286" s="204"/>
      <c r="K286" s="154"/>
      <c r="L286" s="155"/>
      <c r="M286" s="156"/>
      <c r="N286" s="204"/>
      <c r="O286" s="161"/>
    </row>
    <row r="287" spans="1:15" x14ac:dyDescent="0.25">
      <c r="A287" s="159"/>
      <c r="B287" s="161"/>
      <c r="C287" s="228"/>
      <c r="D287" s="161"/>
      <c r="E287" s="162"/>
      <c r="F287" s="162"/>
      <c r="G287" s="154"/>
      <c r="H287" s="155"/>
      <c r="I287" s="156"/>
      <c r="J287" s="204"/>
      <c r="K287" s="154"/>
      <c r="L287" s="155"/>
      <c r="M287" s="156"/>
      <c r="N287" s="204"/>
      <c r="O287" s="161"/>
    </row>
    <row r="288" spans="1:15" x14ac:dyDescent="0.25">
      <c r="A288" s="159"/>
      <c r="B288" s="161"/>
      <c r="C288" s="228"/>
      <c r="D288" s="161"/>
      <c r="E288" s="162"/>
      <c r="F288" s="162"/>
      <c r="G288" s="154"/>
      <c r="H288" s="155"/>
      <c r="I288" s="156"/>
      <c r="J288" s="204"/>
      <c r="K288" s="154"/>
      <c r="L288" s="155"/>
      <c r="M288" s="156"/>
      <c r="N288" s="204"/>
      <c r="O288" s="161"/>
    </row>
    <row r="289" spans="1:15" x14ac:dyDescent="0.25">
      <c r="A289" s="159"/>
      <c r="B289" s="161"/>
      <c r="C289" s="228"/>
      <c r="D289" s="161"/>
      <c r="E289" s="162"/>
      <c r="F289" s="162"/>
      <c r="G289" s="154"/>
      <c r="H289" s="155"/>
      <c r="I289" s="156"/>
      <c r="J289" s="204"/>
      <c r="K289" s="154"/>
      <c r="L289" s="155"/>
      <c r="M289" s="156"/>
      <c r="N289" s="204"/>
      <c r="O289" s="161"/>
    </row>
    <row r="290" spans="1:15" x14ac:dyDescent="0.25">
      <c r="A290" s="159"/>
      <c r="B290" s="161"/>
      <c r="C290" s="228"/>
      <c r="D290" s="161"/>
      <c r="E290" s="162"/>
      <c r="F290" s="162"/>
      <c r="G290" s="154"/>
      <c r="H290" s="155"/>
      <c r="I290" s="156"/>
      <c r="J290" s="204"/>
      <c r="K290" s="154"/>
      <c r="L290" s="155"/>
      <c r="M290" s="156"/>
      <c r="N290" s="204"/>
      <c r="O290" s="161"/>
    </row>
    <row r="291" spans="1:15" x14ac:dyDescent="0.25">
      <c r="A291" s="159"/>
      <c r="B291" s="161"/>
      <c r="C291" s="228"/>
      <c r="D291" s="161"/>
      <c r="E291" s="162"/>
      <c r="F291" s="162"/>
      <c r="G291" s="154"/>
      <c r="H291" s="155"/>
      <c r="I291" s="156"/>
      <c r="J291" s="204"/>
      <c r="K291" s="154"/>
      <c r="L291" s="155"/>
      <c r="M291" s="156"/>
      <c r="N291" s="204"/>
      <c r="O291" s="161"/>
    </row>
    <row r="292" spans="1:15" x14ac:dyDescent="0.25">
      <c r="A292" s="159"/>
      <c r="B292" s="161"/>
      <c r="C292" s="228"/>
      <c r="D292" s="161"/>
      <c r="E292" s="162"/>
      <c r="F292" s="162"/>
      <c r="G292" s="154"/>
      <c r="H292" s="155"/>
      <c r="I292" s="156"/>
      <c r="J292" s="204"/>
      <c r="K292" s="154"/>
      <c r="L292" s="155"/>
      <c r="M292" s="156"/>
      <c r="N292" s="204"/>
      <c r="O292" s="161"/>
    </row>
    <row r="293" spans="1:15" x14ac:dyDescent="0.25">
      <c r="A293" s="159"/>
      <c r="B293" s="161"/>
      <c r="C293" s="228"/>
      <c r="D293" s="161"/>
      <c r="E293" s="162"/>
      <c r="F293" s="162"/>
      <c r="G293" s="154"/>
      <c r="H293" s="155"/>
      <c r="I293" s="156"/>
      <c r="J293" s="204"/>
      <c r="K293" s="154"/>
      <c r="L293" s="155"/>
      <c r="M293" s="156"/>
      <c r="N293" s="204"/>
      <c r="O293" s="161"/>
    </row>
    <row r="294" spans="1:15" x14ac:dyDescent="0.25">
      <c r="A294" s="159"/>
      <c r="B294" s="161"/>
      <c r="C294" s="228"/>
      <c r="D294" s="161"/>
      <c r="E294" s="162"/>
      <c r="F294" s="162"/>
      <c r="G294" s="154"/>
      <c r="H294" s="155"/>
      <c r="I294" s="156"/>
      <c r="J294" s="204"/>
      <c r="K294" s="154"/>
      <c r="L294" s="155"/>
      <c r="M294" s="156"/>
      <c r="N294" s="204"/>
      <c r="O294" s="161"/>
    </row>
    <row r="295" spans="1:15" x14ac:dyDescent="0.25">
      <c r="A295" s="159"/>
      <c r="B295" s="161"/>
      <c r="C295" s="228"/>
      <c r="D295" s="161"/>
      <c r="E295" s="162"/>
      <c r="F295" s="162"/>
      <c r="G295" s="154"/>
      <c r="H295" s="155"/>
      <c r="I295" s="156"/>
      <c r="J295" s="204"/>
      <c r="K295" s="154"/>
      <c r="L295" s="155"/>
      <c r="M295" s="156"/>
      <c r="N295" s="204"/>
      <c r="O295" s="161"/>
    </row>
    <row r="296" spans="1:15" x14ac:dyDescent="0.25">
      <c r="A296" s="159"/>
      <c r="B296" s="161"/>
      <c r="C296" s="228"/>
      <c r="D296" s="161"/>
      <c r="E296" s="162"/>
      <c r="F296" s="162"/>
      <c r="G296" s="154"/>
      <c r="H296" s="155"/>
      <c r="I296" s="156"/>
      <c r="J296" s="204"/>
      <c r="K296" s="154"/>
      <c r="L296" s="155"/>
      <c r="M296" s="156"/>
      <c r="N296" s="204"/>
      <c r="O296" s="161"/>
    </row>
    <row r="297" spans="1:15" x14ac:dyDescent="0.25">
      <c r="A297" s="159"/>
      <c r="B297" s="161"/>
      <c r="C297" s="228"/>
      <c r="D297" s="161"/>
      <c r="E297" s="162"/>
      <c r="F297" s="162"/>
      <c r="G297" s="154"/>
      <c r="H297" s="155"/>
      <c r="I297" s="156"/>
      <c r="J297" s="204"/>
      <c r="K297" s="154"/>
      <c r="L297" s="155"/>
      <c r="M297" s="156"/>
      <c r="N297" s="204"/>
      <c r="O297" s="161"/>
    </row>
    <row r="298" spans="1:15" x14ac:dyDescent="0.25">
      <c r="A298" s="159"/>
      <c r="B298" s="161"/>
      <c r="C298" s="228"/>
      <c r="D298" s="161"/>
      <c r="E298" s="162"/>
      <c r="F298" s="162"/>
      <c r="G298" s="154"/>
      <c r="H298" s="155"/>
      <c r="I298" s="156"/>
      <c r="J298" s="204"/>
      <c r="K298" s="154"/>
      <c r="L298" s="155"/>
      <c r="M298" s="156"/>
      <c r="N298" s="204"/>
      <c r="O298" s="161"/>
    </row>
    <row r="299" spans="1:15" x14ac:dyDescent="0.25">
      <c r="A299" s="159"/>
      <c r="B299" s="161"/>
      <c r="C299" s="228"/>
      <c r="D299" s="161"/>
      <c r="E299" s="162"/>
      <c r="F299" s="162"/>
      <c r="G299" s="154"/>
      <c r="H299" s="155"/>
      <c r="I299" s="156"/>
      <c r="J299" s="204"/>
      <c r="K299" s="154"/>
      <c r="L299" s="155"/>
      <c r="M299" s="156"/>
      <c r="N299" s="204"/>
      <c r="O299" s="161"/>
    </row>
    <row r="300" spans="1:15" x14ac:dyDescent="0.25">
      <c r="A300" s="159"/>
      <c r="B300" s="161"/>
      <c r="C300" s="228"/>
      <c r="D300" s="161"/>
      <c r="E300" s="162"/>
      <c r="F300" s="162"/>
      <c r="G300" s="154"/>
      <c r="H300" s="155"/>
      <c r="I300" s="156"/>
      <c r="J300" s="204"/>
      <c r="K300" s="154"/>
      <c r="L300" s="155"/>
      <c r="M300" s="156"/>
      <c r="N300" s="204"/>
      <c r="O300" s="161"/>
    </row>
    <row r="301" spans="1:15" x14ac:dyDescent="0.25">
      <c r="A301" s="159"/>
      <c r="B301" s="161"/>
      <c r="C301" s="228"/>
      <c r="D301" s="161"/>
      <c r="E301" s="162"/>
      <c r="F301" s="162"/>
      <c r="G301" s="154"/>
      <c r="H301" s="155"/>
      <c r="I301" s="156"/>
      <c r="J301" s="204"/>
      <c r="K301" s="154"/>
      <c r="L301" s="155"/>
      <c r="M301" s="156"/>
      <c r="N301" s="204"/>
      <c r="O301" s="161"/>
    </row>
    <row r="302" spans="1:15" x14ac:dyDescent="0.25">
      <c r="A302" s="159"/>
      <c r="B302" s="161"/>
      <c r="C302" s="228"/>
      <c r="D302" s="161"/>
      <c r="E302" s="162"/>
      <c r="F302" s="162"/>
      <c r="G302" s="154"/>
      <c r="H302" s="155"/>
      <c r="I302" s="156"/>
      <c r="J302" s="204"/>
      <c r="K302" s="154"/>
      <c r="L302" s="155"/>
      <c r="M302" s="156"/>
      <c r="N302" s="204"/>
      <c r="O302" s="161"/>
    </row>
    <row r="303" spans="1:15" x14ac:dyDescent="0.25">
      <c r="A303" s="159"/>
      <c r="B303" s="161"/>
      <c r="C303" s="228"/>
      <c r="D303" s="161"/>
      <c r="E303" s="162"/>
      <c r="F303" s="162"/>
      <c r="G303" s="154"/>
      <c r="H303" s="155"/>
      <c r="I303" s="156"/>
      <c r="J303" s="204"/>
      <c r="K303" s="154"/>
      <c r="L303" s="155"/>
      <c r="M303" s="156"/>
      <c r="N303" s="204"/>
      <c r="O303" s="161"/>
    </row>
    <row r="304" spans="1:15" x14ac:dyDescent="0.25">
      <c r="A304" s="159"/>
      <c r="B304" s="161"/>
      <c r="C304" s="228"/>
      <c r="D304" s="161"/>
      <c r="E304" s="162"/>
      <c r="F304" s="162"/>
      <c r="G304" s="154"/>
      <c r="H304" s="155"/>
      <c r="I304" s="156"/>
      <c r="J304" s="204"/>
      <c r="K304" s="154"/>
      <c r="L304" s="155"/>
      <c r="M304" s="156"/>
      <c r="N304" s="204"/>
      <c r="O304" s="161"/>
    </row>
    <row r="305" spans="1:15" x14ac:dyDescent="0.25">
      <c r="A305" s="159"/>
      <c r="B305" s="161"/>
      <c r="C305" s="228"/>
      <c r="D305" s="161"/>
      <c r="E305" s="162"/>
      <c r="F305" s="162"/>
      <c r="G305" s="154"/>
      <c r="H305" s="155"/>
      <c r="I305" s="156"/>
      <c r="J305" s="204"/>
      <c r="K305" s="154"/>
      <c r="L305" s="155"/>
      <c r="M305" s="156"/>
      <c r="N305" s="204"/>
      <c r="O305" s="161"/>
    </row>
    <row r="306" spans="1:15" x14ac:dyDescent="0.25">
      <c r="A306" s="159"/>
      <c r="B306" s="161"/>
      <c r="C306" s="228"/>
      <c r="D306" s="161"/>
      <c r="E306" s="162"/>
      <c r="F306" s="162"/>
      <c r="G306" s="154"/>
      <c r="H306" s="155"/>
      <c r="I306" s="156"/>
      <c r="J306" s="204"/>
      <c r="K306" s="154"/>
      <c r="L306" s="155"/>
      <c r="M306" s="156"/>
      <c r="N306" s="204"/>
      <c r="O306" s="161"/>
    </row>
    <row r="307" spans="1:15" x14ac:dyDescent="0.25">
      <c r="A307" s="159"/>
      <c r="B307" s="161"/>
      <c r="C307" s="228"/>
      <c r="D307" s="161"/>
      <c r="E307" s="162"/>
      <c r="F307" s="162"/>
      <c r="G307" s="154"/>
      <c r="H307" s="155"/>
      <c r="I307" s="156"/>
      <c r="J307" s="204"/>
      <c r="K307" s="154"/>
      <c r="L307" s="155"/>
      <c r="M307" s="156"/>
      <c r="N307" s="204"/>
      <c r="O307" s="161"/>
    </row>
    <row r="308" spans="1:15" x14ac:dyDescent="0.25">
      <c r="A308" s="159"/>
      <c r="B308" s="161"/>
      <c r="C308" s="228"/>
      <c r="D308" s="161"/>
      <c r="E308" s="162"/>
      <c r="F308" s="162"/>
      <c r="G308" s="154"/>
      <c r="H308" s="155"/>
      <c r="I308" s="156"/>
      <c r="J308" s="204"/>
      <c r="K308" s="154"/>
      <c r="L308" s="155"/>
      <c r="M308" s="156"/>
      <c r="N308" s="204"/>
      <c r="O308" s="161"/>
    </row>
    <row r="309" spans="1:15" x14ac:dyDescent="0.25">
      <c r="A309" s="159"/>
      <c r="B309" s="161"/>
      <c r="C309" s="228"/>
      <c r="D309" s="161"/>
      <c r="E309" s="162"/>
      <c r="F309" s="162"/>
      <c r="G309" s="154"/>
      <c r="H309" s="155"/>
      <c r="I309" s="156"/>
      <c r="J309" s="204"/>
      <c r="K309" s="154"/>
      <c r="L309" s="155"/>
      <c r="M309" s="156"/>
      <c r="N309" s="204"/>
      <c r="O309" s="161"/>
    </row>
    <row r="310" spans="1:15" x14ac:dyDescent="0.25">
      <c r="A310" s="159"/>
      <c r="B310" s="161"/>
      <c r="C310" s="228"/>
      <c r="D310" s="161"/>
      <c r="E310" s="162"/>
      <c r="F310" s="162"/>
      <c r="G310" s="154"/>
      <c r="H310" s="155"/>
      <c r="I310" s="156"/>
      <c r="J310" s="204"/>
      <c r="K310" s="154"/>
      <c r="L310" s="155"/>
      <c r="M310" s="156"/>
      <c r="N310" s="204"/>
      <c r="O310" s="161"/>
    </row>
    <row r="311" spans="1:15" x14ac:dyDescent="0.25">
      <c r="A311" s="159"/>
      <c r="B311" s="161"/>
      <c r="C311" s="228"/>
      <c r="D311" s="161"/>
      <c r="E311" s="162"/>
      <c r="F311" s="162"/>
      <c r="G311" s="154"/>
      <c r="H311" s="155"/>
      <c r="I311" s="156"/>
      <c r="J311" s="204"/>
      <c r="K311" s="154"/>
      <c r="L311" s="155"/>
      <c r="M311" s="156"/>
      <c r="N311" s="204"/>
      <c r="O311" s="161"/>
    </row>
    <row r="312" spans="1:15" x14ac:dyDescent="0.25">
      <c r="A312" s="159"/>
      <c r="B312" s="161"/>
      <c r="C312" s="228"/>
      <c r="D312" s="161"/>
      <c r="E312" s="162"/>
      <c r="F312" s="162"/>
      <c r="G312" s="154"/>
      <c r="H312" s="155"/>
      <c r="I312" s="156"/>
      <c r="J312" s="204"/>
      <c r="K312" s="154"/>
      <c r="L312" s="155"/>
      <c r="M312" s="156"/>
      <c r="N312" s="204"/>
      <c r="O312" s="161"/>
    </row>
    <row r="313" spans="1:15" x14ac:dyDescent="0.25">
      <c r="A313" s="159"/>
      <c r="B313" s="161"/>
      <c r="C313" s="228"/>
      <c r="D313" s="161"/>
      <c r="E313" s="162"/>
      <c r="F313" s="162"/>
      <c r="G313" s="154"/>
      <c r="H313" s="155"/>
      <c r="I313" s="156"/>
      <c r="J313" s="204"/>
      <c r="K313" s="154"/>
      <c r="L313" s="155"/>
      <c r="M313" s="156"/>
      <c r="N313" s="204"/>
      <c r="O313" s="161"/>
    </row>
    <row r="314" spans="1:15" x14ac:dyDescent="0.25">
      <c r="A314" s="159"/>
      <c r="B314" s="161"/>
      <c r="C314" s="228"/>
      <c r="D314" s="161"/>
      <c r="E314" s="162"/>
      <c r="F314" s="162"/>
      <c r="G314" s="154"/>
      <c r="H314" s="155"/>
      <c r="I314" s="156"/>
      <c r="J314" s="204"/>
      <c r="K314" s="154"/>
      <c r="L314" s="155"/>
      <c r="M314" s="156"/>
      <c r="N314" s="204"/>
      <c r="O314" s="161"/>
    </row>
    <row r="315" spans="1:15" x14ac:dyDescent="0.25">
      <c r="A315" s="159"/>
      <c r="B315" s="161"/>
      <c r="C315" s="228"/>
      <c r="D315" s="161"/>
      <c r="E315" s="162"/>
      <c r="F315" s="162"/>
      <c r="G315" s="154"/>
      <c r="H315" s="155"/>
      <c r="I315" s="156"/>
      <c r="J315" s="204"/>
      <c r="K315" s="154"/>
      <c r="L315" s="155"/>
      <c r="M315" s="156"/>
      <c r="N315" s="204"/>
      <c r="O315" s="161"/>
    </row>
    <row r="316" spans="1:15" x14ac:dyDescent="0.25">
      <c r="A316" s="159"/>
      <c r="B316" s="161"/>
      <c r="C316" s="228"/>
      <c r="D316" s="161"/>
      <c r="E316" s="162"/>
      <c r="F316" s="162"/>
      <c r="G316" s="154"/>
      <c r="H316" s="155"/>
      <c r="I316" s="156"/>
      <c r="J316" s="204"/>
      <c r="K316" s="154"/>
      <c r="L316" s="155"/>
      <c r="M316" s="156"/>
      <c r="N316" s="204"/>
      <c r="O316" s="161"/>
    </row>
    <row r="317" spans="1:15" x14ac:dyDescent="0.25">
      <c r="A317" s="159"/>
      <c r="B317" s="161"/>
      <c r="C317" s="228"/>
      <c r="D317" s="161"/>
      <c r="E317" s="162"/>
      <c r="F317" s="162"/>
      <c r="G317" s="154"/>
      <c r="H317" s="155"/>
      <c r="I317" s="156"/>
      <c r="J317" s="204"/>
      <c r="K317" s="154"/>
      <c r="L317" s="155"/>
      <c r="M317" s="156"/>
      <c r="N317" s="204"/>
      <c r="O317" s="161"/>
    </row>
    <row r="318" spans="1:15" x14ac:dyDescent="0.25">
      <c r="A318" s="159"/>
      <c r="B318" s="161"/>
      <c r="C318" s="228"/>
      <c r="D318" s="161"/>
      <c r="E318" s="162"/>
      <c r="F318" s="162"/>
      <c r="G318" s="154"/>
      <c r="H318" s="155"/>
      <c r="I318" s="156"/>
      <c r="J318" s="204"/>
      <c r="K318" s="154"/>
      <c r="L318" s="155"/>
      <c r="M318" s="156"/>
      <c r="N318" s="204"/>
      <c r="O318" s="161"/>
    </row>
    <row r="319" spans="1:15" x14ac:dyDescent="0.25">
      <c r="A319" s="159"/>
      <c r="B319" s="161"/>
      <c r="C319" s="228"/>
      <c r="D319" s="161"/>
      <c r="E319" s="162"/>
      <c r="F319" s="162"/>
      <c r="G319" s="154"/>
      <c r="H319" s="155"/>
      <c r="I319" s="156"/>
      <c r="J319" s="204"/>
      <c r="K319" s="154"/>
      <c r="L319" s="155"/>
      <c r="M319" s="156"/>
      <c r="N319" s="204"/>
      <c r="O319" s="161"/>
    </row>
    <row r="320" spans="1:15" x14ac:dyDescent="0.25">
      <c r="A320" s="159"/>
      <c r="B320" s="161"/>
      <c r="C320" s="228"/>
      <c r="D320" s="161"/>
      <c r="E320" s="162"/>
      <c r="F320" s="162"/>
      <c r="G320" s="154"/>
      <c r="H320" s="155"/>
      <c r="I320" s="156"/>
      <c r="J320" s="204"/>
      <c r="K320" s="154"/>
      <c r="L320" s="155"/>
      <c r="M320" s="156"/>
      <c r="N320" s="204"/>
      <c r="O320" s="161"/>
    </row>
    <row r="321" spans="1:15" x14ac:dyDescent="0.25">
      <c r="A321" s="159"/>
      <c r="B321" s="161"/>
      <c r="C321" s="228"/>
      <c r="D321" s="161"/>
      <c r="E321" s="162"/>
      <c r="F321" s="162"/>
      <c r="G321" s="154"/>
      <c r="H321" s="155"/>
      <c r="I321" s="156"/>
      <c r="J321" s="204"/>
      <c r="K321" s="154"/>
      <c r="L321" s="155"/>
      <c r="M321" s="156"/>
      <c r="N321" s="204"/>
      <c r="O321" s="161"/>
    </row>
    <row r="322" spans="1:15" x14ac:dyDescent="0.25">
      <c r="A322" s="159"/>
      <c r="B322" s="161"/>
      <c r="C322" s="228"/>
      <c r="D322" s="161"/>
      <c r="E322" s="162"/>
      <c r="F322" s="162"/>
      <c r="G322" s="154"/>
      <c r="H322" s="155"/>
      <c r="I322" s="156"/>
      <c r="J322" s="204"/>
      <c r="K322" s="154"/>
      <c r="L322" s="155"/>
      <c r="M322" s="156"/>
      <c r="N322" s="204"/>
      <c r="O322" s="161"/>
    </row>
    <row r="323" spans="1:15" x14ac:dyDescent="0.25">
      <c r="A323" s="159"/>
      <c r="B323" s="161"/>
      <c r="C323" s="228"/>
      <c r="D323" s="161"/>
      <c r="E323" s="162"/>
      <c r="F323" s="162"/>
      <c r="G323" s="154"/>
      <c r="H323" s="155"/>
      <c r="I323" s="156"/>
      <c r="J323" s="204"/>
      <c r="K323" s="154"/>
      <c r="L323" s="155"/>
      <c r="M323" s="156"/>
      <c r="N323" s="204"/>
      <c r="O323" s="161"/>
    </row>
    <row r="324" spans="1:15" x14ac:dyDescent="0.25">
      <c r="A324" s="159"/>
      <c r="B324" s="161"/>
      <c r="C324" s="228"/>
      <c r="D324" s="161"/>
      <c r="E324" s="162"/>
      <c r="F324" s="162"/>
      <c r="G324" s="154"/>
      <c r="H324" s="155"/>
      <c r="I324" s="156"/>
      <c r="J324" s="204"/>
      <c r="K324" s="154"/>
      <c r="L324" s="155"/>
      <c r="M324" s="156"/>
      <c r="N324" s="204"/>
      <c r="O324" s="161"/>
    </row>
    <row r="325" spans="1:15" x14ac:dyDescent="0.25">
      <c r="A325" s="159"/>
      <c r="B325" s="161"/>
      <c r="C325" s="228"/>
      <c r="D325" s="161"/>
      <c r="E325" s="162"/>
      <c r="F325" s="162"/>
      <c r="G325" s="154"/>
      <c r="H325" s="155"/>
      <c r="I325" s="156"/>
      <c r="J325" s="204"/>
      <c r="K325" s="154"/>
      <c r="L325" s="155"/>
      <c r="M325" s="156"/>
      <c r="N325" s="204"/>
      <c r="O325" s="161"/>
    </row>
    <row r="326" spans="1:15" x14ac:dyDescent="0.25">
      <c r="A326" s="159"/>
      <c r="B326" s="161"/>
      <c r="C326" s="228"/>
      <c r="D326" s="161"/>
      <c r="E326" s="162"/>
      <c r="F326" s="162"/>
      <c r="G326" s="154"/>
      <c r="H326" s="155"/>
      <c r="I326" s="156"/>
      <c r="J326" s="204"/>
      <c r="K326" s="154"/>
      <c r="L326" s="155"/>
      <c r="M326" s="156"/>
      <c r="N326" s="204"/>
      <c r="O326" s="161"/>
    </row>
    <row r="327" spans="1:15" x14ac:dyDescent="0.25">
      <c r="A327" s="159"/>
      <c r="B327" s="161"/>
      <c r="C327" s="228"/>
      <c r="D327" s="161"/>
      <c r="E327" s="162"/>
      <c r="F327" s="162"/>
      <c r="G327" s="154"/>
      <c r="H327" s="155"/>
      <c r="I327" s="156"/>
      <c r="J327" s="204"/>
      <c r="K327" s="154"/>
      <c r="L327" s="155"/>
      <c r="M327" s="156"/>
      <c r="N327" s="204"/>
      <c r="O327" s="161"/>
    </row>
    <row r="328" spans="1:15" x14ac:dyDescent="0.25">
      <c r="A328" s="159"/>
      <c r="B328" s="161"/>
      <c r="C328" s="228"/>
      <c r="D328" s="161"/>
      <c r="E328" s="162"/>
      <c r="F328" s="162"/>
      <c r="G328" s="154"/>
      <c r="H328" s="155"/>
      <c r="I328" s="156"/>
      <c r="J328" s="204"/>
      <c r="K328" s="154"/>
      <c r="L328" s="155"/>
      <c r="M328" s="156"/>
      <c r="N328" s="204"/>
      <c r="O328" s="161"/>
    </row>
    <row r="329" spans="1:15" x14ac:dyDescent="0.25">
      <c r="A329" s="159"/>
      <c r="B329" s="161"/>
      <c r="C329" s="228"/>
      <c r="D329" s="161"/>
      <c r="E329" s="162"/>
      <c r="F329" s="162"/>
      <c r="G329" s="154"/>
      <c r="H329" s="155"/>
      <c r="I329" s="156"/>
      <c r="J329" s="204"/>
      <c r="K329" s="154"/>
      <c r="L329" s="155"/>
      <c r="M329" s="156"/>
      <c r="N329" s="204"/>
      <c r="O329" s="161"/>
    </row>
    <row r="330" spans="1:15" x14ac:dyDescent="0.25">
      <c r="A330" s="159"/>
      <c r="B330" s="161"/>
      <c r="C330" s="228"/>
      <c r="D330" s="161"/>
      <c r="E330" s="162"/>
      <c r="F330" s="162"/>
      <c r="G330" s="154"/>
      <c r="H330" s="155"/>
      <c r="I330" s="156"/>
      <c r="J330" s="204"/>
      <c r="K330" s="154"/>
      <c r="L330" s="155"/>
      <c r="M330" s="156"/>
      <c r="N330" s="204"/>
      <c r="O330" s="161"/>
    </row>
    <row r="331" spans="1:15" x14ac:dyDescent="0.25">
      <c r="A331" s="159"/>
      <c r="B331" s="161"/>
      <c r="C331" s="228"/>
      <c r="D331" s="161"/>
      <c r="E331" s="162"/>
      <c r="F331" s="162"/>
      <c r="G331" s="154"/>
      <c r="H331" s="155"/>
      <c r="I331" s="156"/>
      <c r="J331" s="204"/>
      <c r="K331" s="154"/>
      <c r="L331" s="155"/>
      <c r="M331" s="156"/>
      <c r="N331" s="204"/>
      <c r="O331" s="161"/>
    </row>
    <row r="332" spans="1:15" x14ac:dyDescent="0.25">
      <c r="A332" s="159"/>
      <c r="B332" s="161"/>
      <c r="C332" s="228"/>
      <c r="D332" s="161"/>
      <c r="E332" s="162"/>
      <c r="F332" s="162"/>
      <c r="G332" s="154"/>
      <c r="H332" s="155"/>
      <c r="I332" s="156"/>
      <c r="J332" s="204"/>
      <c r="K332" s="154"/>
      <c r="L332" s="155"/>
      <c r="M332" s="156"/>
      <c r="N332" s="204"/>
      <c r="O332" s="161"/>
    </row>
    <row r="333" spans="1:15" x14ac:dyDescent="0.25">
      <c r="A333" s="159"/>
      <c r="B333" s="161"/>
      <c r="C333" s="228"/>
      <c r="D333" s="161"/>
      <c r="E333" s="162"/>
      <c r="F333" s="162"/>
      <c r="G333" s="154"/>
      <c r="H333" s="155"/>
      <c r="I333" s="156"/>
      <c r="J333" s="204"/>
      <c r="K333" s="154"/>
      <c r="L333" s="155"/>
      <c r="M333" s="156"/>
      <c r="N333" s="204"/>
      <c r="O333" s="161"/>
    </row>
    <row r="334" spans="1:15" x14ac:dyDescent="0.25">
      <c r="A334" s="159"/>
      <c r="B334" s="161"/>
      <c r="C334" s="228"/>
      <c r="D334" s="161"/>
      <c r="E334" s="162"/>
      <c r="F334" s="162"/>
      <c r="G334" s="154"/>
      <c r="H334" s="155"/>
      <c r="I334" s="156"/>
      <c r="J334" s="204"/>
      <c r="K334" s="154"/>
      <c r="L334" s="155"/>
      <c r="M334" s="156"/>
      <c r="N334" s="204"/>
      <c r="O334" s="161"/>
    </row>
    <row r="335" spans="1:15" x14ac:dyDescent="0.25">
      <c r="A335" s="159"/>
      <c r="B335" s="161"/>
      <c r="C335" s="228"/>
      <c r="D335" s="161"/>
      <c r="E335" s="162"/>
      <c r="F335" s="162"/>
      <c r="G335" s="154"/>
      <c r="H335" s="155"/>
      <c r="I335" s="156"/>
      <c r="J335" s="204"/>
      <c r="K335" s="154"/>
      <c r="L335" s="155"/>
      <c r="M335" s="156"/>
      <c r="N335" s="204"/>
      <c r="O335" s="161"/>
    </row>
    <row r="336" spans="1:15" x14ac:dyDescent="0.25">
      <c r="A336" s="159"/>
      <c r="B336" s="161"/>
      <c r="C336" s="228"/>
      <c r="D336" s="161"/>
      <c r="E336" s="162"/>
      <c r="F336" s="162"/>
      <c r="G336" s="154"/>
      <c r="H336" s="155"/>
      <c r="I336" s="156"/>
      <c r="J336" s="204"/>
      <c r="K336" s="154"/>
      <c r="L336" s="155"/>
      <c r="M336" s="156"/>
      <c r="N336" s="204"/>
      <c r="O336" s="161"/>
    </row>
    <row r="337" spans="1:15" x14ac:dyDescent="0.25">
      <c r="A337" s="159"/>
      <c r="B337" s="161"/>
      <c r="C337" s="228"/>
      <c r="D337" s="161"/>
      <c r="E337" s="162"/>
      <c r="F337" s="162"/>
      <c r="G337" s="154"/>
      <c r="H337" s="155"/>
      <c r="I337" s="156"/>
      <c r="J337" s="204"/>
      <c r="K337" s="154"/>
      <c r="L337" s="155"/>
      <c r="M337" s="156"/>
      <c r="N337" s="204"/>
      <c r="O337" s="161"/>
    </row>
    <row r="338" spans="1:15" x14ac:dyDescent="0.25">
      <c r="A338" s="159"/>
      <c r="B338" s="161"/>
      <c r="C338" s="228"/>
      <c r="D338" s="161"/>
      <c r="E338" s="162"/>
      <c r="F338" s="162"/>
      <c r="G338" s="154"/>
      <c r="H338" s="155"/>
      <c r="I338" s="156"/>
      <c r="J338" s="204"/>
      <c r="K338" s="154"/>
      <c r="L338" s="155"/>
      <c r="M338" s="156"/>
      <c r="N338" s="204"/>
      <c r="O338" s="161"/>
    </row>
    <row r="339" spans="1:15" x14ac:dyDescent="0.25">
      <c r="A339" s="159"/>
      <c r="B339" s="161"/>
      <c r="C339" s="228"/>
      <c r="D339" s="161"/>
      <c r="E339" s="162"/>
      <c r="F339" s="162"/>
      <c r="G339" s="154"/>
      <c r="H339" s="155"/>
      <c r="I339" s="156"/>
      <c r="J339" s="204"/>
      <c r="K339" s="154"/>
      <c r="L339" s="155"/>
      <c r="M339" s="156"/>
      <c r="N339" s="204"/>
      <c r="O339" s="161"/>
    </row>
    <row r="340" spans="1:15" x14ac:dyDescent="0.25">
      <c r="A340" s="159"/>
      <c r="B340" s="161"/>
      <c r="C340" s="228"/>
      <c r="D340" s="161"/>
      <c r="E340" s="162"/>
      <c r="F340" s="162"/>
      <c r="G340" s="154"/>
      <c r="H340" s="155"/>
      <c r="I340" s="156"/>
      <c r="J340" s="204"/>
      <c r="K340" s="154"/>
      <c r="L340" s="155"/>
      <c r="M340" s="156"/>
      <c r="N340" s="204"/>
      <c r="O340" s="161"/>
    </row>
    <row r="341" spans="1:15" x14ac:dyDescent="0.25">
      <c r="A341" s="159"/>
      <c r="B341" s="161"/>
      <c r="C341" s="228"/>
      <c r="D341" s="161"/>
      <c r="E341" s="162"/>
      <c r="F341" s="162"/>
      <c r="G341" s="154"/>
      <c r="H341" s="155"/>
      <c r="I341" s="156"/>
      <c r="J341" s="204"/>
      <c r="K341" s="154"/>
      <c r="L341" s="155"/>
      <c r="M341" s="156"/>
      <c r="N341" s="204"/>
      <c r="O341" s="161"/>
    </row>
    <row r="342" spans="1:15" x14ac:dyDescent="0.25">
      <c r="A342" s="159"/>
      <c r="B342" s="161"/>
      <c r="C342" s="228"/>
      <c r="D342" s="161"/>
      <c r="E342" s="162"/>
      <c r="F342" s="162"/>
      <c r="G342" s="154"/>
      <c r="H342" s="155"/>
      <c r="I342" s="156"/>
      <c r="J342" s="204"/>
      <c r="K342" s="154"/>
      <c r="L342" s="155"/>
      <c r="M342" s="156"/>
      <c r="N342" s="204"/>
      <c r="O342" s="161"/>
    </row>
    <row r="343" spans="1:15" x14ac:dyDescent="0.25">
      <c r="A343" s="159"/>
      <c r="B343" s="161"/>
      <c r="C343" s="228"/>
      <c r="D343" s="161"/>
      <c r="E343" s="162"/>
      <c r="F343" s="162"/>
      <c r="G343" s="154"/>
      <c r="H343" s="155"/>
      <c r="I343" s="156"/>
      <c r="J343" s="204"/>
      <c r="K343" s="154"/>
      <c r="L343" s="155"/>
      <c r="M343" s="156"/>
      <c r="N343" s="204"/>
      <c r="O343" s="161"/>
    </row>
    <row r="344" spans="1:15" x14ac:dyDescent="0.25">
      <c r="A344" s="159"/>
      <c r="B344" s="161"/>
      <c r="C344" s="228"/>
      <c r="D344" s="161"/>
      <c r="E344" s="162"/>
      <c r="F344" s="162"/>
      <c r="G344" s="154"/>
      <c r="H344" s="155"/>
      <c r="I344" s="156"/>
      <c r="J344" s="204"/>
      <c r="K344" s="154"/>
      <c r="L344" s="155"/>
      <c r="M344" s="156"/>
      <c r="N344" s="204"/>
      <c r="O344" s="161"/>
    </row>
    <row r="345" spans="1:15" x14ac:dyDescent="0.25">
      <c r="A345" s="159"/>
      <c r="B345" s="161"/>
      <c r="C345" s="228"/>
      <c r="D345" s="161"/>
      <c r="E345" s="162"/>
      <c r="F345" s="162"/>
      <c r="G345" s="154"/>
      <c r="H345" s="155"/>
      <c r="I345" s="156"/>
      <c r="J345" s="204"/>
      <c r="K345" s="154"/>
      <c r="L345" s="155"/>
      <c r="M345" s="156"/>
      <c r="N345" s="204"/>
      <c r="O345" s="161"/>
    </row>
    <row r="346" spans="1:15" x14ac:dyDescent="0.25">
      <c r="A346" s="159"/>
      <c r="B346" s="161"/>
      <c r="C346" s="228"/>
      <c r="D346" s="161"/>
      <c r="E346" s="162"/>
      <c r="F346" s="162"/>
      <c r="G346" s="154"/>
      <c r="H346" s="155"/>
      <c r="I346" s="156"/>
      <c r="J346" s="204"/>
      <c r="K346" s="154"/>
      <c r="L346" s="155"/>
      <c r="M346" s="156"/>
      <c r="N346" s="204"/>
      <c r="O346" s="161"/>
    </row>
    <row r="347" spans="1:15" x14ac:dyDescent="0.25">
      <c r="A347" s="159"/>
      <c r="B347" s="161"/>
      <c r="C347" s="228"/>
      <c r="D347" s="161"/>
      <c r="E347" s="162"/>
      <c r="F347" s="162"/>
      <c r="G347" s="154"/>
      <c r="H347" s="155"/>
      <c r="I347" s="156"/>
      <c r="J347" s="204"/>
      <c r="K347" s="154"/>
      <c r="L347" s="155"/>
      <c r="M347" s="156"/>
      <c r="N347" s="204"/>
      <c r="O347" s="161"/>
    </row>
    <row r="348" spans="1:15" x14ac:dyDescent="0.25">
      <c r="A348" s="159"/>
      <c r="B348" s="161"/>
      <c r="C348" s="228"/>
      <c r="D348" s="161"/>
      <c r="E348" s="162"/>
      <c r="F348" s="162"/>
      <c r="G348" s="154"/>
      <c r="H348" s="155"/>
      <c r="I348" s="156"/>
      <c r="J348" s="204"/>
      <c r="K348" s="154"/>
      <c r="L348" s="155"/>
      <c r="M348" s="156"/>
      <c r="N348" s="204"/>
      <c r="O348" s="161"/>
    </row>
    <row r="349" spans="1:15" x14ac:dyDescent="0.25">
      <c r="A349" s="159"/>
      <c r="B349" s="161"/>
      <c r="C349" s="228"/>
      <c r="D349" s="161"/>
      <c r="E349" s="162"/>
      <c r="F349" s="162"/>
      <c r="G349" s="154"/>
      <c r="H349" s="155"/>
      <c r="I349" s="156"/>
      <c r="J349" s="204"/>
      <c r="K349" s="154"/>
      <c r="L349" s="155"/>
      <c r="M349" s="156"/>
      <c r="N349" s="204"/>
      <c r="O349" s="161"/>
    </row>
    <row r="350" spans="1:15" x14ac:dyDescent="0.25">
      <c r="A350" s="159"/>
      <c r="B350" s="161"/>
      <c r="C350" s="228"/>
      <c r="D350" s="161"/>
      <c r="E350" s="162"/>
      <c r="F350" s="162"/>
      <c r="G350" s="154"/>
      <c r="H350" s="155"/>
      <c r="I350" s="156"/>
      <c r="J350" s="204"/>
      <c r="K350" s="154"/>
      <c r="L350" s="155"/>
      <c r="M350" s="156"/>
      <c r="N350" s="204"/>
      <c r="O350" s="161"/>
    </row>
    <row r="351" spans="1:15" x14ac:dyDescent="0.25">
      <c r="A351" s="159"/>
      <c r="B351" s="161"/>
      <c r="C351" s="228"/>
      <c r="D351" s="161"/>
      <c r="E351" s="162"/>
      <c r="F351" s="162"/>
      <c r="G351" s="154"/>
      <c r="H351" s="155"/>
      <c r="I351" s="156"/>
      <c r="J351" s="204"/>
      <c r="K351" s="154"/>
      <c r="L351" s="155"/>
      <c r="M351" s="156"/>
      <c r="N351" s="204"/>
      <c r="O351" s="161"/>
    </row>
    <row r="352" spans="1:15" x14ac:dyDescent="0.25">
      <c r="A352" s="159"/>
      <c r="B352" s="161"/>
      <c r="C352" s="228"/>
      <c r="D352" s="161"/>
      <c r="E352" s="162"/>
      <c r="F352" s="162"/>
      <c r="G352" s="154"/>
      <c r="H352" s="155"/>
      <c r="I352" s="156"/>
      <c r="J352" s="204"/>
      <c r="K352" s="154"/>
      <c r="L352" s="155"/>
      <c r="M352" s="156"/>
      <c r="N352" s="204"/>
      <c r="O352" s="161"/>
    </row>
    <row r="353" spans="1:15" x14ac:dyDescent="0.25">
      <c r="A353" s="159"/>
      <c r="B353" s="161"/>
      <c r="C353" s="228"/>
      <c r="D353" s="161"/>
      <c r="E353" s="162"/>
      <c r="F353" s="162"/>
      <c r="G353" s="154"/>
      <c r="H353" s="155"/>
      <c r="I353" s="156"/>
      <c r="J353" s="204"/>
      <c r="K353" s="154"/>
      <c r="L353" s="155"/>
      <c r="M353" s="156"/>
      <c r="N353" s="204"/>
      <c r="O353" s="161"/>
    </row>
    <row r="354" spans="1:15" x14ac:dyDescent="0.25">
      <c r="A354" s="159"/>
      <c r="B354" s="161"/>
      <c r="C354" s="228"/>
      <c r="D354" s="161"/>
      <c r="E354" s="162"/>
      <c r="F354" s="162"/>
      <c r="G354" s="154"/>
      <c r="H354" s="155"/>
      <c r="I354" s="156"/>
      <c r="J354" s="204"/>
      <c r="K354" s="154"/>
      <c r="L354" s="155"/>
      <c r="M354" s="156"/>
      <c r="N354" s="204"/>
      <c r="O354" s="161"/>
    </row>
    <row r="355" spans="1:15" x14ac:dyDescent="0.25">
      <c r="A355" s="159"/>
      <c r="B355" s="161"/>
      <c r="C355" s="228"/>
      <c r="D355" s="161"/>
      <c r="E355" s="162"/>
      <c r="F355" s="162"/>
      <c r="G355" s="154"/>
      <c r="H355" s="155"/>
      <c r="I355" s="156"/>
      <c r="J355" s="204"/>
      <c r="K355" s="154"/>
      <c r="L355" s="155"/>
      <c r="M355" s="156"/>
      <c r="N355" s="204"/>
      <c r="O355" s="161"/>
    </row>
    <row r="356" spans="1:15" x14ac:dyDescent="0.25">
      <c r="A356" s="159"/>
      <c r="B356" s="161"/>
      <c r="C356" s="228"/>
      <c r="D356" s="161"/>
      <c r="E356" s="162"/>
      <c r="F356" s="162"/>
      <c r="G356" s="154"/>
      <c r="H356" s="155"/>
      <c r="I356" s="156"/>
      <c r="J356" s="204"/>
      <c r="K356" s="154"/>
      <c r="L356" s="155"/>
      <c r="M356" s="156"/>
      <c r="N356" s="204"/>
      <c r="O356" s="161"/>
    </row>
    <row r="357" spans="1:15" x14ac:dyDescent="0.25">
      <c r="A357" s="159"/>
      <c r="B357" s="161"/>
      <c r="C357" s="228"/>
      <c r="D357" s="161"/>
      <c r="E357" s="162"/>
      <c r="F357" s="162"/>
      <c r="G357" s="154"/>
      <c r="H357" s="155"/>
      <c r="I357" s="156"/>
      <c r="J357" s="204"/>
      <c r="K357" s="154"/>
      <c r="L357" s="155"/>
      <c r="M357" s="156"/>
      <c r="N357" s="204"/>
      <c r="O357" s="161"/>
    </row>
    <row r="358" spans="1:15" x14ac:dyDescent="0.25">
      <c r="A358" s="159"/>
      <c r="B358" s="161"/>
      <c r="C358" s="228"/>
      <c r="D358" s="161"/>
      <c r="E358" s="162"/>
      <c r="F358" s="162"/>
      <c r="G358" s="154"/>
      <c r="H358" s="155"/>
      <c r="I358" s="156"/>
      <c r="J358" s="204"/>
      <c r="K358" s="154"/>
      <c r="L358" s="155"/>
      <c r="M358" s="156"/>
      <c r="N358" s="204"/>
      <c r="O358" s="161"/>
    </row>
    <row r="359" spans="1:15" x14ac:dyDescent="0.25">
      <c r="A359" s="159"/>
      <c r="B359" s="161"/>
      <c r="C359" s="228"/>
      <c r="D359" s="161"/>
      <c r="E359" s="162"/>
      <c r="F359" s="162"/>
      <c r="G359" s="154"/>
      <c r="H359" s="155"/>
      <c r="I359" s="156"/>
      <c r="J359" s="204"/>
      <c r="K359" s="154"/>
      <c r="L359" s="155"/>
      <c r="M359" s="156"/>
      <c r="N359" s="204"/>
      <c r="O359" s="161"/>
    </row>
    <row r="360" spans="1:15" x14ac:dyDescent="0.25">
      <c r="A360" s="159"/>
      <c r="B360" s="161"/>
      <c r="C360" s="228"/>
      <c r="D360" s="161"/>
      <c r="E360" s="162"/>
      <c r="F360" s="162"/>
      <c r="G360" s="154"/>
      <c r="H360" s="155"/>
      <c r="I360" s="156"/>
      <c r="J360" s="204"/>
      <c r="K360" s="154"/>
      <c r="L360" s="155"/>
      <c r="M360" s="156"/>
      <c r="N360" s="204"/>
      <c r="O360" s="161"/>
    </row>
    <row r="361" spans="1:15" x14ac:dyDescent="0.25">
      <c r="A361" s="159"/>
      <c r="B361" s="161"/>
      <c r="C361" s="228"/>
      <c r="D361" s="161"/>
      <c r="E361" s="162"/>
      <c r="F361" s="162"/>
      <c r="G361" s="154"/>
      <c r="H361" s="155"/>
      <c r="I361" s="156"/>
      <c r="J361" s="204"/>
      <c r="K361" s="154"/>
      <c r="L361" s="155"/>
      <c r="M361" s="156"/>
      <c r="N361" s="204"/>
      <c r="O361" s="161"/>
    </row>
    <row r="362" spans="1:15" x14ac:dyDescent="0.25">
      <c r="A362" s="159"/>
      <c r="B362" s="161"/>
      <c r="C362" s="228"/>
      <c r="D362" s="161"/>
      <c r="E362" s="162"/>
      <c r="F362" s="162"/>
      <c r="G362" s="154"/>
      <c r="H362" s="155"/>
      <c r="I362" s="156"/>
      <c r="J362" s="204"/>
      <c r="K362" s="154"/>
      <c r="L362" s="155"/>
      <c r="M362" s="156"/>
      <c r="N362" s="204"/>
      <c r="O362" s="161"/>
    </row>
    <row r="363" spans="1:15" x14ac:dyDescent="0.25">
      <c r="A363" s="159"/>
      <c r="B363" s="161"/>
      <c r="C363" s="228"/>
      <c r="D363" s="161"/>
      <c r="E363" s="162"/>
      <c r="F363" s="162"/>
      <c r="G363" s="154"/>
      <c r="H363" s="155"/>
      <c r="I363" s="156"/>
      <c r="J363" s="204"/>
      <c r="K363" s="154"/>
      <c r="L363" s="155"/>
      <c r="M363" s="156"/>
      <c r="N363" s="204"/>
      <c r="O363" s="161"/>
    </row>
    <row r="364" spans="1:15" x14ac:dyDescent="0.25">
      <c r="A364" s="159"/>
      <c r="B364" s="161"/>
      <c r="C364" s="228"/>
      <c r="D364" s="161"/>
      <c r="E364" s="162"/>
      <c r="F364" s="162"/>
      <c r="G364" s="154"/>
      <c r="H364" s="155"/>
      <c r="I364" s="156"/>
      <c r="J364" s="204"/>
      <c r="K364" s="154"/>
      <c r="L364" s="155"/>
      <c r="M364" s="156"/>
      <c r="N364" s="204"/>
      <c r="O364" s="161"/>
    </row>
    <row r="365" spans="1:15" x14ac:dyDescent="0.25">
      <c r="A365" s="159"/>
      <c r="B365" s="161"/>
      <c r="C365" s="228"/>
      <c r="D365" s="161"/>
      <c r="E365" s="162"/>
      <c r="F365" s="162"/>
      <c r="G365" s="154"/>
      <c r="H365" s="155"/>
      <c r="I365" s="156"/>
      <c r="J365" s="204"/>
      <c r="K365" s="154"/>
      <c r="L365" s="155"/>
      <c r="M365" s="156"/>
      <c r="N365" s="204"/>
      <c r="O365" s="161"/>
    </row>
    <row r="366" spans="1:15" x14ac:dyDescent="0.25">
      <c r="A366" s="159"/>
      <c r="B366" s="161"/>
      <c r="C366" s="228"/>
      <c r="D366" s="161"/>
      <c r="E366" s="162"/>
      <c r="F366" s="162"/>
      <c r="G366" s="154"/>
      <c r="H366" s="155"/>
      <c r="I366" s="156"/>
      <c r="J366" s="204"/>
      <c r="K366" s="154"/>
      <c r="L366" s="155"/>
      <c r="M366" s="156"/>
      <c r="N366" s="204"/>
      <c r="O366" s="161"/>
    </row>
    <row r="367" spans="1:15" x14ac:dyDescent="0.25">
      <c r="A367" s="159"/>
      <c r="B367" s="161"/>
      <c r="C367" s="228"/>
      <c r="D367" s="161"/>
      <c r="E367" s="162"/>
      <c r="F367" s="162"/>
      <c r="G367" s="154"/>
      <c r="H367" s="155"/>
      <c r="I367" s="156"/>
      <c r="J367" s="204"/>
      <c r="K367" s="154"/>
      <c r="L367" s="155"/>
      <c r="M367" s="156"/>
      <c r="N367" s="204"/>
      <c r="O367" s="161"/>
    </row>
    <row r="368" spans="1:15" x14ac:dyDescent="0.25">
      <c r="A368" s="159"/>
      <c r="B368" s="161"/>
      <c r="C368" s="228"/>
      <c r="D368" s="161"/>
      <c r="E368" s="162"/>
      <c r="F368" s="162"/>
      <c r="G368" s="154"/>
      <c r="H368" s="155"/>
      <c r="I368" s="156"/>
      <c r="J368" s="204"/>
      <c r="K368" s="154"/>
      <c r="L368" s="155"/>
      <c r="M368" s="156"/>
      <c r="N368" s="204"/>
      <c r="O368" s="161"/>
    </row>
    <row r="369" spans="1:15" x14ac:dyDescent="0.25">
      <c r="A369" s="159"/>
      <c r="B369" s="161"/>
      <c r="C369" s="228"/>
      <c r="D369" s="161"/>
      <c r="E369" s="162"/>
      <c r="F369" s="162"/>
      <c r="G369" s="154"/>
      <c r="H369" s="155"/>
      <c r="I369" s="156"/>
      <c r="J369" s="204"/>
      <c r="K369" s="154"/>
      <c r="L369" s="155"/>
      <c r="M369" s="156"/>
      <c r="N369" s="204"/>
      <c r="O369" s="161"/>
    </row>
    <row r="370" spans="1:15" x14ac:dyDescent="0.25">
      <c r="A370" s="159"/>
      <c r="B370" s="161"/>
      <c r="C370" s="228"/>
      <c r="D370" s="161"/>
      <c r="E370" s="162"/>
      <c r="F370" s="162"/>
      <c r="G370" s="154"/>
      <c r="H370" s="155"/>
      <c r="I370" s="156"/>
      <c r="J370" s="204"/>
      <c r="K370" s="154"/>
      <c r="L370" s="155"/>
      <c r="M370" s="156"/>
      <c r="N370" s="204"/>
      <c r="O370" s="161"/>
    </row>
    <row r="371" spans="1:15" x14ac:dyDescent="0.25">
      <c r="A371" s="159"/>
      <c r="B371" s="161"/>
      <c r="C371" s="228"/>
      <c r="D371" s="161"/>
      <c r="E371" s="162"/>
      <c r="F371" s="162"/>
      <c r="G371" s="154"/>
      <c r="H371" s="155"/>
      <c r="I371" s="156"/>
      <c r="J371" s="204"/>
      <c r="K371" s="154"/>
      <c r="L371" s="155"/>
      <c r="M371" s="156"/>
      <c r="N371" s="204"/>
      <c r="O371" s="161"/>
    </row>
    <row r="372" spans="1:15" x14ac:dyDescent="0.25">
      <c r="A372" s="159"/>
      <c r="B372" s="161"/>
      <c r="C372" s="228"/>
      <c r="D372" s="161"/>
      <c r="E372" s="162"/>
      <c r="F372" s="162"/>
      <c r="G372" s="154"/>
      <c r="H372" s="155"/>
      <c r="I372" s="156"/>
      <c r="J372" s="204"/>
      <c r="K372" s="154"/>
      <c r="L372" s="155"/>
      <c r="M372" s="156"/>
      <c r="N372" s="204"/>
      <c r="O372" s="161"/>
    </row>
    <row r="373" spans="1:15" x14ac:dyDescent="0.25">
      <c r="A373" s="159"/>
      <c r="B373" s="161"/>
      <c r="C373" s="228"/>
      <c r="D373" s="161"/>
      <c r="E373" s="162"/>
      <c r="F373" s="162"/>
      <c r="G373" s="154"/>
      <c r="H373" s="155"/>
      <c r="I373" s="156"/>
      <c r="J373" s="204"/>
      <c r="K373" s="154"/>
      <c r="L373" s="155"/>
      <c r="M373" s="156"/>
      <c r="N373" s="204"/>
      <c r="O373" s="161"/>
    </row>
    <row r="374" spans="1:15" x14ac:dyDescent="0.25">
      <c r="A374" s="159"/>
      <c r="B374" s="161"/>
      <c r="C374" s="228"/>
      <c r="D374" s="161"/>
      <c r="E374" s="162"/>
      <c r="F374" s="162"/>
      <c r="G374" s="154"/>
      <c r="H374" s="155"/>
      <c r="I374" s="156"/>
      <c r="J374" s="204"/>
      <c r="K374" s="154"/>
      <c r="L374" s="155"/>
      <c r="M374" s="156"/>
      <c r="N374" s="204"/>
      <c r="O374" s="161"/>
    </row>
    <row r="375" spans="1:15" x14ac:dyDescent="0.25">
      <c r="A375" s="159"/>
      <c r="B375" s="161"/>
      <c r="C375" s="228"/>
      <c r="D375" s="161"/>
      <c r="E375" s="162"/>
      <c r="F375" s="162"/>
      <c r="G375" s="154"/>
      <c r="H375" s="155"/>
      <c r="I375" s="156"/>
      <c r="J375" s="204"/>
      <c r="K375" s="154"/>
      <c r="L375" s="155"/>
      <c r="M375" s="156"/>
      <c r="N375" s="204"/>
      <c r="O375" s="161"/>
    </row>
    <row r="376" spans="1:15" x14ac:dyDescent="0.25">
      <c r="A376" s="159"/>
      <c r="B376" s="161"/>
      <c r="C376" s="228"/>
      <c r="D376" s="161"/>
      <c r="E376" s="162"/>
      <c r="F376" s="162"/>
      <c r="G376" s="154"/>
      <c r="H376" s="155"/>
      <c r="I376" s="156"/>
      <c r="J376" s="204"/>
      <c r="K376" s="154"/>
      <c r="L376" s="155"/>
      <c r="M376" s="156"/>
      <c r="N376" s="204"/>
      <c r="O376" s="161"/>
    </row>
    <row r="377" spans="1:15" x14ac:dyDescent="0.25">
      <c r="A377" s="159"/>
      <c r="B377" s="161"/>
      <c r="C377" s="228"/>
      <c r="D377" s="161"/>
      <c r="E377" s="162"/>
      <c r="F377" s="162"/>
      <c r="G377" s="154"/>
      <c r="H377" s="155"/>
      <c r="I377" s="156"/>
      <c r="J377" s="204"/>
      <c r="K377" s="154"/>
      <c r="L377" s="155"/>
      <c r="M377" s="156"/>
      <c r="N377" s="204"/>
      <c r="O377" s="161"/>
    </row>
    <row r="378" spans="1:15" x14ac:dyDescent="0.25">
      <c r="A378" s="159"/>
      <c r="B378" s="161"/>
      <c r="C378" s="228"/>
      <c r="D378" s="161"/>
      <c r="E378" s="162"/>
      <c r="F378" s="162"/>
      <c r="G378" s="154"/>
      <c r="H378" s="155"/>
      <c r="I378" s="156"/>
      <c r="J378" s="204"/>
      <c r="K378" s="154"/>
      <c r="L378" s="155"/>
      <c r="M378" s="156"/>
      <c r="N378" s="204"/>
      <c r="O378" s="161"/>
    </row>
    <row r="379" spans="1:15" x14ac:dyDescent="0.25">
      <c r="A379" s="159"/>
      <c r="B379" s="161"/>
      <c r="C379" s="228"/>
      <c r="D379" s="161"/>
      <c r="E379" s="162"/>
      <c r="F379" s="162"/>
      <c r="G379" s="154"/>
      <c r="H379" s="155"/>
      <c r="I379" s="156"/>
      <c r="J379" s="204"/>
      <c r="K379" s="154"/>
      <c r="L379" s="155"/>
      <c r="M379" s="156"/>
      <c r="N379" s="204"/>
      <c r="O379" s="161"/>
    </row>
    <row r="380" spans="1:15" x14ac:dyDescent="0.25">
      <c r="A380" s="159"/>
      <c r="B380" s="161"/>
      <c r="C380" s="228"/>
      <c r="D380" s="161"/>
      <c r="E380" s="162"/>
      <c r="F380" s="162"/>
      <c r="G380" s="154"/>
      <c r="H380" s="155"/>
      <c r="I380" s="156"/>
      <c r="J380" s="204"/>
      <c r="K380" s="154"/>
      <c r="L380" s="155"/>
      <c r="M380" s="156"/>
      <c r="N380" s="204"/>
      <c r="O380" s="161"/>
    </row>
    <row r="381" spans="1:15" x14ac:dyDescent="0.25">
      <c r="A381" s="159"/>
      <c r="B381" s="161"/>
      <c r="C381" s="228"/>
      <c r="D381" s="161"/>
      <c r="E381" s="162"/>
      <c r="F381" s="162"/>
      <c r="G381" s="154"/>
      <c r="H381" s="155"/>
      <c r="I381" s="156"/>
      <c r="J381" s="204"/>
      <c r="K381" s="154"/>
      <c r="L381" s="155"/>
      <c r="M381" s="156"/>
      <c r="N381" s="204"/>
      <c r="O381" s="161"/>
    </row>
    <row r="382" spans="1:15" x14ac:dyDescent="0.25">
      <c r="A382" s="159"/>
      <c r="B382" s="161"/>
      <c r="C382" s="228"/>
      <c r="D382" s="161"/>
      <c r="E382" s="162"/>
      <c r="F382" s="162"/>
      <c r="G382" s="154"/>
      <c r="H382" s="155"/>
      <c r="I382" s="156"/>
      <c r="J382" s="204"/>
      <c r="K382" s="154"/>
      <c r="L382" s="155"/>
      <c r="M382" s="156"/>
      <c r="N382" s="204"/>
      <c r="O382" s="161"/>
    </row>
    <row r="383" spans="1:15" x14ac:dyDescent="0.25">
      <c r="A383" s="159"/>
      <c r="B383" s="161"/>
      <c r="C383" s="228"/>
      <c r="D383" s="161"/>
      <c r="E383" s="162"/>
      <c r="F383" s="162"/>
      <c r="G383" s="154"/>
      <c r="H383" s="155"/>
      <c r="I383" s="156"/>
      <c r="J383" s="204"/>
      <c r="K383" s="154"/>
      <c r="L383" s="155"/>
      <c r="M383" s="156"/>
      <c r="N383" s="204"/>
      <c r="O383" s="161"/>
    </row>
    <row r="384" spans="1:15" x14ac:dyDescent="0.25">
      <c r="A384" s="159"/>
      <c r="B384" s="161"/>
      <c r="C384" s="228"/>
      <c r="D384" s="161"/>
      <c r="E384" s="162"/>
      <c r="F384" s="162"/>
      <c r="G384" s="154"/>
      <c r="H384" s="155"/>
      <c r="I384" s="156"/>
      <c r="J384" s="204"/>
      <c r="K384" s="154"/>
      <c r="L384" s="155"/>
      <c r="M384" s="156"/>
      <c r="N384" s="204"/>
      <c r="O384" s="161"/>
    </row>
    <row r="385" spans="1:15" x14ac:dyDescent="0.25">
      <c r="A385" s="159"/>
      <c r="B385" s="161"/>
      <c r="C385" s="228"/>
      <c r="D385" s="161"/>
      <c r="E385" s="162"/>
      <c r="F385" s="162"/>
      <c r="G385" s="154"/>
      <c r="H385" s="155"/>
      <c r="I385" s="156"/>
      <c r="J385" s="204"/>
      <c r="K385" s="154"/>
      <c r="L385" s="155"/>
      <c r="M385" s="156"/>
      <c r="N385" s="204"/>
      <c r="O385" s="161"/>
    </row>
    <row r="386" spans="1:15" x14ac:dyDescent="0.25">
      <c r="A386" s="159"/>
      <c r="B386" s="161"/>
      <c r="C386" s="228"/>
      <c r="D386" s="161"/>
      <c r="E386" s="162"/>
      <c r="F386" s="162"/>
      <c r="G386" s="154"/>
      <c r="H386" s="155"/>
      <c r="I386" s="156"/>
      <c r="J386" s="204"/>
      <c r="K386" s="154"/>
      <c r="L386" s="155"/>
      <c r="M386" s="156"/>
      <c r="N386" s="204"/>
      <c r="O386" s="161"/>
    </row>
    <row r="387" spans="1:15" x14ac:dyDescent="0.25">
      <c r="A387" s="159"/>
      <c r="B387" s="161"/>
      <c r="C387" s="228"/>
      <c r="D387" s="161"/>
      <c r="E387" s="162"/>
      <c r="F387" s="162"/>
      <c r="G387" s="154"/>
      <c r="H387" s="155"/>
      <c r="I387" s="156"/>
      <c r="J387" s="204"/>
      <c r="K387" s="154"/>
      <c r="L387" s="155"/>
      <c r="M387" s="156"/>
      <c r="N387" s="204"/>
      <c r="O387" s="161"/>
    </row>
    <row r="388" spans="1:15" x14ac:dyDescent="0.25">
      <c r="A388" s="159"/>
      <c r="B388" s="161"/>
      <c r="C388" s="228"/>
      <c r="D388" s="161"/>
      <c r="E388" s="162"/>
      <c r="F388" s="162"/>
      <c r="G388" s="154"/>
      <c r="H388" s="155"/>
      <c r="I388" s="156"/>
      <c r="J388" s="204"/>
      <c r="K388" s="154"/>
      <c r="L388" s="155"/>
      <c r="M388" s="156"/>
      <c r="N388" s="204"/>
      <c r="O388" s="161"/>
    </row>
    <row r="389" spans="1:15" x14ac:dyDescent="0.25">
      <c r="A389" s="159"/>
      <c r="B389" s="161"/>
      <c r="C389" s="228"/>
      <c r="D389" s="161"/>
      <c r="E389" s="162"/>
      <c r="F389" s="162"/>
      <c r="G389" s="154"/>
      <c r="H389" s="155"/>
      <c r="I389" s="156"/>
      <c r="J389" s="204"/>
      <c r="K389" s="154"/>
      <c r="L389" s="155"/>
      <c r="M389" s="156"/>
      <c r="N389" s="204"/>
      <c r="O389" s="161"/>
    </row>
    <row r="390" spans="1:15" x14ac:dyDescent="0.25">
      <c r="A390" s="159"/>
      <c r="B390" s="161"/>
      <c r="C390" s="228"/>
      <c r="D390" s="161"/>
      <c r="E390" s="162"/>
      <c r="F390" s="162"/>
      <c r="G390" s="154"/>
      <c r="H390" s="155"/>
      <c r="I390" s="156"/>
      <c r="J390" s="204"/>
      <c r="K390" s="154"/>
      <c r="L390" s="155"/>
      <c r="M390" s="156"/>
      <c r="N390" s="204"/>
      <c r="O390" s="161"/>
    </row>
    <row r="391" spans="1:15" x14ac:dyDescent="0.25">
      <c r="A391" s="159"/>
      <c r="B391" s="161"/>
      <c r="C391" s="228"/>
      <c r="D391" s="161"/>
      <c r="E391" s="162"/>
      <c r="F391" s="162"/>
      <c r="G391" s="154"/>
      <c r="H391" s="155"/>
      <c r="I391" s="156"/>
      <c r="J391" s="204"/>
      <c r="K391" s="154"/>
      <c r="L391" s="155"/>
      <c r="M391" s="156"/>
      <c r="N391" s="204"/>
      <c r="O391" s="161"/>
    </row>
    <row r="392" spans="1:15" x14ac:dyDescent="0.25">
      <c r="A392" s="159"/>
      <c r="B392" s="161"/>
      <c r="C392" s="228"/>
      <c r="D392" s="161"/>
      <c r="E392" s="162"/>
      <c r="F392" s="162"/>
      <c r="G392" s="154"/>
      <c r="H392" s="155"/>
      <c r="I392" s="156"/>
      <c r="J392" s="204"/>
      <c r="K392" s="154"/>
      <c r="L392" s="155"/>
      <c r="M392" s="156"/>
      <c r="N392" s="204"/>
      <c r="O392" s="161"/>
    </row>
    <row r="393" spans="1:15" x14ac:dyDescent="0.25">
      <c r="A393" s="159"/>
      <c r="B393" s="161"/>
      <c r="C393" s="228"/>
      <c r="D393" s="161"/>
      <c r="E393" s="162"/>
      <c r="F393" s="162"/>
      <c r="G393" s="154"/>
      <c r="H393" s="155"/>
      <c r="I393" s="156"/>
      <c r="J393" s="204"/>
      <c r="K393" s="154"/>
      <c r="L393" s="155"/>
      <c r="M393" s="156"/>
      <c r="N393" s="204"/>
      <c r="O393" s="161"/>
    </row>
    <row r="394" spans="1:15" x14ac:dyDescent="0.25">
      <c r="A394" s="159"/>
      <c r="B394" s="161"/>
      <c r="C394" s="228"/>
      <c r="D394" s="161"/>
      <c r="E394" s="162"/>
      <c r="F394" s="162"/>
      <c r="G394" s="154"/>
      <c r="H394" s="155"/>
      <c r="I394" s="156"/>
      <c r="J394" s="204"/>
      <c r="K394" s="154"/>
      <c r="L394" s="155"/>
      <c r="M394" s="156"/>
      <c r="N394" s="204"/>
      <c r="O394" s="161"/>
    </row>
    <row r="395" spans="1:15" x14ac:dyDescent="0.25">
      <c r="A395" s="159"/>
      <c r="B395" s="161"/>
      <c r="C395" s="228"/>
      <c r="D395" s="161"/>
      <c r="E395" s="162"/>
      <c r="F395" s="162"/>
      <c r="G395" s="154"/>
      <c r="H395" s="155"/>
      <c r="I395" s="156"/>
      <c r="J395" s="204"/>
      <c r="K395" s="154"/>
      <c r="L395" s="155"/>
      <c r="M395" s="156"/>
      <c r="N395" s="204"/>
      <c r="O395" s="161"/>
    </row>
  </sheetData>
  <mergeCells count="7">
    <mergeCell ref="O1:O2"/>
    <mergeCell ref="A1:A2"/>
    <mergeCell ref="B1:B2"/>
    <mergeCell ref="D1:D2"/>
    <mergeCell ref="E1:E2"/>
    <mergeCell ref="F1:F2"/>
    <mergeCell ref="C1:C2"/>
  </mergeCells>
  <phoneticPr fontId="28" type="noConversion"/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DISPATCH</vt:lpstr>
      <vt:lpstr>STATS</vt:lpstr>
      <vt:lpstr>SUM- BLM</vt:lpstr>
      <vt:lpstr>SUM- USFS </vt:lpstr>
      <vt:lpstr>SUM- IDL</vt:lpstr>
      <vt:lpstr>RURALASSIST</vt:lpstr>
      <vt:lpstr>FALSEALARMS</vt:lpstr>
      <vt:lpstr>NONSTAT</vt:lpstr>
      <vt:lpstr>RX ACRES </vt:lpstr>
      <vt:lpstr>COST SHARE</vt:lpstr>
      <vt:lpstr>OTR</vt:lpstr>
    </vt:vector>
  </TitlesOfParts>
  <Company>Bureau of Land Management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lhislop</dc:creator>
  <cp:lastModifiedBy>Peterson, Andra J</cp:lastModifiedBy>
  <cp:lastPrinted>2023-11-15T16:57:49Z</cp:lastPrinted>
  <dcterms:created xsi:type="dcterms:W3CDTF">2009-01-14T17:58:01Z</dcterms:created>
  <dcterms:modified xsi:type="dcterms:W3CDTF">2026-01-30T20:17:35Z</dcterms:modified>
</cp:coreProperties>
</file>