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loc\fire\Dispatch Shared\INTEL\Dreamweaver\BDC_Website\documents\fire_statistics\"/>
    </mc:Choice>
  </mc:AlternateContent>
  <bookViews>
    <workbookView xWindow="0" yWindow="0" windowWidth="28800" windowHeight="11700"/>
  </bookViews>
  <sheets>
    <sheet name="DISPATCH" sheetId="14" r:id="rId1"/>
    <sheet name="STATS" sheetId="4" r:id="rId2"/>
    <sheet name="SUM- BLM" sheetId="21" r:id="rId3"/>
    <sheet name="SUM- USFS " sheetId="22" r:id="rId4"/>
    <sheet name="SUM- IDL" sheetId="23" r:id="rId5"/>
    <sheet name="RURALASSIST" sheetId="24" r:id="rId6"/>
    <sheet name="FALSEALARMS" sheetId="25" r:id="rId7"/>
    <sheet name="OTR" sheetId="27" r:id="rId8"/>
    <sheet name="RX ACRES " sheetId="15" r:id="rId9"/>
    <sheet name="COST SHARE" sheetId="26" r:id="rId10"/>
  </sheets>
  <definedNames>
    <definedName name="_xlnm._FilterDatabase" localSheetId="9" hidden="1">'COST SHARE'!$C$1:$L$249</definedName>
    <definedName name="_xlnm._FilterDatabase" localSheetId="6" hidden="1">FALSEALARMS!$E$1:$E$465</definedName>
    <definedName name="_xlnm._FilterDatabase" localSheetId="5" hidden="1">RURALASSIST!$E$1:$E$465</definedName>
    <definedName name="_xlnm._FilterDatabase" localSheetId="8" hidden="1">'RX ACRES '!$A$1:$I$58</definedName>
    <definedName name="_xlnm._FilterDatabase" localSheetId="1" hidden="1">STATS!$K$1:$K$467</definedName>
    <definedName name="EASLEY">#REF!</definedName>
  </definedNames>
  <calcPr calcId="162913"/>
</workbook>
</file>

<file path=xl/calcChain.xml><?xml version="1.0" encoding="utf-8"?>
<calcChain xmlns="http://schemas.openxmlformats.org/spreadsheetml/2006/main">
  <c r="K196" i="26" l="1"/>
  <c r="H196" i="26"/>
  <c r="E196" i="26"/>
  <c r="C196" i="26"/>
  <c r="B196" i="26"/>
  <c r="A196" i="26"/>
  <c r="M31" i="27" l="1"/>
  <c r="A190" i="26" l="1"/>
  <c r="B190" i="26"/>
  <c r="C190" i="26"/>
  <c r="E190" i="26"/>
  <c r="H190" i="26"/>
  <c r="K190" i="26"/>
  <c r="A191" i="26"/>
  <c r="B191" i="26"/>
  <c r="C191" i="26"/>
  <c r="E191" i="26"/>
  <c r="H191" i="26"/>
  <c r="K191" i="26"/>
  <c r="A192" i="26"/>
  <c r="B192" i="26"/>
  <c r="C192" i="26"/>
  <c r="E192" i="26"/>
  <c r="H192" i="26"/>
  <c r="K192" i="26"/>
  <c r="A193" i="26"/>
  <c r="B193" i="26"/>
  <c r="C193" i="26"/>
  <c r="E193" i="26"/>
  <c r="H193" i="26"/>
  <c r="K193" i="26"/>
  <c r="A194" i="26"/>
  <c r="B194" i="26"/>
  <c r="C194" i="26"/>
  <c r="E194" i="26"/>
  <c r="H194" i="26"/>
  <c r="K194" i="26"/>
  <c r="A195" i="26"/>
  <c r="B195" i="26"/>
  <c r="C195" i="26"/>
  <c r="E195" i="26"/>
  <c r="H195" i="26"/>
  <c r="K195" i="26"/>
  <c r="A197" i="26"/>
  <c r="B197" i="26"/>
  <c r="C197" i="26"/>
  <c r="E197" i="26"/>
  <c r="H197" i="26"/>
  <c r="K197" i="26"/>
  <c r="A198" i="26"/>
  <c r="B198" i="26"/>
  <c r="C198" i="26"/>
  <c r="E198" i="26"/>
  <c r="H198" i="26"/>
  <c r="K198" i="26"/>
  <c r="A199" i="26"/>
  <c r="B199" i="26"/>
  <c r="C199" i="26"/>
  <c r="E199" i="26"/>
  <c r="H199" i="26"/>
  <c r="K199" i="26"/>
  <c r="A200" i="26"/>
  <c r="B200" i="26"/>
  <c r="C200" i="26"/>
  <c r="E200" i="26"/>
  <c r="H200" i="26"/>
  <c r="K200" i="26"/>
  <c r="A201" i="26"/>
  <c r="B201" i="26"/>
  <c r="C201" i="26"/>
  <c r="E201" i="26"/>
  <c r="H201" i="26"/>
  <c r="K201" i="26"/>
  <c r="A202" i="26"/>
  <c r="B202" i="26"/>
  <c r="C202" i="26"/>
  <c r="E202" i="26"/>
  <c r="H202" i="26"/>
  <c r="K202" i="26"/>
  <c r="A203" i="26"/>
  <c r="B203" i="26"/>
  <c r="C203" i="26"/>
  <c r="E203" i="26"/>
  <c r="H203" i="26"/>
  <c r="K203" i="26"/>
  <c r="A204" i="26"/>
  <c r="B204" i="26"/>
  <c r="C204" i="26"/>
  <c r="E204" i="26"/>
  <c r="H204" i="26"/>
  <c r="K204" i="26"/>
  <c r="A205" i="26"/>
  <c r="B205" i="26"/>
  <c r="C205" i="26"/>
  <c r="E205" i="26"/>
  <c r="H205" i="26"/>
  <c r="K205" i="26"/>
  <c r="A206" i="26"/>
  <c r="B206" i="26"/>
  <c r="C206" i="26"/>
  <c r="E206" i="26"/>
  <c r="H206" i="26"/>
  <c r="K206" i="26"/>
  <c r="A207" i="26"/>
  <c r="B207" i="26"/>
  <c r="C207" i="26"/>
  <c r="E207" i="26"/>
  <c r="H207" i="26"/>
  <c r="K207" i="26"/>
  <c r="A208" i="26"/>
  <c r="B208" i="26"/>
  <c r="C208" i="26"/>
  <c r="E208" i="26"/>
  <c r="H208" i="26"/>
  <c r="K208" i="26"/>
  <c r="A209" i="26"/>
  <c r="B209" i="26"/>
  <c r="C209" i="26"/>
  <c r="E209" i="26"/>
  <c r="H209" i="26"/>
  <c r="K209" i="26"/>
  <c r="A210" i="26"/>
  <c r="B210" i="26"/>
  <c r="C210" i="26"/>
  <c r="E210" i="26"/>
  <c r="H210" i="26"/>
  <c r="K210" i="26"/>
  <c r="A211" i="26"/>
  <c r="B211" i="26"/>
  <c r="C211" i="26"/>
  <c r="E211" i="26"/>
  <c r="H211" i="26"/>
  <c r="K211" i="26"/>
  <c r="A212" i="26"/>
  <c r="B212" i="26"/>
  <c r="C212" i="26"/>
  <c r="E212" i="26"/>
  <c r="H212" i="26"/>
  <c r="K212" i="26"/>
  <c r="A213" i="26"/>
  <c r="B213" i="26"/>
  <c r="C213" i="26"/>
  <c r="E213" i="26"/>
  <c r="H213" i="26"/>
  <c r="K213" i="26"/>
  <c r="A214" i="26"/>
  <c r="B214" i="26"/>
  <c r="C214" i="26"/>
  <c r="E214" i="26"/>
  <c r="H214" i="26"/>
  <c r="K214" i="26"/>
  <c r="A215" i="26"/>
  <c r="B215" i="26"/>
  <c r="C215" i="26"/>
  <c r="E215" i="26"/>
  <c r="H215" i="26"/>
  <c r="K215" i="26"/>
  <c r="A216" i="26"/>
  <c r="B216" i="26"/>
  <c r="C216" i="26"/>
  <c r="E216" i="26"/>
  <c r="H216" i="26"/>
  <c r="K216" i="26"/>
  <c r="A217" i="26"/>
  <c r="B217" i="26"/>
  <c r="C217" i="26"/>
  <c r="E217" i="26"/>
  <c r="H217" i="26"/>
  <c r="K217" i="26"/>
  <c r="A218" i="26"/>
  <c r="B218" i="26"/>
  <c r="C218" i="26"/>
  <c r="E218" i="26"/>
  <c r="H218" i="26"/>
  <c r="K218" i="26"/>
  <c r="A219" i="26"/>
  <c r="B219" i="26"/>
  <c r="C219" i="26"/>
  <c r="E219" i="26"/>
  <c r="H219" i="26"/>
  <c r="K219" i="26"/>
  <c r="A220" i="26"/>
  <c r="B220" i="26"/>
  <c r="C220" i="26"/>
  <c r="E220" i="26"/>
  <c r="H220" i="26"/>
  <c r="K220" i="26"/>
  <c r="A221" i="26"/>
  <c r="B221" i="26"/>
  <c r="C221" i="26"/>
  <c r="E221" i="26"/>
  <c r="H221" i="26"/>
  <c r="K221" i="26"/>
  <c r="A222" i="26"/>
  <c r="B222" i="26"/>
  <c r="C222" i="26"/>
  <c r="E222" i="26"/>
  <c r="H222" i="26"/>
  <c r="K222" i="26"/>
  <c r="A223" i="26"/>
  <c r="B223" i="26"/>
  <c r="C223" i="26"/>
  <c r="E223" i="26"/>
  <c r="H223" i="26"/>
  <c r="K223" i="26"/>
  <c r="A224" i="26"/>
  <c r="B224" i="26"/>
  <c r="C224" i="26"/>
  <c r="E224" i="26"/>
  <c r="H224" i="26"/>
  <c r="K224" i="26"/>
  <c r="A225" i="26"/>
  <c r="B225" i="26"/>
  <c r="C225" i="26"/>
  <c r="E225" i="26"/>
  <c r="H225" i="26"/>
  <c r="K225" i="26"/>
  <c r="A226" i="26"/>
  <c r="B226" i="26"/>
  <c r="C226" i="26"/>
  <c r="E226" i="26"/>
  <c r="H226" i="26"/>
  <c r="K226" i="26"/>
  <c r="A227" i="26"/>
  <c r="B227" i="26"/>
  <c r="C227" i="26"/>
  <c r="E227" i="26"/>
  <c r="H227" i="26"/>
  <c r="K227" i="26"/>
  <c r="A228" i="26"/>
  <c r="B228" i="26"/>
  <c r="C228" i="26"/>
  <c r="E228" i="26"/>
  <c r="H228" i="26"/>
  <c r="K228" i="26"/>
  <c r="A229" i="26"/>
  <c r="B229" i="26"/>
  <c r="C229" i="26"/>
  <c r="E229" i="26"/>
  <c r="H229" i="26"/>
  <c r="K229" i="26"/>
  <c r="A230" i="26"/>
  <c r="B230" i="26"/>
  <c r="C230" i="26"/>
  <c r="E230" i="26"/>
  <c r="H230" i="26"/>
  <c r="K230" i="26"/>
  <c r="A231" i="26"/>
  <c r="B231" i="26"/>
  <c r="C231" i="26"/>
  <c r="E231" i="26"/>
  <c r="H231" i="26"/>
  <c r="K231" i="26"/>
  <c r="A232" i="26"/>
  <c r="B232" i="26"/>
  <c r="C232" i="26"/>
  <c r="E232" i="26"/>
  <c r="H232" i="26"/>
  <c r="K232" i="26"/>
  <c r="A233" i="26"/>
  <c r="B233" i="26"/>
  <c r="C233" i="26"/>
  <c r="E233" i="26"/>
  <c r="H233" i="26"/>
  <c r="K233" i="26"/>
  <c r="A234" i="26"/>
  <c r="B234" i="26"/>
  <c r="C234" i="26"/>
  <c r="E234" i="26"/>
  <c r="H234" i="26"/>
  <c r="K234" i="26"/>
  <c r="A235" i="26"/>
  <c r="B235" i="26"/>
  <c r="C235" i="26"/>
  <c r="E235" i="26"/>
  <c r="H235" i="26"/>
  <c r="K235" i="26"/>
  <c r="A236" i="26"/>
  <c r="B236" i="26"/>
  <c r="C236" i="26"/>
  <c r="E236" i="26"/>
  <c r="H236" i="26"/>
  <c r="K236" i="26"/>
  <c r="A237" i="26"/>
  <c r="B237" i="26"/>
  <c r="C237" i="26"/>
  <c r="E237" i="26"/>
  <c r="H237" i="26"/>
  <c r="K237" i="26"/>
  <c r="A238" i="26"/>
  <c r="B238" i="26"/>
  <c r="C238" i="26"/>
  <c r="E238" i="26"/>
  <c r="H238" i="26"/>
  <c r="K238" i="26"/>
  <c r="A239" i="26"/>
  <c r="B239" i="26"/>
  <c r="C239" i="26"/>
  <c r="E239" i="26"/>
  <c r="H239" i="26"/>
  <c r="K239" i="26"/>
  <c r="A240" i="26"/>
  <c r="B240" i="26"/>
  <c r="C240" i="26"/>
  <c r="E240" i="26"/>
  <c r="H240" i="26"/>
  <c r="K240" i="26"/>
  <c r="A241" i="26"/>
  <c r="B241" i="26"/>
  <c r="C241" i="26"/>
  <c r="E241" i="26"/>
  <c r="H241" i="26"/>
  <c r="K241" i="26"/>
  <c r="A242" i="26"/>
  <c r="B242" i="26"/>
  <c r="C242" i="26"/>
  <c r="E242" i="26"/>
  <c r="H242" i="26"/>
  <c r="K242" i="26"/>
  <c r="A243" i="26"/>
  <c r="B243" i="26"/>
  <c r="C243" i="26"/>
  <c r="E243" i="26"/>
  <c r="H243" i="26"/>
  <c r="K243" i="26"/>
  <c r="A244" i="26"/>
  <c r="B244" i="26"/>
  <c r="C244" i="26"/>
  <c r="E244" i="26"/>
  <c r="H244" i="26"/>
  <c r="K244" i="26"/>
  <c r="A245" i="26"/>
  <c r="B245" i="26"/>
  <c r="C245" i="26"/>
  <c r="E245" i="26"/>
  <c r="H245" i="26"/>
  <c r="K245" i="26"/>
  <c r="A246" i="26"/>
  <c r="B246" i="26"/>
  <c r="C246" i="26"/>
  <c r="E246" i="26"/>
  <c r="H246" i="26"/>
  <c r="K246" i="26"/>
  <c r="A247" i="26"/>
  <c r="B247" i="26"/>
  <c r="C247" i="26"/>
  <c r="E247" i="26"/>
  <c r="H247" i="26"/>
  <c r="K247" i="26"/>
  <c r="A248" i="26"/>
  <c r="B248" i="26"/>
  <c r="C248" i="26"/>
  <c r="E248" i="26"/>
  <c r="H248" i="26"/>
  <c r="K248" i="26"/>
  <c r="A249" i="26"/>
  <c r="B249" i="26"/>
  <c r="C249" i="26"/>
  <c r="E249" i="26"/>
  <c r="H249" i="26"/>
  <c r="K249" i="26"/>
  <c r="B4" i="27" l="1"/>
  <c r="B5" i="27" s="1"/>
  <c r="B6" i="27" s="1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A4" i="27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K152" i="26" l="1"/>
  <c r="H152" i="26"/>
  <c r="E152" i="26"/>
  <c r="C152" i="26"/>
  <c r="B152" i="26"/>
  <c r="A152" i="26"/>
  <c r="K10" i="26" l="1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6" i="26"/>
  <c r="K57" i="26"/>
  <c r="K58" i="26"/>
  <c r="K59" i="26"/>
  <c r="K60" i="26"/>
  <c r="K61" i="26"/>
  <c r="K62" i="26"/>
  <c r="K63" i="26"/>
  <c r="K64" i="26"/>
  <c r="K65" i="26"/>
  <c r="K66" i="26"/>
  <c r="K67" i="26"/>
  <c r="K68" i="26"/>
  <c r="K69" i="26"/>
  <c r="K70" i="26"/>
  <c r="K71" i="26"/>
  <c r="K72" i="26"/>
  <c r="K73" i="26"/>
  <c r="K74" i="26"/>
  <c r="K75" i="26"/>
  <c r="K76" i="26"/>
  <c r="K77" i="26"/>
  <c r="K78" i="26"/>
  <c r="K79" i="26"/>
  <c r="K80" i="26"/>
  <c r="K81" i="26"/>
  <c r="K82" i="26"/>
  <c r="K83" i="26"/>
  <c r="K84" i="26"/>
  <c r="K85" i="26"/>
  <c r="K86" i="26"/>
  <c r="K87" i="26"/>
  <c r="K88" i="26"/>
  <c r="K89" i="26"/>
  <c r="K90" i="26"/>
  <c r="K91" i="26"/>
  <c r="K92" i="26"/>
  <c r="K93" i="26"/>
  <c r="K94" i="26"/>
  <c r="K95" i="26"/>
  <c r="K96" i="26"/>
  <c r="K97" i="26"/>
  <c r="K98" i="26"/>
  <c r="K99" i="26"/>
  <c r="K100" i="26"/>
  <c r="K101" i="26"/>
  <c r="K102" i="26"/>
  <c r="K103" i="26"/>
  <c r="K104" i="26"/>
  <c r="K105" i="26"/>
  <c r="K106" i="26"/>
  <c r="K107" i="26"/>
  <c r="K108" i="26"/>
  <c r="K109" i="26"/>
  <c r="K110" i="26"/>
  <c r="K111" i="26"/>
  <c r="K112" i="26"/>
  <c r="K113" i="26"/>
  <c r="K114" i="26"/>
  <c r="K115" i="26"/>
  <c r="K116" i="26"/>
  <c r="K117" i="26"/>
  <c r="K118" i="26"/>
  <c r="K119" i="26"/>
  <c r="K120" i="26"/>
  <c r="K121" i="26"/>
  <c r="K122" i="26"/>
  <c r="K123" i="26"/>
  <c r="K124" i="26"/>
  <c r="K125" i="26"/>
  <c r="K126" i="26"/>
  <c r="K127" i="26"/>
  <c r="K128" i="26"/>
  <c r="K129" i="26"/>
  <c r="K130" i="26"/>
  <c r="K131" i="26"/>
  <c r="K132" i="26"/>
  <c r="K133" i="26"/>
  <c r="K134" i="26"/>
  <c r="K135" i="26"/>
  <c r="K136" i="26"/>
  <c r="K137" i="26"/>
  <c r="K138" i="26"/>
  <c r="K139" i="26"/>
  <c r="K140" i="26"/>
  <c r="K141" i="26"/>
  <c r="K142" i="26"/>
  <c r="K143" i="26"/>
  <c r="K144" i="26"/>
  <c r="K145" i="26"/>
  <c r="K146" i="26"/>
  <c r="K147" i="26"/>
  <c r="K148" i="26"/>
  <c r="K149" i="26"/>
  <c r="K150" i="26"/>
  <c r="K151" i="26"/>
  <c r="K153" i="26"/>
  <c r="K154" i="26"/>
  <c r="K155" i="26"/>
  <c r="K156" i="26"/>
  <c r="K157" i="26"/>
  <c r="K158" i="26"/>
  <c r="K159" i="26"/>
  <c r="K160" i="26"/>
  <c r="K161" i="26"/>
  <c r="K162" i="26"/>
  <c r="K163" i="26"/>
  <c r="K164" i="26"/>
  <c r="K165" i="26"/>
  <c r="K166" i="26"/>
  <c r="K167" i="26"/>
  <c r="K168" i="26"/>
  <c r="K169" i="26"/>
  <c r="K170" i="26"/>
  <c r="K171" i="26"/>
  <c r="K172" i="26"/>
  <c r="K173" i="26"/>
  <c r="K174" i="26"/>
  <c r="K175" i="26"/>
  <c r="K176" i="26"/>
  <c r="K177" i="26"/>
  <c r="K178" i="26"/>
  <c r="K179" i="26"/>
  <c r="K180" i="26"/>
  <c r="K181" i="26"/>
  <c r="K182" i="26"/>
  <c r="K183" i="26"/>
  <c r="K184" i="26"/>
  <c r="K185" i="26"/>
  <c r="K186" i="26"/>
  <c r="K187" i="26"/>
  <c r="K188" i="26"/>
  <c r="K189" i="26"/>
  <c r="K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51" i="26"/>
  <c r="H52" i="26"/>
  <c r="H53" i="26"/>
  <c r="H54" i="26"/>
  <c r="H55" i="26"/>
  <c r="H56" i="26"/>
  <c r="H57" i="26"/>
  <c r="H58" i="26"/>
  <c r="H59" i="26"/>
  <c r="H60" i="26"/>
  <c r="H61" i="26"/>
  <c r="H62" i="26"/>
  <c r="H63" i="26"/>
  <c r="H64" i="26"/>
  <c r="H65" i="26"/>
  <c r="H66" i="26"/>
  <c r="H67" i="26"/>
  <c r="H68" i="26"/>
  <c r="H69" i="26"/>
  <c r="H70" i="26"/>
  <c r="H71" i="26"/>
  <c r="H72" i="26"/>
  <c r="H73" i="26"/>
  <c r="H74" i="26"/>
  <c r="H75" i="26"/>
  <c r="H76" i="26"/>
  <c r="H77" i="26"/>
  <c r="H78" i="26"/>
  <c r="H79" i="26"/>
  <c r="H80" i="26"/>
  <c r="H81" i="26"/>
  <c r="H82" i="26"/>
  <c r="H83" i="26"/>
  <c r="H84" i="26"/>
  <c r="H85" i="26"/>
  <c r="H86" i="26"/>
  <c r="H87" i="26"/>
  <c r="H88" i="26"/>
  <c r="H89" i="26"/>
  <c r="H90" i="26"/>
  <c r="H91" i="26"/>
  <c r="H92" i="26"/>
  <c r="H93" i="26"/>
  <c r="H94" i="26"/>
  <c r="H95" i="26"/>
  <c r="H96" i="26"/>
  <c r="H97" i="26"/>
  <c r="H98" i="26"/>
  <c r="H99" i="26"/>
  <c r="H100" i="26"/>
  <c r="H101" i="26"/>
  <c r="H102" i="26"/>
  <c r="H103" i="26"/>
  <c r="H104" i="26"/>
  <c r="H105" i="26"/>
  <c r="H106" i="26"/>
  <c r="H107" i="26"/>
  <c r="H108" i="26"/>
  <c r="H109" i="26"/>
  <c r="H110" i="26"/>
  <c r="H111" i="26"/>
  <c r="H112" i="26"/>
  <c r="H113" i="26"/>
  <c r="H114" i="26"/>
  <c r="H115" i="26"/>
  <c r="H116" i="26"/>
  <c r="H117" i="26"/>
  <c r="H118" i="26"/>
  <c r="H119" i="26"/>
  <c r="H120" i="26"/>
  <c r="H121" i="26"/>
  <c r="H122" i="26"/>
  <c r="H123" i="26"/>
  <c r="H124" i="26"/>
  <c r="H125" i="26"/>
  <c r="H126" i="26"/>
  <c r="H127" i="26"/>
  <c r="H128" i="26"/>
  <c r="H129" i="26"/>
  <c r="H130" i="26"/>
  <c r="H131" i="26"/>
  <c r="H132" i="26"/>
  <c r="H133" i="26"/>
  <c r="H134" i="26"/>
  <c r="H135" i="26"/>
  <c r="H136" i="26"/>
  <c r="H137" i="26"/>
  <c r="H138" i="26"/>
  <c r="H139" i="26"/>
  <c r="H140" i="26"/>
  <c r="H141" i="26"/>
  <c r="H142" i="26"/>
  <c r="H143" i="26"/>
  <c r="H144" i="26"/>
  <c r="H145" i="26"/>
  <c r="H146" i="26"/>
  <c r="H147" i="26"/>
  <c r="H148" i="26"/>
  <c r="H149" i="26"/>
  <c r="H150" i="26"/>
  <c r="H151" i="26"/>
  <c r="H153" i="26"/>
  <c r="H154" i="26"/>
  <c r="H155" i="26"/>
  <c r="H156" i="26"/>
  <c r="H157" i="26"/>
  <c r="H158" i="26"/>
  <c r="H159" i="26"/>
  <c r="H160" i="26"/>
  <c r="H161" i="26"/>
  <c r="H162" i="26"/>
  <c r="H163" i="26"/>
  <c r="H164" i="26"/>
  <c r="H165" i="26"/>
  <c r="H166" i="26"/>
  <c r="H167" i="26"/>
  <c r="H168" i="26"/>
  <c r="H169" i="26"/>
  <c r="H170" i="26"/>
  <c r="H171" i="26"/>
  <c r="H172" i="26"/>
  <c r="H173" i="26"/>
  <c r="H174" i="26"/>
  <c r="H175" i="26"/>
  <c r="H176" i="26"/>
  <c r="H177" i="26"/>
  <c r="H178" i="26"/>
  <c r="H179" i="26"/>
  <c r="H180" i="26"/>
  <c r="H181" i="26"/>
  <c r="H182" i="26"/>
  <c r="H183" i="26"/>
  <c r="H184" i="26"/>
  <c r="H185" i="26"/>
  <c r="H186" i="26"/>
  <c r="H187" i="26"/>
  <c r="H188" i="26"/>
  <c r="H189" i="26"/>
  <c r="H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E69" i="26"/>
  <c r="E70" i="26"/>
  <c r="E71" i="26"/>
  <c r="E72" i="26"/>
  <c r="E73" i="26"/>
  <c r="E74" i="26"/>
  <c r="E75" i="26"/>
  <c r="E76" i="26"/>
  <c r="E77" i="26"/>
  <c r="E78" i="26"/>
  <c r="E79" i="26"/>
  <c r="E80" i="26"/>
  <c r="E81" i="26"/>
  <c r="E82" i="26"/>
  <c r="E83" i="26"/>
  <c r="E84" i="26"/>
  <c r="E85" i="26"/>
  <c r="E86" i="26"/>
  <c r="E87" i="26"/>
  <c r="E88" i="26"/>
  <c r="E89" i="26"/>
  <c r="E90" i="26"/>
  <c r="E91" i="26"/>
  <c r="E92" i="26"/>
  <c r="E93" i="26"/>
  <c r="E94" i="26"/>
  <c r="E95" i="26"/>
  <c r="E96" i="26"/>
  <c r="E97" i="26"/>
  <c r="E98" i="26"/>
  <c r="E99" i="26"/>
  <c r="E100" i="26"/>
  <c r="E101" i="26"/>
  <c r="E102" i="26"/>
  <c r="E103" i="26"/>
  <c r="E104" i="26"/>
  <c r="E105" i="26"/>
  <c r="E106" i="26"/>
  <c r="E107" i="26"/>
  <c r="E108" i="26"/>
  <c r="E109" i="26"/>
  <c r="E110" i="26"/>
  <c r="E111" i="26"/>
  <c r="E112" i="26"/>
  <c r="E113" i="26"/>
  <c r="E114" i="26"/>
  <c r="E115" i="26"/>
  <c r="E116" i="26"/>
  <c r="E117" i="26"/>
  <c r="E118" i="26"/>
  <c r="E119" i="26"/>
  <c r="E120" i="26"/>
  <c r="E121" i="26"/>
  <c r="E122" i="26"/>
  <c r="E123" i="26"/>
  <c r="E124" i="26"/>
  <c r="E125" i="26"/>
  <c r="E126" i="26"/>
  <c r="E127" i="26"/>
  <c r="E128" i="26"/>
  <c r="E129" i="26"/>
  <c r="E130" i="26"/>
  <c r="E131" i="26"/>
  <c r="E132" i="26"/>
  <c r="E133" i="26"/>
  <c r="E134" i="26"/>
  <c r="E135" i="26"/>
  <c r="E136" i="26"/>
  <c r="E137" i="26"/>
  <c r="E138" i="26"/>
  <c r="E139" i="26"/>
  <c r="E140" i="26"/>
  <c r="E141" i="26"/>
  <c r="E142" i="26"/>
  <c r="E143" i="26"/>
  <c r="E144" i="26"/>
  <c r="E145" i="26"/>
  <c r="E146" i="26"/>
  <c r="E147" i="26"/>
  <c r="E148" i="26"/>
  <c r="E149" i="26"/>
  <c r="E150" i="26"/>
  <c r="E151" i="26"/>
  <c r="E153" i="26"/>
  <c r="E154" i="26"/>
  <c r="E155" i="26"/>
  <c r="E156" i="26"/>
  <c r="E157" i="26"/>
  <c r="E158" i="26"/>
  <c r="E159" i="26"/>
  <c r="E160" i="26"/>
  <c r="E161" i="26"/>
  <c r="E162" i="26"/>
  <c r="E163" i="26"/>
  <c r="E164" i="26"/>
  <c r="E165" i="26"/>
  <c r="E166" i="26"/>
  <c r="E167" i="26"/>
  <c r="E168" i="26"/>
  <c r="E169" i="26"/>
  <c r="E170" i="26"/>
  <c r="E171" i="26"/>
  <c r="E172" i="26"/>
  <c r="E173" i="26"/>
  <c r="E174" i="26"/>
  <c r="E175" i="26"/>
  <c r="E176" i="26"/>
  <c r="E177" i="26"/>
  <c r="E178" i="26"/>
  <c r="E179" i="26"/>
  <c r="E180" i="26"/>
  <c r="E181" i="26"/>
  <c r="E182" i="26"/>
  <c r="E183" i="26"/>
  <c r="E184" i="26"/>
  <c r="E185" i="26"/>
  <c r="E186" i="26"/>
  <c r="E187" i="26"/>
  <c r="E188" i="26"/>
  <c r="E189" i="26"/>
  <c r="E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82" i="26"/>
  <c r="C83" i="26"/>
  <c r="C84" i="26"/>
  <c r="C85" i="26"/>
  <c r="C86" i="26"/>
  <c r="C87" i="26"/>
  <c r="C88" i="26"/>
  <c r="C89" i="26"/>
  <c r="C90" i="26"/>
  <c r="C91" i="26"/>
  <c r="C92" i="26"/>
  <c r="C93" i="26"/>
  <c r="C94" i="26"/>
  <c r="C95" i="26"/>
  <c r="C96" i="26"/>
  <c r="C97" i="26"/>
  <c r="C98" i="26"/>
  <c r="C99" i="26"/>
  <c r="C100" i="26"/>
  <c r="C101" i="26"/>
  <c r="C102" i="26"/>
  <c r="C103" i="26"/>
  <c r="C104" i="26"/>
  <c r="C105" i="26"/>
  <c r="C106" i="26"/>
  <c r="C107" i="26"/>
  <c r="C108" i="26"/>
  <c r="C109" i="26"/>
  <c r="C110" i="26"/>
  <c r="C111" i="26"/>
  <c r="C112" i="26"/>
  <c r="C113" i="26"/>
  <c r="C114" i="26"/>
  <c r="C115" i="26"/>
  <c r="C116" i="26"/>
  <c r="C117" i="26"/>
  <c r="C118" i="26"/>
  <c r="C119" i="26"/>
  <c r="C120" i="26"/>
  <c r="C121" i="26"/>
  <c r="C122" i="26"/>
  <c r="C123" i="26"/>
  <c r="C124" i="26"/>
  <c r="C125" i="26"/>
  <c r="C126" i="26"/>
  <c r="C127" i="26"/>
  <c r="C128" i="26"/>
  <c r="C129" i="26"/>
  <c r="C130" i="26"/>
  <c r="C131" i="26"/>
  <c r="C132" i="26"/>
  <c r="C133" i="26"/>
  <c r="C134" i="26"/>
  <c r="C135" i="26"/>
  <c r="C136" i="26"/>
  <c r="C137" i="26"/>
  <c r="C138" i="26"/>
  <c r="C139" i="26"/>
  <c r="C140" i="26"/>
  <c r="C141" i="26"/>
  <c r="C142" i="26"/>
  <c r="C143" i="26"/>
  <c r="C144" i="26"/>
  <c r="C145" i="26"/>
  <c r="C146" i="26"/>
  <c r="C147" i="26"/>
  <c r="C148" i="26"/>
  <c r="C149" i="26"/>
  <c r="C150" i="26"/>
  <c r="C151" i="26"/>
  <c r="C153" i="26"/>
  <c r="C154" i="26"/>
  <c r="C155" i="26"/>
  <c r="C156" i="26"/>
  <c r="C157" i="26"/>
  <c r="C158" i="26"/>
  <c r="C159" i="26"/>
  <c r="C160" i="26"/>
  <c r="C161" i="26"/>
  <c r="C162" i="26"/>
  <c r="C163" i="26"/>
  <c r="C164" i="26"/>
  <c r="C165" i="26"/>
  <c r="C166" i="26"/>
  <c r="C167" i="26"/>
  <c r="C168" i="26"/>
  <c r="C169" i="26"/>
  <c r="C170" i="26"/>
  <c r="C171" i="26"/>
  <c r="C172" i="26"/>
  <c r="C173" i="26"/>
  <c r="C174" i="26"/>
  <c r="C175" i="26"/>
  <c r="C176" i="26"/>
  <c r="C177" i="26"/>
  <c r="C178" i="26"/>
  <c r="C179" i="26"/>
  <c r="C180" i="26"/>
  <c r="C181" i="26"/>
  <c r="C182" i="26"/>
  <c r="C183" i="26"/>
  <c r="C184" i="26"/>
  <c r="C185" i="26"/>
  <c r="C186" i="26"/>
  <c r="C187" i="26"/>
  <c r="C188" i="26"/>
  <c r="C189" i="26"/>
  <c r="C9" i="26"/>
  <c r="A145" i="26" l="1"/>
  <c r="B145" i="26"/>
  <c r="A146" i="26"/>
  <c r="B146" i="26"/>
  <c r="A147" i="26"/>
  <c r="B147" i="26"/>
  <c r="A148" i="26"/>
  <c r="B148" i="26"/>
  <c r="A149" i="26"/>
  <c r="B149" i="26"/>
  <c r="A150" i="26"/>
  <c r="B150" i="26"/>
  <c r="A151" i="26"/>
  <c r="B151" i="26"/>
  <c r="A153" i="26"/>
  <c r="B153" i="26"/>
  <c r="A154" i="26"/>
  <c r="B154" i="26"/>
  <c r="A155" i="26"/>
  <c r="B155" i="26"/>
  <c r="A156" i="26"/>
  <c r="B156" i="26"/>
  <c r="A157" i="26"/>
  <c r="B157" i="26"/>
  <c r="A158" i="26"/>
  <c r="B158" i="26"/>
  <c r="A159" i="26"/>
  <c r="B159" i="26"/>
  <c r="A160" i="26"/>
  <c r="B160" i="26"/>
  <c r="A161" i="26"/>
  <c r="B161" i="26"/>
  <c r="A162" i="26"/>
  <c r="B162" i="26"/>
  <c r="A163" i="26"/>
  <c r="B163" i="26"/>
  <c r="A164" i="26"/>
  <c r="B164" i="26"/>
  <c r="A165" i="26"/>
  <c r="B165" i="26"/>
  <c r="A166" i="26"/>
  <c r="B166" i="26"/>
  <c r="A167" i="26"/>
  <c r="B167" i="26"/>
  <c r="A168" i="26"/>
  <c r="B168" i="26"/>
  <c r="A169" i="26"/>
  <c r="B169" i="26"/>
  <c r="A170" i="26"/>
  <c r="B170" i="26"/>
  <c r="A171" i="26"/>
  <c r="B171" i="26"/>
  <c r="A172" i="26"/>
  <c r="B172" i="26"/>
  <c r="A173" i="26"/>
  <c r="B173" i="26"/>
  <c r="A174" i="26"/>
  <c r="B174" i="26"/>
  <c r="A175" i="26"/>
  <c r="B175" i="26"/>
  <c r="A176" i="26"/>
  <c r="B176" i="26"/>
  <c r="A177" i="26"/>
  <c r="B177" i="26"/>
  <c r="A178" i="26"/>
  <c r="B178" i="26"/>
  <c r="A179" i="26"/>
  <c r="B179" i="26"/>
  <c r="A180" i="26"/>
  <c r="B180" i="26"/>
  <c r="A181" i="26"/>
  <c r="B181" i="26"/>
  <c r="A182" i="26"/>
  <c r="B182" i="26"/>
  <c r="A183" i="26"/>
  <c r="B183" i="26"/>
  <c r="A184" i="26"/>
  <c r="B184" i="26"/>
  <c r="A185" i="26"/>
  <c r="B185" i="26"/>
  <c r="A186" i="26"/>
  <c r="B186" i="26"/>
  <c r="A187" i="26"/>
  <c r="B187" i="26"/>
  <c r="A188" i="26"/>
  <c r="B188" i="26"/>
  <c r="A189" i="26"/>
  <c r="B18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72" i="26"/>
  <c r="B73" i="26"/>
  <c r="B74" i="26"/>
  <c r="B75" i="26"/>
  <c r="B76" i="26"/>
  <c r="B77" i="26"/>
  <c r="B78" i="26"/>
  <c r="B79" i="26"/>
  <c r="B80" i="26"/>
  <c r="B81" i="26"/>
  <c r="B82" i="26"/>
  <c r="B83" i="26"/>
  <c r="B84" i="26"/>
  <c r="B85" i="26"/>
  <c r="B86" i="26"/>
  <c r="B87" i="26"/>
  <c r="B88" i="26"/>
  <c r="B89" i="26"/>
  <c r="B90" i="26"/>
  <c r="B91" i="26"/>
  <c r="B92" i="26"/>
  <c r="B93" i="26"/>
  <c r="B94" i="26"/>
  <c r="B95" i="26"/>
  <c r="B96" i="26"/>
  <c r="B97" i="26"/>
  <c r="B98" i="26"/>
  <c r="B99" i="26"/>
  <c r="B100" i="26"/>
  <c r="B101" i="26"/>
  <c r="B102" i="26"/>
  <c r="B103" i="26"/>
  <c r="B104" i="26"/>
  <c r="B105" i="26"/>
  <c r="B106" i="26"/>
  <c r="B107" i="26"/>
  <c r="B108" i="26"/>
  <c r="B109" i="26"/>
  <c r="B110" i="26"/>
  <c r="B111" i="26"/>
  <c r="B112" i="26"/>
  <c r="B113" i="26"/>
  <c r="B114" i="26"/>
  <c r="B115" i="26"/>
  <c r="B116" i="26"/>
  <c r="B117" i="26"/>
  <c r="B118" i="26"/>
  <c r="B119" i="26"/>
  <c r="B120" i="26"/>
  <c r="B121" i="26"/>
  <c r="B122" i="26"/>
  <c r="B123" i="26"/>
  <c r="B124" i="26"/>
  <c r="B125" i="26"/>
  <c r="B126" i="26"/>
  <c r="B127" i="26"/>
  <c r="B128" i="26"/>
  <c r="B129" i="26"/>
  <c r="B130" i="26"/>
  <c r="B131" i="26"/>
  <c r="B132" i="26"/>
  <c r="B133" i="26"/>
  <c r="B134" i="26"/>
  <c r="B135" i="26"/>
  <c r="B136" i="26"/>
  <c r="B137" i="26"/>
  <c r="B138" i="26"/>
  <c r="B139" i="26"/>
  <c r="B140" i="26"/>
  <c r="B141" i="26"/>
  <c r="B142" i="26"/>
  <c r="B143" i="26"/>
  <c r="B144" i="26"/>
  <c r="B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9" i="26"/>
  <c r="E12" i="23"/>
  <c r="Q107" i="4" l="1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63" i="4" l="1"/>
  <c r="AV63" i="4" s="1"/>
  <c r="Q62" i="4"/>
  <c r="AV62" i="4" s="1"/>
  <c r="Q61" i="4"/>
  <c r="AV61" i="4" s="1"/>
  <c r="Q60" i="4"/>
  <c r="AV60" i="4" s="1"/>
  <c r="AX4" i="4" l="1"/>
  <c r="AY4" i="4"/>
  <c r="AZ4" i="4"/>
  <c r="AZ5" i="4" l="1"/>
  <c r="AZ6" i="4"/>
  <c r="AZ7" i="4"/>
  <c r="AZ8" i="4"/>
  <c r="AZ9" i="4"/>
  <c r="AZ10" i="4"/>
  <c r="AZ11" i="4"/>
  <c r="AZ12" i="4"/>
  <c r="AZ13" i="4"/>
  <c r="AZ14" i="4"/>
  <c r="AZ15" i="4"/>
  <c r="Q8" i="4" l="1"/>
  <c r="Q9" i="4"/>
  <c r="Q10" i="4"/>
  <c r="Q11" i="4"/>
  <c r="AV11" i="4" s="1"/>
  <c r="Q12" i="4"/>
  <c r="AV12" i="4" s="1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AY5" i="4" l="1"/>
  <c r="AY6" i="4"/>
  <c r="AY7" i="4"/>
  <c r="AY8" i="4"/>
  <c r="AY9" i="4"/>
  <c r="AY10" i="4"/>
  <c r="AY11" i="4"/>
  <c r="AY12" i="4"/>
  <c r="AY13" i="4"/>
  <c r="AY14" i="4"/>
  <c r="AY15" i="4"/>
  <c r="AY16" i="4" l="1"/>
  <c r="AZ16" i="4"/>
  <c r="AA4" i="23"/>
  <c r="AA5" i="23"/>
  <c r="AA8" i="23"/>
  <c r="AA11" i="23"/>
  <c r="AA12" i="23"/>
  <c r="AA14" i="23"/>
  <c r="AA3" i="23"/>
  <c r="Z4" i="23"/>
  <c r="Z5" i="23"/>
  <c r="Z6" i="23"/>
  <c r="Z7" i="23"/>
  <c r="Z8" i="23"/>
  <c r="Z9" i="23"/>
  <c r="Z10" i="23"/>
  <c r="Z11" i="23"/>
  <c r="Z12" i="23"/>
  <c r="Z13" i="23"/>
  <c r="Z14" i="23"/>
  <c r="Z3" i="23"/>
  <c r="Y4" i="23"/>
  <c r="Y5" i="23"/>
  <c r="Y6" i="23"/>
  <c r="Y7" i="23"/>
  <c r="Y8" i="23"/>
  <c r="Y9" i="23"/>
  <c r="Y10" i="23"/>
  <c r="Y11" i="23"/>
  <c r="Y12" i="23"/>
  <c r="Y13" i="23"/>
  <c r="Y14" i="23"/>
  <c r="Y3" i="23"/>
  <c r="AA4" i="22"/>
  <c r="AA5" i="22"/>
  <c r="AA6" i="22"/>
  <c r="AA7" i="22"/>
  <c r="AA8" i="22"/>
  <c r="AA11" i="22"/>
  <c r="AA12" i="22"/>
  <c r="AA13" i="22"/>
  <c r="AA14" i="22"/>
  <c r="AA3" i="22"/>
  <c r="Z3" i="22"/>
  <c r="Y4" i="22"/>
  <c r="Y5" i="22"/>
  <c r="Y6" i="22"/>
  <c r="Y7" i="22"/>
  <c r="Y8" i="22"/>
  <c r="Y9" i="22"/>
  <c r="Y10" i="22"/>
  <c r="Y11" i="22"/>
  <c r="Y12" i="22"/>
  <c r="Y13" i="22"/>
  <c r="Y14" i="22"/>
  <c r="Y3" i="22"/>
  <c r="X3" i="21"/>
  <c r="Z4" i="22"/>
  <c r="Z5" i="22"/>
  <c r="Z6" i="22"/>
  <c r="Z7" i="22"/>
  <c r="Z8" i="22"/>
  <c r="Z9" i="22"/>
  <c r="Z10" i="22"/>
  <c r="Z11" i="22"/>
  <c r="Z12" i="22"/>
  <c r="Z13" i="22"/>
  <c r="Z14" i="22"/>
  <c r="Y3" i="21"/>
  <c r="X4" i="21"/>
  <c r="X5" i="21"/>
  <c r="X6" i="21"/>
  <c r="X7" i="21"/>
  <c r="X8" i="21"/>
  <c r="X9" i="21"/>
  <c r="X10" i="21"/>
  <c r="X11" i="21"/>
  <c r="X12" i="21"/>
  <c r="X13" i="21"/>
  <c r="X14" i="21"/>
  <c r="X4" i="23"/>
  <c r="X5" i="23"/>
  <c r="X6" i="23"/>
  <c r="X7" i="23"/>
  <c r="X8" i="23"/>
  <c r="X9" i="23"/>
  <c r="X10" i="23"/>
  <c r="X11" i="23"/>
  <c r="X12" i="23"/>
  <c r="X13" i="23"/>
  <c r="X14" i="23"/>
  <c r="X3" i="23"/>
  <c r="X4" i="22"/>
  <c r="X5" i="22"/>
  <c r="X6" i="22"/>
  <c r="X7" i="22"/>
  <c r="X8" i="22"/>
  <c r="X9" i="22"/>
  <c r="X10" i="22"/>
  <c r="X11" i="22"/>
  <c r="X12" i="22"/>
  <c r="X13" i="22"/>
  <c r="X14" i="22"/>
  <c r="X15" i="22"/>
  <c r="X3" i="22"/>
  <c r="X15" i="23" l="1"/>
  <c r="Z15" i="22"/>
  <c r="Y15" i="22"/>
  <c r="X15" i="21"/>
  <c r="M4" i="15"/>
  <c r="N4" i="15"/>
  <c r="BA5" i="4" l="1"/>
  <c r="BA9" i="4"/>
  <c r="BA12" i="4"/>
  <c r="BA13" i="4"/>
  <c r="BA15" i="4"/>
  <c r="Z4" i="21" l="1"/>
  <c r="Z6" i="21"/>
  <c r="Z7" i="21"/>
  <c r="Z8" i="21"/>
  <c r="Z11" i="21"/>
  <c r="Z12" i="21"/>
  <c r="Z14" i="21"/>
  <c r="Y4" i="21"/>
  <c r="Y5" i="21"/>
  <c r="Y6" i="21"/>
  <c r="Y7" i="21"/>
  <c r="Y8" i="21"/>
  <c r="Y9" i="21"/>
  <c r="Y10" i="21"/>
  <c r="Y11" i="21"/>
  <c r="Y12" i="21"/>
  <c r="Y13" i="21"/>
  <c r="Y14" i="21"/>
  <c r="W4" i="21"/>
  <c r="W5" i="21"/>
  <c r="W6" i="21"/>
  <c r="W7" i="21"/>
  <c r="W8" i="21"/>
  <c r="W9" i="21"/>
  <c r="W10" i="21"/>
  <c r="W11" i="21"/>
  <c r="W12" i="21"/>
  <c r="W13" i="21"/>
  <c r="W14" i="21"/>
  <c r="W3" i="21"/>
  <c r="Y15" i="23" l="1"/>
  <c r="Z15" i="23"/>
  <c r="W15" i="21"/>
  <c r="Y15" i="21"/>
  <c r="Q12" i="21"/>
  <c r="D12" i="22"/>
  <c r="E12" i="22"/>
  <c r="G12" i="22"/>
  <c r="J12" i="22" l="1"/>
  <c r="AX5" i="4"/>
  <c r="AX6" i="4"/>
  <c r="AX7" i="4"/>
  <c r="AX8" i="4"/>
  <c r="AX9" i="4"/>
  <c r="AX10" i="4"/>
  <c r="AX11" i="4"/>
  <c r="AX12" i="4"/>
  <c r="AX13" i="4"/>
  <c r="AX14" i="4"/>
  <c r="AX15" i="4"/>
  <c r="AX16" i="4" l="1"/>
  <c r="Q6" i="4"/>
  <c r="Q7" i="4"/>
  <c r="AA7" i="23" l="1"/>
  <c r="BA8" i="4"/>
  <c r="BA6" i="4"/>
  <c r="Z5" i="21"/>
  <c r="BA7" i="4"/>
  <c r="AA6" i="23"/>
  <c r="AV6" i="4"/>
  <c r="AV7" i="4"/>
  <c r="AV8" i="4"/>
  <c r="AV9" i="4"/>
  <c r="AV10" i="4"/>
  <c r="Q5" i="4"/>
  <c r="BA4" i="4" s="1"/>
  <c r="AV13" i="4"/>
  <c r="AV5" i="4" l="1"/>
  <c r="Z3" i="21"/>
  <c r="C9" i="14" l="1"/>
  <c r="C7" i="14"/>
  <c r="C8" i="14"/>
  <c r="S15" i="23" l="1"/>
  <c r="S14" i="23"/>
  <c r="S13" i="23"/>
  <c r="Q8" i="23"/>
  <c r="Q7" i="23"/>
  <c r="Q6" i="23"/>
  <c r="Q5" i="23"/>
  <c r="Q4" i="23"/>
  <c r="S24" i="22"/>
  <c r="S23" i="22"/>
  <c r="S22" i="22"/>
  <c r="Q17" i="22"/>
  <c r="Q16" i="22"/>
  <c r="Q15" i="22"/>
  <c r="Q14" i="22"/>
  <c r="Q13" i="22"/>
  <c r="R9" i="22"/>
  <c r="R6" i="22"/>
  <c r="Q9" i="22"/>
  <c r="Q8" i="22"/>
  <c r="Q6" i="22"/>
  <c r="Q7" i="22"/>
  <c r="Q5" i="22"/>
  <c r="J35" i="23"/>
  <c r="J35" i="22"/>
  <c r="J35" i="21"/>
  <c r="S5" i="23" l="1"/>
  <c r="S4" i="23"/>
  <c r="S14" i="22"/>
  <c r="S6" i="23"/>
  <c r="S7" i="23"/>
  <c r="S8" i="23"/>
  <c r="S16" i="22"/>
  <c r="S17" i="22"/>
  <c r="S13" i="22"/>
  <c r="S15" i="22"/>
  <c r="R8" i="21" l="1"/>
  <c r="Q8" i="21"/>
  <c r="M263" i="24" l="1"/>
  <c r="M262" i="24"/>
  <c r="M261" i="24"/>
  <c r="M260" i="24"/>
  <c r="M259" i="24"/>
  <c r="M258" i="24"/>
  <c r="M257" i="24"/>
  <c r="M256" i="24"/>
  <c r="M255" i="24"/>
  <c r="M254" i="24"/>
  <c r="M253" i="24"/>
  <c r="M252" i="24"/>
  <c r="M251" i="24"/>
  <c r="M250" i="24"/>
  <c r="M249" i="24"/>
  <c r="M248" i="24"/>
  <c r="M247" i="24"/>
  <c r="M246" i="24"/>
  <c r="M245" i="24"/>
  <c r="M244" i="24"/>
  <c r="M243" i="24"/>
  <c r="M242" i="24"/>
  <c r="M241" i="24"/>
  <c r="M240" i="24"/>
  <c r="M239" i="24"/>
  <c r="M238" i="24"/>
  <c r="M237" i="24"/>
  <c r="M236" i="24"/>
  <c r="M235" i="24"/>
  <c r="M234" i="24"/>
  <c r="M233" i="24"/>
  <c r="M232" i="24"/>
  <c r="M231" i="24"/>
  <c r="M230" i="24"/>
  <c r="M229" i="24"/>
  <c r="M228" i="24"/>
  <c r="M227" i="24"/>
  <c r="M226" i="24"/>
  <c r="M225" i="24"/>
  <c r="M224" i="24"/>
  <c r="M223" i="24"/>
  <c r="M222" i="24"/>
  <c r="M221" i="24"/>
  <c r="M220" i="24"/>
  <c r="M219" i="24"/>
  <c r="M218" i="24"/>
  <c r="M217" i="24"/>
  <c r="M216" i="24"/>
  <c r="M215" i="24"/>
  <c r="M214" i="24"/>
  <c r="M213" i="24"/>
  <c r="M212" i="24"/>
  <c r="M211" i="24"/>
  <c r="M210" i="24"/>
  <c r="M209" i="24"/>
  <c r="M208" i="24"/>
  <c r="M207" i="24"/>
  <c r="M206" i="24"/>
  <c r="M205" i="24"/>
  <c r="M204" i="24"/>
  <c r="M203" i="24"/>
  <c r="M202" i="24"/>
  <c r="M201" i="24"/>
  <c r="M200" i="24"/>
  <c r="M199" i="24"/>
  <c r="M198" i="24"/>
  <c r="M197" i="24"/>
  <c r="M196" i="24"/>
  <c r="M195" i="24"/>
  <c r="M194" i="24"/>
  <c r="M193" i="24"/>
  <c r="M192" i="24"/>
  <c r="M191" i="24"/>
  <c r="M190" i="24"/>
  <c r="M189" i="24"/>
  <c r="M188" i="24"/>
  <c r="M187" i="24"/>
  <c r="M186" i="24"/>
  <c r="M185" i="24"/>
  <c r="M184" i="24"/>
  <c r="M183" i="24"/>
  <c r="M182" i="24"/>
  <c r="M181" i="24"/>
  <c r="M180" i="24"/>
  <c r="M179" i="24"/>
  <c r="M178" i="24"/>
  <c r="M177" i="24"/>
  <c r="M176" i="24"/>
  <c r="M175" i="24"/>
  <c r="M174" i="24"/>
  <c r="M173" i="24"/>
  <c r="M172" i="24"/>
  <c r="M171" i="24"/>
  <c r="M170" i="24"/>
  <c r="M169" i="24"/>
  <c r="M168" i="24"/>
  <c r="M167" i="24"/>
  <c r="M166" i="24"/>
  <c r="M165" i="24"/>
  <c r="M164" i="24"/>
  <c r="M163" i="24"/>
  <c r="M162" i="24"/>
  <c r="M161" i="24"/>
  <c r="M160" i="24"/>
  <c r="M159" i="24"/>
  <c r="M158" i="24"/>
  <c r="M157" i="24"/>
  <c r="M156" i="24"/>
  <c r="M155" i="24"/>
  <c r="M154" i="24"/>
  <c r="M153" i="24"/>
  <c r="M152" i="24"/>
  <c r="M151" i="24"/>
  <c r="M150" i="24"/>
  <c r="M149" i="24"/>
  <c r="M148" i="24"/>
  <c r="M147" i="24"/>
  <c r="M146" i="24"/>
  <c r="M145" i="24"/>
  <c r="M144" i="24"/>
  <c r="M143" i="24"/>
  <c r="M142" i="24"/>
  <c r="M141" i="24"/>
  <c r="M140" i="24"/>
  <c r="M139" i="24"/>
  <c r="M138" i="24"/>
  <c r="M137" i="24"/>
  <c r="M136" i="24"/>
  <c r="M135" i="24"/>
  <c r="M134" i="24"/>
  <c r="M133" i="24"/>
  <c r="M132" i="24"/>
  <c r="M131" i="24"/>
  <c r="M130" i="24"/>
  <c r="M129" i="24"/>
  <c r="M128" i="24"/>
  <c r="M127" i="24"/>
  <c r="M126" i="24"/>
  <c r="M125" i="24"/>
  <c r="M124" i="24"/>
  <c r="M123" i="24"/>
  <c r="M122" i="24"/>
  <c r="M121" i="24"/>
  <c r="M120" i="24"/>
  <c r="M119" i="24"/>
  <c r="M118" i="24"/>
  <c r="M117" i="24"/>
  <c r="M116" i="24"/>
  <c r="M115" i="24"/>
  <c r="M114" i="24"/>
  <c r="M113" i="24"/>
  <c r="M112" i="24"/>
  <c r="M111" i="24"/>
  <c r="M110" i="24"/>
  <c r="M109" i="24"/>
  <c r="M108" i="24"/>
  <c r="M107" i="24"/>
  <c r="M106" i="24"/>
  <c r="M105" i="24"/>
  <c r="M104" i="24"/>
  <c r="M103" i="24"/>
  <c r="M102" i="24"/>
  <c r="M101" i="24"/>
  <c r="M100" i="24"/>
  <c r="M99" i="24"/>
  <c r="M98" i="24"/>
  <c r="M97" i="24"/>
  <c r="M96" i="24"/>
  <c r="M95" i="24"/>
  <c r="M94" i="24"/>
  <c r="M93" i="24"/>
  <c r="M92" i="24"/>
  <c r="M91" i="24"/>
  <c r="M90" i="24"/>
  <c r="M89" i="24"/>
  <c r="M88" i="24"/>
  <c r="M87" i="24"/>
  <c r="M86" i="24"/>
  <c r="M85" i="24"/>
  <c r="M84" i="24"/>
  <c r="M83" i="24"/>
  <c r="M82" i="24"/>
  <c r="M81" i="24"/>
  <c r="M80" i="24"/>
  <c r="M79" i="24"/>
  <c r="M78" i="24"/>
  <c r="M77" i="24"/>
  <c r="M76" i="24"/>
  <c r="M75" i="24"/>
  <c r="M74" i="24"/>
  <c r="M73" i="24"/>
  <c r="M72" i="24"/>
  <c r="M71" i="24"/>
  <c r="M70" i="24"/>
  <c r="M69" i="24"/>
  <c r="M68" i="24"/>
  <c r="M67" i="24"/>
  <c r="M66" i="24"/>
  <c r="M65" i="24"/>
  <c r="M64" i="24"/>
  <c r="M63" i="24"/>
  <c r="M62" i="24"/>
  <c r="M61" i="24"/>
  <c r="M60" i="24"/>
  <c r="M59" i="24"/>
  <c r="M58" i="24"/>
  <c r="M57" i="24"/>
  <c r="M56" i="24"/>
  <c r="M55" i="24"/>
  <c r="M54" i="24"/>
  <c r="M53" i="24"/>
  <c r="M52" i="24"/>
  <c r="M51" i="24"/>
  <c r="M50" i="24"/>
  <c r="M49" i="24"/>
  <c r="M48" i="24"/>
  <c r="M47" i="24"/>
  <c r="M46" i="24"/>
  <c r="M45" i="24"/>
  <c r="M44" i="24"/>
  <c r="M43" i="24"/>
  <c r="M42" i="24"/>
  <c r="M41" i="24"/>
  <c r="M40" i="24"/>
  <c r="M39" i="24"/>
  <c r="M38" i="24"/>
  <c r="M37" i="24"/>
  <c r="M36" i="24"/>
  <c r="M35" i="24"/>
  <c r="M34" i="24"/>
  <c r="M33" i="24"/>
  <c r="M32" i="24"/>
  <c r="M31" i="24"/>
  <c r="M30" i="24"/>
  <c r="M29" i="24"/>
  <c r="M28" i="24"/>
  <c r="M27" i="24"/>
  <c r="M26" i="24"/>
  <c r="M25" i="24"/>
  <c r="M24" i="24"/>
  <c r="M23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M10" i="24"/>
  <c r="M9" i="24"/>
  <c r="M8" i="24"/>
  <c r="M7" i="24"/>
  <c r="M6" i="24"/>
  <c r="M5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K34" i="23" l="1"/>
  <c r="J34" i="23"/>
  <c r="E9" i="14" s="1"/>
  <c r="J34" i="21"/>
  <c r="E8" i="14" s="1"/>
  <c r="K34" i="21"/>
  <c r="K34" i="22"/>
  <c r="J34" i="22"/>
  <c r="E7" i="14" s="1"/>
  <c r="M4" i="24"/>
  <c r="J32" i="23" l="1"/>
  <c r="J32" i="22"/>
  <c r="J32" i="21"/>
  <c r="S28" i="21"/>
  <c r="S27" i="21"/>
  <c r="S26" i="21"/>
  <c r="S25" i="21"/>
  <c r="S24" i="21"/>
  <c r="S23" i="21"/>
  <c r="S22" i="21"/>
  <c r="S21" i="21"/>
  <c r="Q16" i="21"/>
  <c r="Q15" i="21"/>
  <c r="Q14" i="21"/>
  <c r="Q13" i="21"/>
  <c r="S5" i="21"/>
  <c r="Q7" i="21"/>
  <c r="Q6" i="21"/>
  <c r="Q5" i="21"/>
  <c r="R6" i="21"/>
  <c r="S16" i="21" l="1"/>
  <c r="S12" i="21"/>
  <c r="S13" i="21"/>
  <c r="S14" i="21"/>
  <c r="S15" i="21"/>
  <c r="H14" i="23"/>
  <c r="H12" i="23"/>
  <c r="G14" i="23"/>
  <c r="E14" i="23"/>
  <c r="H29" i="23"/>
  <c r="H28" i="23"/>
  <c r="H27" i="23"/>
  <c r="H26" i="23"/>
  <c r="H25" i="23"/>
  <c r="H24" i="23"/>
  <c r="H23" i="23"/>
  <c r="H22" i="23"/>
  <c r="H21" i="23"/>
  <c r="H20" i="23"/>
  <c r="H19" i="23"/>
  <c r="H17" i="23"/>
  <c r="H18" i="23"/>
  <c r="H16" i="23"/>
  <c r="H15" i="23"/>
  <c r="H13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3" i="23"/>
  <c r="G12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3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H13" i="22"/>
  <c r="H12" i="22"/>
  <c r="K12" i="22" s="1"/>
  <c r="G13" i="22"/>
  <c r="E13" i="22"/>
  <c r="D13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K28" i="23" l="1"/>
  <c r="K22" i="23"/>
  <c r="K20" i="23"/>
  <c r="K14" i="23"/>
  <c r="K12" i="23"/>
  <c r="K29" i="22"/>
  <c r="K28" i="22"/>
  <c r="J28" i="22"/>
  <c r="K27" i="22"/>
  <c r="J27" i="22"/>
  <c r="K26" i="22"/>
  <c r="J26" i="22"/>
  <c r="K25" i="22"/>
  <c r="J25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K17" i="22"/>
  <c r="J17" i="22"/>
  <c r="K16" i="22"/>
  <c r="J16" i="22"/>
  <c r="K15" i="22"/>
  <c r="J15" i="22"/>
  <c r="K14" i="22"/>
  <c r="J14" i="22"/>
  <c r="K13" i="22"/>
  <c r="J13" i="22"/>
  <c r="H30" i="22"/>
  <c r="L5" i="22" s="1"/>
  <c r="G30" i="22"/>
  <c r="E5" i="22" l="1"/>
  <c r="C5" i="22"/>
  <c r="J5" i="22"/>
  <c r="J14" i="23"/>
  <c r="K29" i="23"/>
  <c r="J16" i="23"/>
  <c r="J18" i="23"/>
  <c r="J24" i="23"/>
  <c r="J23" i="23"/>
  <c r="J12" i="23"/>
  <c r="J21" i="23"/>
  <c r="K15" i="23"/>
  <c r="K17" i="23"/>
  <c r="K19" i="23"/>
  <c r="K23" i="23"/>
  <c r="K25" i="23"/>
  <c r="K27" i="23"/>
  <c r="J13" i="23"/>
  <c r="J15" i="23"/>
  <c r="K24" i="23"/>
  <c r="K26" i="23"/>
  <c r="J28" i="23"/>
  <c r="H30" i="23"/>
  <c r="K13" i="23"/>
  <c r="J17" i="23"/>
  <c r="J19" i="23"/>
  <c r="K21" i="23"/>
  <c r="J25" i="23"/>
  <c r="J27" i="23"/>
  <c r="G30" i="23"/>
  <c r="K16" i="23"/>
  <c r="K18" i="23"/>
  <c r="J20" i="23"/>
  <c r="J22" i="23"/>
  <c r="J26" i="23"/>
  <c r="D30" i="23"/>
  <c r="E30" i="23"/>
  <c r="J30" i="22"/>
  <c r="C6" i="22" s="1"/>
  <c r="K30" i="22"/>
  <c r="E6" i="22" s="1"/>
  <c r="L6" i="22" s="1"/>
  <c r="D30" i="22"/>
  <c r="E30" i="22"/>
  <c r="L4" i="22" s="1"/>
  <c r="H29" i="21"/>
  <c r="E29" i="21"/>
  <c r="E28" i="21"/>
  <c r="AV14" i="4"/>
  <c r="AV15" i="4"/>
  <c r="AV16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Q36" i="4"/>
  <c r="Q37" i="4"/>
  <c r="Q38" i="4"/>
  <c r="AV38" i="4" s="1"/>
  <c r="Q39" i="4"/>
  <c r="Q40" i="4"/>
  <c r="AV40" i="4" s="1"/>
  <c r="Q41" i="4"/>
  <c r="Q42" i="4"/>
  <c r="Q43" i="4"/>
  <c r="AV43" i="4" s="1"/>
  <c r="Q44" i="4"/>
  <c r="AV44" i="4" s="1"/>
  <c r="Q45" i="4"/>
  <c r="AV45" i="4" s="1"/>
  <c r="Q46" i="4"/>
  <c r="AV46" i="4" s="1"/>
  <c r="Q47" i="4"/>
  <c r="AV47" i="4" s="1"/>
  <c r="Q48" i="4"/>
  <c r="Q49" i="4"/>
  <c r="AV49" i="4" s="1"/>
  <c r="Q50" i="4"/>
  <c r="AV50" i="4" s="1"/>
  <c r="Q51" i="4"/>
  <c r="AV51" i="4" s="1"/>
  <c r="Q52" i="4"/>
  <c r="AV52" i="4" s="1"/>
  <c r="Q53" i="4"/>
  <c r="AV53" i="4" s="1"/>
  <c r="Q54" i="4"/>
  <c r="AV54" i="4" s="1"/>
  <c r="Q55" i="4"/>
  <c r="AV55" i="4" s="1"/>
  <c r="Q56" i="4"/>
  <c r="AV56" i="4" s="1"/>
  <c r="Q57" i="4"/>
  <c r="AV57" i="4" s="1"/>
  <c r="Q58" i="4"/>
  <c r="AV58" i="4" s="1"/>
  <c r="Q59" i="4"/>
  <c r="Q64" i="4"/>
  <c r="AV64" i="4" s="1"/>
  <c r="Q65" i="4"/>
  <c r="AV65" i="4" s="1"/>
  <c r="Q66" i="4"/>
  <c r="AV66" i="4" s="1"/>
  <c r="Q67" i="4"/>
  <c r="AV67" i="4" s="1"/>
  <c r="Q68" i="4"/>
  <c r="AV68" i="4" s="1"/>
  <c r="Q69" i="4"/>
  <c r="AV69" i="4" s="1"/>
  <c r="Q70" i="4"/>
  <c r="AV70" i="4" s="1"/>
  <c r="Q71" i="4"/>
  <c r="AV71" i="4" s="1"/>
  <c r="Q72" i="4"/>
  <c r="AV72" i="4" s="1"/>
  <c r="Q73" i="4"/>
  <c r="AV73" i="4" s="1"/>
  <c r="Q74" i="4"/>
  <c r="Q75" i="4"/>
  <c r="AV75" i="4" s="1"/>
  <c r="Q76" i="4"/>
  <c r="AV76" i="4" s="1"/>
  <c r="Q77" i="4"/>
  <c r="AV77" i="4" s="1"/>
  <c r="Q78" i="4"/>
  <c r="AV78" i="4" s="1"/>
  <c r="Q79" i="4"/>
  <c r="AV79" i="4" s="1"/>
  <c r="Q80" i="4"/>
  <c r="Q81" i="4"/>
  <c r="AV81" i="4" s="1"/>
  <c r="Q82" i="4"/>
  <c r="AV82" i="4" s="1"/>
  <c r="Q83" i="4"/>
  <c r="AV83" i="4" s="1"/>
  <c r="Q84" i="4"/>
  <c r="AV84" i="4" s="1"/>
  <c r="Q85" i="4"/>
  <c r="AV85" i="4" s="1"/>
  <c r="Q86" i="4"/>
  <c r="AV86" i="4" s="1"/>
  <c r="Q87" i="4"/>
  <c r="AV87" i="4" s="1"/>
  <c r="Q88" i="4"/>
  <c r="AV88" i="4" s="1"/>
  <c r="Q89" i="4"/>
  <c r="Q90" i="4"/>
  <c r="Q91" i="4"/>
  <c r="AV91" i="4" s="1"/>
  <c r="Q92" i="4"/>
  <c r="AV92" i="4" s="1"/>
  <c r="Q93" i="4"/>
  <c r="AV93" i="4" s="1"/>
  <c r="Q94" i="4"/>
  <c r="AV94" i="4" s="1"/>
  <c r="Q95" i="4"/>
  <c r="AV95" i="4" s="1"/>
  <c r="Q96" i="4"/>
  <c r="AV96" i="4" s="1"/>
  <c r="Q97" i="4"/>
  <c r="AV97" i="4" s="1"/>
  <c r="Q98" i="4"/>
  <c r="Q99" i="4"/>
  <c r="AV99" i="4" s="1"/>
  <c r="Q100" i="4"/>
  <c r="AV100" i="4" s="1"/>
  <c r="Q101" i="4"/>
  <c r="AV101" i="4" s="1"/>
  <c r="Q102" i="4"/>
  <c r="AV102" i="4" s="1"/>
  <c r="Q103" i="4"/>
  <c r="AV103" i="4" s="1"/>
  <c r="Q104" i="4"/>
  <c r="AV104" i="4" s="1"/>
  <c r="Q105" i="4"/>
  <c r="AV105" i="4" s="1"/>
  <c r="Q106" i="4"/>
  <c r="AV106" i="4" s="1"/>
  <c r="AV107" i="4"/>
  <c r="AV108" i="4"/>
  <c r="AV109" i="4"/>
  <c r="AV110" i="4"/>
  <c r="AV111" i="4"/>
  <c r="AV112" i="4"/>
  <c r="AV113" i="4"/>
  <c r="AV114" i="4"/>
  <c r="AV115" i="4"/>
  <c r="AV116" i="4"/>
  <c r="AV117" i="4"/>
  <c r="AV118" i="4"/>
  <c r="AV119" i="4"/>
  <c r="AV120" i="4"/>
  <c r="AV121" i="4"/>
  <c r="AV122" i="4"/>
  <c r="AV123" i="4"/>
  <c r="AV124" i="4"/>
  <c r="AV125" i="4"/>
  <c r="AV126" i="4"/>
  <c r="AV127" i="4"/>
  <c r="AV128" i="4"/>
  <c r="AV129" i="4"/>
  <c r="AV130" i="4"/>
  <c r="AV131" i="4"/>
  <c r="AV132" i="4"/>
  <c r="AV133" i="4"/>
  <c r="AV134" i="4"/>
  <c r="AV135" i="4"/>
  <c r="AV136" i="4"/>
  <c r="AV137" i="4"/>
  <c r="AV138" i="4"/>
  <c r="AV139" i="4"/>
  <c r="AV140" i="4"/>
  <c r="AV141" i="4"/>
  <c r="AV142" i="4"/>
  <c r="AV143" i="4"/>
  <c r="AV144" i="4"/>
  <c r="AV145" i="4"/>
  <c r="AV146" i="4"/>
  <c r="AV147" i="4"/>
  <c r="AV148" i="4"/>
  <c r="AV149" i="4"/>
  <c r="AV150" i="4"/>
  <c r="AV151" i="4"/>
  <c r="AV152" i="4"/>
  <c r="AV153" i="4"/>
  <c r="AV154" i="4"/>
  <c r="AV155" i="4"/>
  <c r="AV156" i="4"/>
  <c r="AV157" i="4"/>
  <c r="AV158" i="4"/>
  <c r="AV159" i="4"/>
  <c r="AV160" i="4"/>
  <c r="AV161" i="4"/>
  <c r="AV162" i="4"/>
  <c r="AV163" i="4"/>
  <c r="AV164" i="4"/>
  <c r="AV165" i="4"/>
  <c r="AV166" i="4"/>
  <c r="AV167" i="4"/>
  <c r="AV168" i="4"/>
  <c r="AV169" i="4"/>
  <c r="AV170" i="4"/>
  <c r="AV171" i="4"/>
  <c r="AV172" i="4"/>
  <c r="AV173" i="4"/>
  <c r="AV174" i="4"/>
  <c r="AV175" i="4"/>
  <c r="AV176" i="4"/>
  <c r="AV177" i="4"/>
  <c r="AV178" i="4"/>
  <c r="AV179" i="4"/>
  <c r="AV180" i="4"/>
  <c r="AV181" i="4"/>
  <c r="AV182" i="4"/>
  <c r="AV183" i="4"/>
  <c r="AV184" i="4"/>
  <c r="AV185" i="4"/>
  <c r="AV186" i="4"/>
  <c r="AV187" i="4"/>
  <c r="AV188" i="4"/>
  <c r="AV189" i="4"/>
  <c r="AV190" i="4"/>
  <c r="AV191" i="4"/>
  <c r="AV192" i="4"/>
  <c r="AV193" i="4"/>
  <c r="AV194" i="4"/>
  <c r="AV195" i="4"/>
  <c r="AV196" i="4"/>
  <c r="AV197" i="4"/>
  <c r="AV198" i="4"/>
  <c r="AV199" i="4"/>
  <c r="AV200" i="4"/>
  <c r="Q201" i="4"/>
  <c r="Q202" i="4"/>
  <c r="AV202" i="4" s="1"/>
  <c r="Q203" i="4"/>
  <c r="AV203" i="4" s="1"/>
  <c r="Q204" i="4"/>
  <c r="Q205" i="4"/>
  <c r="AV205" i="4" s="1"/>
  <c r="Q206" i="4"/>
  <c r="AV206" i="4" s="1"/>
  <c r="Q207" i="4"/>
  <c r="AV207" i="4" s="1"/>
  <c r="Q208" i="4"/>
  <c r="AV208" i="4" s="1"/>
  <c r="Q209" i="4"/>
  <c r="AV209" i="4" s="1"/>
  <c r="Q210" i="4"/>
  <c r="AV210" i="4" s="1"/>
  <c r="Q211" i="4"/>
  <c r="AV211" i="4" s="1"/>
  <c r="Q212" i="4"/>
  <c r="AV212" i="4" s="1"/>
  <c r="Q213" i="4"/>
  <c r="AV213" i="4" s="1"/>
  <c r="Q214" i="4"/>
  <c r="AV214" i="4" s="1"/>
  <c r="Q215" i="4"/>
  <c r="AV215" i="4" s="1"/>
  <c r="Q216" i="4"/>
  <c r="AV216" i="4" s="1"/>
  <c r="Q217" i="4"/>
  <c r="AV217" i="4" s="1"/>
  <c r="Q218" i="4"/>
  <c r="AV218" i="4" s="1"/>
  <c r="Q219" i="4"/>
  <c r="AV219" i="4" s="1"/>
  <c r="Q220" i="4"/>
  <c r="AV220" i="4" s="1"/>
  <c r="Q221" i="4"/>
  <c r="AV221" i="4" s="1"/>
  <c r="Q222" i="4"/>
  <c r="AV222" i="4" s="1"/>
  <c r="Q223" i="4"/>
  <c r="AV223" i="4" s="1"/>
  <c r="Q224" i="4"/>
  <c r="AV224" i="4" s="1"/>
  <c r="Q225" i="4"/>
  <c r="AV225" i="4" s="1"/>
  <c r="Q226" i="4"/>
  <c r="AV226" i="4" s="1"/>
  <c r="Q227" i="4"/>
  <c r="AV227" i="4" s="1"/>
  <c r="Q228" i="4"/>
  <c r="AV228" i="4" s="1"/>
  <c r="Q229" i="4"/>
  <c r="AV229" i="4" s="1"/>
  <c r="Q230" i="4"/>
  <c r="AV230" i="4" s="1"/>
  <c r="Q231" i="4"/>
  <c r="AV231" i="4" s="1"/>
  <c r="Q232" i="4"/>
  <c r="AV232" i="4" s="1"/>
  <c r="Q233" i="4"/>
  <c r="AV233" i="4" s="1"/>
  <c r="Q234" i="4"/>
  <c r="AV234" i="4" s="1"/>
  <c r="Q235" i="4"/>
  <c r="AV235" i="4" s="1"/>
  <c r="Q236" i="4"/>
  <c r="AV236" i="4" s="1"/>
  <c r="Q237" i="4"/>
  <c r="AV237" i="4" s="1"/>
  <c r="Q238" i="4"/>
  <c r="AV238" i="4" s="1"/>
  <c r="Q239" i="4"/>
  <c r="AV239" i="4" s="1"/>
  <c r="Q240" i="4"/>
  <c r="AV240" i="4" s="1"/>
  <c r="Q241" i="4"/>
  <c r="AV241" i="4" s="1"/>
  <c r="Q242" i="4"/>
  <c r="AV242" i="4" s="1"/>
  <c r="Q243" i="4"/>
  <c r="AV243" i="4" s="1"/>
  <c r="Q244" i="4"/>
  <c r="AV244" i="4" s="1"/>
  <c r="Q245" i="4"/>
  <c r="AV245" i="4" s="1"/>
  <c r="Q246" i="4"/>
  <c r="AV246" i="4" s="1"/>
  <c r="Q247" i="4"/>
  <c r="AV247" i="4" s="1"/>
  <c r="Q248" i="4"/>
  <c r="AV248" i="4" s="1"/>
  <c r="Q249" i="4"/>
  <c r="AV249" i="4" s="1"/>
  <c r="Q250" i="4"/>
  <c r="AV250" i="4" s="1"/>
  <c r="Q251" i="4"/>
  <c r="AV251" i="4" s="1"/>
  <c r="Q252" i="4"/>
  <c r="AV252" i="4" s="1"/>
  <c r="Q253" i="4"/>
  <c r="AV253" i="4" s="1"/>
  <c r="Q254" i="4"/>
  <c r="AV254" i="4" s="1"/>
  <c r="Q255" i="4"/>
  <c r="AV255" i="4" s="1"/>
  <c r="Q256" i="4"/>
  <c r="AV256" i="4" s="1"/>
  <c r="Q257" i="4"/>
  <c r="AV257" i="4" s="1"/>
  <c r="Q258" i="4"/>
  <c r="AV258" i="4" s="1"/>
  <c r="Q259" i="4"/>
  <c r="AV259" i="4" s="1"/>
  <c r="Q260" i="4"/>
  <c r="AV260" i="4" s="1"/>
  <c r="Q261" i="4"/>
  <c r="AV261" i="4" s="1"/>
  <c r="Q262" i="4"/>
  <c r="AV262" i="4" s="1"/>
  <c r="Q263" i="4"/>
  <c r="AV263" i="4" s="1"/>
  <c r="Q264" i="4"/>
  <c r="AV264" i="4" s="1"/>
  <c r="Q265" i="4"/>
  <c r="AV265" i="4" s="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AV204" i="4" l="1"/>
  <c r="AA13" i="23"/>
  <c r="AV201" i="4"/>
  <c r="BA14" i="4"/>
  <c r="Z13" i="21"/>
  <c r="K16" i="21"/>
  <c r="AV98" i="4"/>
  <c r="AA10" i="23"/>
  <c r="AV90" i="4"/>
  <c r="Z10" i="21"/>
  <c r="AV89" i="4"/>
  <c r="AA10" i="22"/>
  <c r="BA11" i="4"/>
  <c r="R5" i="22"/>
  <c r="AV80" i="4"/>
  <c r="S6" i="22"/>
  <c r="T6" i="22" s="1"/>
  <c r="K26" i="21"/>
  <c r="AV74" i="4"/>
  <c r="S9" i="22"/>
  <c r="T9" i="22" s="1"/>
  <c r="R7" i="21"/>
  <c r="R5" i="21"/>
  <c r="T5" i="21" s="1"/>
  <c r="S8" i="21"/>
  <c r="T8" i="21" s="1"/>
  <c r="S6" i="21"/>
  <c r="T6" i="21" s="1"/>
  <c r="AV59" i="4"/>
  <c r="R7" i="22"/>
  <c r="J27" i="21"/>
  <c r="AV48" i="4"/>
  <c r="S7" i="22"/>
  <c r="AV42" i="4"/>
  <c r="R8" i="22"/>
  <c r="AV41" i="4"/>
  <c r="Q20" i="23" s="1"/>
  <c r="AA9" i="23"/>
  <c r="D9" i="14"/>
  <c r="AV39" i="4"/>
  <c r="S5" i="22"/>
  <c r="AV37" i="4"/>
  <c r="Z9" i="21"/>
  <c r="D8" i="14"/>
  <c r="AV36" i="4"/>
  <c r="AA9" i="22"/>
  <c r="AA15" i="22" s="1"/>
  <c r="BA10" i="4"/>
  <c r="J13" i="21"/>
  <c r="J21" i="21"/>
  <c r="Q23" i="23"/>
  <c r="Q22" i="23"/>
  <c r="Q21" i="23"/>
  <c r="J24" i="21"/>
  <c r="S7" i="21"/>
  <c r="AV17" i="4"/>
  <c r="J17" i="21"/>
  <c r="J25" i="21"/>
  <c r="D7" i="14"/>
  <c r="S8" i="22"/>
  <c r="J28" i="21"/>
  <c r="K18" i="21"/>
  <c r="C5" i="23"/>
  <c r="J5" i="23"/>
  <c r="J4" i="23"/>
  <c r="C4" i="23"/>
  <c r="E4" i="23"/>
  <c r="L4" i="23" s="1"/>
  <c r="E5" i="23"/>
  <c r="L5" i="23" s="1"/>
  <c r="J12" i="21"/>
  <c r="J20" i="21"/>
  <c r="E4" i="22"/>
  <c r="C4" i="22"/>
  <c r="J4" i="22"/>
  <c r="J6" i="22" s="1"/>
  <c r="J19" i="21"/>
  <c r="K12" i="21"/>
  <c r="K27" i="21"/>
  <c r="K24" i="21"/>
  <c r="K21" i="21"/>
  <c r="G30" i="21"/>
  <c r="J18" i="21"/>
  <c r="J26" i="21"/>
  <c r="K17" i="21"/>
  <c r="K25" i="21"/>
  <c r="K30" i="23"/>
  <c r="E6" i="23" s="1"/>
  <c r="L6" i="23" s="1"/>
  <c r="J30" i="23"/>
  <c r="C6" i="23" s="1"/>
  <c r="D30" i="21"/>
  <c r="K29" i="21"/>
  <c r="K23" i="21"/>
  <c r="K19" i="21"/>
  <c r="K28" i="21"/>
  <c r="K20" i="21"/>
  <c r="K15" i="21"/>
  <c r="J14" i="21"/>
  <c r="J22" i="21"/>
  <c r="J16" i="21"/>
  <c r="J15" i="21"/>
  <c r="J23" i="21"/>
  <c r="K14" i="21"/>
  <c r="K22" i="21"/>
  <c r="K13" i="21"/>
  <c r="H30" i="21"/>
  <c r="L5" i="21" s="1"/>
  <c r="E30" i="21"/>
  <c r="L4" i="21" s="1"/>
  <c r="T20" i="23" l="1"/>
  <c r="T21" i="23"/>
  <c r="T22" i="23"/>
  <c r="AA15" i="23"/>
  <c r="BA16" i="4"/>
  <c r="T5" i="22"/>
  <c r="T7" i="21"/>
  <c r="T7" i="22"/>
  <c r="T8" i="22"/>
  <c r="J6" i="23"/>
  <c r="E5" i="21"/>
  <c r="J5" i="21"/>
  <c r="C5" i="21"/>
  <c r="E4" i="21"/>
  <c r="C4" i="21"/>
  <c r="J4" i="21"/>
  <c r="J30" i="21"/>
  <c r="C6" i="21" s="1"/>
  <c r="K30" i="21"/>
  <c r="E6" i="21" s="1"/>
  <c r="L6" i="21" s="1"/>
  <c r="J6" i="21" l="1"/>
  <c r="R4" i="4" l="1"/>
  <c r="K32" i="21" s="1"/>
  <c r="AS4" i="4"/>
  <c r="AK4" i="4"/>
  <c r="J33" i="22" s="1"/>
  <c r="F7" i="14" s="1"/>
  <c r="AL4" i="4"/>
  <c r="J33" i="23" s="1"/>
  <c r="F9" i="14" s="1"/>
  <c r="AJ4" i="4"/>
  <c r="J33" i="21" s="1"/>
  <c r="F8" i="14" s="1"/>
  <c r="T35" i="22" l="1"/>
  <c r="T34" i="22"/>
  <c r="T33" i="22"/>
  <c r="Q36" i="22"/>
  <c r="Q35" i="22"/>
  <c r="Q34" i="22"/>
  <c r="Q33" i="22"/>
  <c r="AI4" i="4"/>
  <c r="V4" i="4"/>
  <c r="W4" i="4"/>
  <c r="X4" i="4"/>
  <c r="Y4" i="4"/>
  <c r="Z4" i="4"/>
  <c r="AA4" i="4"/>
  <c r="AB4" i="4"/>
  <c r="AC4" i="4"/>
  <c r="AD4" i="4"/>
  <c r="R467" i="4" l="1"/>
  <c r="T34" i="21" l="1"/>
  <c r="T33" i="21"/>
  <c r="Q36" i="21"/>
  <c r="Q35" i="21"/>
  <c r="Q34" i="21"/>
  <c r="Q33" i="21"/>
  <c r="T35" i="21"/>
  <c r="AX27" i="4"/>
  <c r="AX29" i="4"/>
  <c r="AX28" i="4"/>
  <c r="AX25" i="4"/>
  <c r="AX26" i="4"/>
  <c r="AX24" i="4"/>
  <c r="AX23" i="4"/>
  <c r="AN4" i="4" l="1"/>
  <c r="AO4" i="4"/>
  <c r="AP4" i="4"/>
  <c r="AQ4" i="4"/>
  <c r="AR4" i="4"/>
  <c r="AX31" i="4" l="1"/>
  <c r="AT4" i="4" l="1"/>
  <c r="AU4" i="4"/>
  <c r="E6" i="14" l="1"/>
  <c r="D6" i="14" l="1"/>
  <c r="C6" i="14" l="1"/>
  <c r="F6" i="14"/>
  <c r="AE4" i="4"/>
  <c r="T4" i="4"/>
  <c r="K32" i="23" s="1"/>
  <c r="AF4" i="4"/>
  <c r="AH4" i="4"/>
  <c r="S4" i="4"/>
  <c r="K32" i="22" s="1"/>
  <c r="U4" i="4"/>
  <c r="AG4" i="4"/>
  <c r="Q4" i="4"/>
  <c r="Z15" i="21" l="1"/>
  <c r="L4" i="15"/>
</calcChain>
</file>

<file path=xl/comments1.xml><?xml version="1.0" encoding="utf-8"?>
<comments xmlns="http://schemas.openxmlformats.org/spreadsheetml/2006/main">
  <authors>
    <author>Hislop, Leigh A</author>
    <author>mrich</author>
  </authors>
  <commentList>
    <comment ref="BA3" authorId="0" shapeId="0">
      <text>
        <r>
          <rPr>
            <b/>
            <sz val="8"/>
            <color indexed="81"/>
            <rFont val="Tahoma"/>
            <family val="2"/>
          </rPr>
          <t>Hislop, Leigh A:</t>
        </r>
        <r>
          <rPr>
            <sz val="8"/>
            <color indexed="81"/>
            <rFont val="Tahoma"/>
            <family val="2"/>
          </rPr>
          <t xml:space="preserve">
INCLUDES ALL PROTECTION ACRES + ALL BOISE DISTRICT BLM ACRES BURNED</t>
        </r>
      </text>
    </comment>
    <comment ref="BF3" authorId="1" shapeId="0">
      <text>
        <r>
          <rPr>
            <b/>
            <sz val="9"/>
            <color indexed="81"/>
            <rFont val="Tahoma"/>
            <family val="2"/>
          </rPr>
          <t>mrich:</t>
        </r>
        <r>
          <rPr>
            <sz val="9"/>
            <color indexed="81"/>
            <rFont val="Tahoma"/>
            <family val="2"/>
          </rPr>
          <t xml:space="preserve">
MUST CHANGE DATES FOR EACH YEAR
DATES IN WHITE TO HIDE BE4 TO BF15
</t>
        </r>
      </text>
    </comment>
  </commentList>
</comments>
</file>

<file path=xl/sharedStrings.xml><?xml version="1.0" encoding="utf-8"?>
<sst xmlns="http://schemas.openxmlformats.org/spreadsheetml/2006/main" count="4997" uniqueCount="1622">
  <si>
    <t>DATE</t>
  </si>
  <si>
    <t>INCIDENT #</t>
  </si>
  <si>
    <t>ACRES</t>
  </si>
  <si>
    <t>TOTAL ACRES</t>
  </si>
  <si>
    <t>TOTAL</t>
  </si>
  <si>
    <t xml:space="preserve"> </t>
  </si>
  <si>
    <t>FIRE NAME</t>
  </si>
  <si>
    <t>H</t>
  </si>
  <si>
    <t>FRFO</t>
  </si>
  <si>
    <t>ORIGIN LOCATION</t>
  </si>
  <si>
    <t>FIRE        CODE</t>
  </si>
  <si>
    <t>LEGAL</t>
  </si>
  <si>
    <t>CAUSE</t>
  </si>
  <si>
    <t>ORIGIN OWNER</t>
  </si>
  <si>
    <t>REPORTED BY</t>
  </si>
  <si>
    <t>WUI</t>
  </si>
  <si>
    <t>LEPA AREA</t>
  </si>
  <si>
    <t>LAT        DDMMSS</t>
  </si>
  <si>
    <t>LONG                  DDMMSS</t>
  </si>
  <si>
    <t>UTM              EASTING</t>
  </si>
  <si>
    <t>UTM NORTHING</t>
  </si>
  <si>
    <t>HUMAN</t>
  </si>
  <si>
    <t>LIGHTNING</t>
  </si>
  <si>
    <t>DETECTION METHOD</t>
  </si>
  <si>
    <t>---</t>
  </si>
  <si>
    <t>HUMAN ACRES</t>
  </si>
  <si>
    <t>LIGHTNING ACRES</t>
  </si>
  <si>
    <t>BOD</t>
  </si>
  <si>
    <t>BOF</t>
  </si>
  <si>
    <t>AGENCY</t>
  </si>
  <si>
    <t>SWS</t>
  </si>
  <si>
    <t>IC TRAINEE</t>
  </si>
  <si>
    <t>BLM - BOD</t>
  </si>
  <si>
    <t>USFS - BOF</t>
  </si>
  <si>
    <t>IDL - SWS</t>
  </si>
  <si>
    <t>IC / CONTACT</t>
  </si>
  <si>
    <t>TOTAL # FIRES</t>
  </si>
  <si>
    <t>HUMAN FIRES</t>
  </si>
  <si>
    <t>LIGHTNING FIRES</t>
  </si>
  <si>
    <t>MARCH</t>
  </si>
  <si>
    <t>APRIL</t>
  </si>
  <si>
    <t>MAY</t>
  </si>
  <si>
    <t>AUGUST</t>
  </si>
  <si>
    <t>SEPTEMBER</t>
  </si>
  <si>
    <t>OCTOBER</t>
  </si>
  <si>
    <t>NOVEMBER</t>
  </si>
  <si>
    <t>DECEMBER</t>
  </si>
  <si>
    <t>BOISE DISPATCH CENTER STATISTICS</t>
  </si>
  <si>
    <t>TOTAL FIRES</t>
  </si>
  <si>
    <t>RFD ASSISTS</t>
  </si>
  <si>
    <t>LOCAL FIRE INFORMATION - BY PROTECTION</t>
  </si>
  <si>
    <t>FED/STATE ASSISTS</t>
  </si>
  <si>
    <t>AREA</t>
  </si>
  <si>
    <t>FEBRUARY</t>
  </si>
  <si>
    <t>E</t>
  </si>
  <si>
    <t>DOZER LINE</t>
  </si>
  <si>
    <t>RETARDANT USED</t>
  </si>
  <si>
    <t>A</t>
  </si>
  <si>
    <t>C</t>
  </si>
  <si>
    <t>D</t>
  </si>
  <si>
    <t>#FIRES</t>
  </si>
  <si>
    <t>FIRE SIZE</t>
  </si>
  <si>
    <t>B</t>
  </si>
  <si>
    <t>G</t>
  </si>
  <si>
    <t>SAGE GROUSE</t>
  </si>
  <si>
    <t>BOD PROTECTION FIRES AND ACRES BY OWNERSHIP</t>
  </si>
  <si>
    <t>F</t>
  </si>
  <si>
    <t>BOF PROTECTION FIRES AND ACRES BY OWNERSHIP</t>
  </si>
  <si>
    <t>DFR</t>
  </si>
  <si>
    <t>MHQ</t>
  </si>
  <si>
    <t>LPE</t>
  </si>
  <si>
    <t>SIZE CLASS               OF FIRE</t>
  </si>
  <si>
    <t xml:space="preserve">SRL </t>
  </si>
  <si>
    <t>Date</t>
  </si>
  <si>
    <t>Name</t>
  </si>
  <si>
    <t>Burn Boss</t>
  </si>
  <si>
    <t>Legal</t>
  </si>
  <si>
    <t>Remarks</t>
  </si>
  <si>
    <t>Acres</t>
  </si>
  <si>
    <t>ELX</t>
  </si>
  <si>
    <t>1VX</t>
  </si>
  <si>
    <t>2CX</t>
  </si>
  <si>
    <t>6BX</t>
  </si>
  <si>
    <t>1AX</t>
  </si>
  <si>
    <t>1GX</t>
  </si>
  <si>
    <t>OWX</t>
  </si>
  <si>
    <t>1PX</t>
  </si>
  <si>
    <t>1WX</t>
  </si>
  <si>
    <t>ADX</t>
  </si>
  <si>
    <t>2019 BOISE DISPATCH STATISTICS</t>
  </si>
  <si>
    <t>PROTECTION</t>
  </si>
  <si>
    <t>SO #</t>
  </si>
  <si>
    <t>OTHER</t>
  </si>
  <si>
    <t>BOD ASSISTED</t>
  </si>
  <si>
    <t>BOF ASSITED</t>
  </si>
  <si>
    <t>SWS ASSISTED</t>
  </si>
  <si>
    <t>RFPA RESPONSE</t>
  </si>
  <si>
    <t>WILDERNESS OR JMSFMA</t>
  </si>
  <si>
    <t>ADD ROWS IF NEEDED</t>
  </si>
  <si>
    <t>RURAL FIRE COUNTY ASSISTS</t>
  </si>
  <si>
    <t>FEDERAL AND STATE ASSISTS</t>
  </si>
  <si>
    <t>OTHER BOD-BLM SUPRESSED BY OTHER JURISDICTIONS</t>
  </si>
  <si>
    <t xml:space="preserve">COMBINED TOTAL </t>
  </si>
  <si>
    <t xml:space="preserve">OTHER </t>
  </si>
  <si>
    <t>BOR - SRL</t>
  </si>
  <si>
    <t>MILITARY - LPE</t>
  </si>
  <si>
    <t>MILITARY - MHQ</t>
  </si>
  <si>
    <t>FWS - DFR</t>
  </si>
  <si>
    <t>PRI - OWX</t>
  </si>
  <si>
    <t>PRI - ELX</t>
  </si>
  <si>
    <t>PRI - ADX</t>
  </si>
  <si>
    <t>PRI - 6BX</t>
  </si>
  <si>
    <t>PRI - 2CX</t>
  </si>
  <si>
    <t>PRI - 1WX</t>
  </si>
  <si>
    <t>PRI - 1VX</t>
  </si>
  <si>
    <t>PRI - 1PX</t>
  </si>
  <si>
    <t>PRI - 1GX</t>
  </si>
  <si>
    <t xml:space="preserve">PRI - 1AX </t>
  </si>
  <si>
    <t>FIRES</t>
  </si>
  <si>
    <t>UNIT</t>
  </si>
  <si>
    <t>"FIRES BY OWNERSHIP ORIGIN - ACRES NOT DEPENDENT OF ORIGIN OWNERSHIP"</t>
  </si>
  <si>
    <t>FIELD OFFICE STATISTICS</t>
  </si>
  <si>
    <t xml:space="preserve">SIT REPORT ACRES - </t>
  </si>
  <si>
    <t>BOD PROTECTION TOTAL FIRES AND ACRES</t>
  </si>
  <si>
    <t xml:space="preserve">2019 BOISE DISTRICT BLM WILDLAND FIRE SUPRESSION SUMMARY </t>
  </si>
  <si>
    <t xml:space="preserve">2019 BOISE NATIONAL FOREST WILDLAND FIRE SUPRESSION SUMMARY </t>
  </si>
  <si>
    <t xml:space="preserve">2019 IDL SOUTHWEST WILDLAND FIRE SUPRESSION SUMMARY </t>
  </si>
  <si>
    <t>ID - SWS</t>
  </si>
  <si>
    <t>IDL PROTECTION FIRES AND ACRES BY OWNERSHIP</t>
  </si>
  <si>
    <t>OTHER IDL-SWS SUPRESSED BY OTHER JURISDICTIONS</t>
  </si>
  <si>
    <t>BOF PROTECTION TOTAL FIRES AND ACRES</t>
  </si>
  <si>
    <t>OTHER USFS-BOF SUPRESSED BY OTHER JURISDICTIONS</t>
  </si>
  <si>
    <t>IDL PROTECTION TOTAL FIRES AND ACRES</t>
  </si>
  <si>
    <t>BIRDS OF PREY</t>
  </si>
  <si>
    <t>BRUNEAU</t>
  </si>
  <si>
    <t>FOUR RIVERS</t>
  </si>
  <si>
    <t>OWYHEE</t>
  </si>
  <si>
    <t>FIELD OFFICE</t>
  </si>
  <si>
    <t>PERCENTAGE OF TOTAL</t>
  </si>
  <si>
    <t>LOOKOUTS</t>
  </si>
  <si>
    <t>AIRCRAFT</t>
  </si>
  <si>
    <t>AGENCY PERSONNEL</t>
  </si>
  <si>
    <t>COUNTY DISPATCH</t>
  </si>
  <si>
    <t>PRIVATE CITIZEN</t>
  </si>
  <si>
    <t xml:space="preserve">MANAGEMENT STATISTICS </t>
  </si>
  <si>
    <t>SAGE-GROUSE</t>
  </si>
  <si>
    <t>LEPA</t>
  </si>
  <si>
    <t>WILDERNESS/JMSFMA</t>
  </si>
  <si>
    <t>RFPA REPSONSE</t>
  </si>
  <si>
    <t>DOZER LINE USED</t>
  </si>
  <si>
    <t>AREA OF CONCERN OR STRATEGY USED</t>
  </si>
  <si>
    <t>RFD RESPONSE</t>
  </si>
  <si>
    <t>NUMBER OF FIRES BY SIZE CLASS</t>
  </si>
  <si>
    <t>SIZE CLASS</t>
  </si>
  <si>
    <t>A (0-0.25)</t>
  </si>
  <si>
    <t>B (0.26-9)</t>
  </si>
  <si>
    <t>C (10-99)</t>
  </si>
  <si>
    <t>D (100-299)</t>
  </si>
  <si>
    <t>E (300-999)</t>
  </si>
  <si>
    <t>F (1000-4999)</t>
  </si>
  <si>
    <t>G (5000+)</t>
  </si>
  <si>
    <t>COUNTY</t>
  </si>
  <si>
    <t>Y</t>
  </si>
  <si>
    <t>FEDERAL ASSISTS</t>
  </si>
  <si>
    <t>-----</t>
  </si>
  <si>
    <t>TOTAL OCCURANCES</t>
  </si>
  <si>
    <t>RANGER DISTRICT STATISTICS</t>
  </si>
  <si>
    <t>D3 - IDAHO CITY</t>
  </si>
  <si>
    <t>D1 - MOUNTAIN HOME</t>
  </si>
  <si>
    <t>D4 - CASCADE</t>
  </si>
  <si>
    <t>D5 - LOWMAN</t>
  </si>
  <si>
    <t>D6 - EMMETT</t>
  </si>
  <si>
    <t>FALSE ALARMS</t>
  </si>
  <si>
    <t>FIRE SEASON 2019</t>
  </si>
  <si>
    <t>L6UQ</t>
  </si>
  <si>
    <t>HOLLOW</t>
  </si>
  <si>
    <t>SAND HOLLOW</t>
  </si>
  <si>
    <t>6N 4W 27</t>
  </si>
  <si>
    <t>43 49 37</t>
  </si>
  <si>
    <t>N</t>
  </si>
  <si>
    <t xml:space="preserve">N </t>
  </si>
  <si>
    <t>Tyke Lofing</t>
  </si>
  <si>
    <t>District</t>
  </si>
  <si>
    <t>7 S, 3 W, 3</t>
  </si>
  <si>
    <t>L644</t>
  </si>
  <si>
    <t>PEARL</t>
  </si>
  <si>
    <t>PARMA 951</t>
  </si>
  <si>
    <t>6N 4W 21</t>
  </si>
  <si>
    <t>43 50 15</t>
  </si>
  <si>
    <t>116 48 59</t>
  </si>
  <si>
    <t>JANUARY</t>
  </si>
  <si>
    <t>JUNE</t>
  </si>
  <si>
    <t xml:space="preserve">JULY </t>
  </si>
  <si>
    <t>BLM PROTECTION ACRES</t>
  </si>
  <si>
    <t>BOF PROTECTION ACRES</t>
  </si>
  <si>
    <t>IDL PROTECTION ACRES</t>
  </si>
  <si>
    <t>3S, 4E,27</t>
  </si>
  <si>
    <t>Cromwell</t>
  </si>
  <si>
    <t>Strike Dam Rd, Rattlesnake Grade</t>
  </si>
  <si>
    <t>Total RX Acres</t>
  </si>
  <si>
    <t>L7NP</t>
  </si>
  <si>
    <t>FA 1 BOD</t>
  </si>
  <si>
    <t>5S 6E 17</t>
  </si>
  <si>
    <t>L76X</t>
  </si>
  <si>
    <t>RIM</t>
  </si>
  <si>
    <t>4N 4E 15</t>
  </si>
  <si>
    <t>43 41 06</t>
  </si>
  <si>
    <t>HACKATHORN</t>
  </si>
  <si>
    <t>TROUT SPRINGS</t>
  </si>
  <si>
    <t>11S 5W 24</t>
  </si>
  <si>
    <t>FENCELINE</t>
  </si>
  <si>
    <t>TRIANGLE</t>
  </si>
  <si>
    <t>DFR PILES</t>
  </si>
  <si>
    <t>3N, 3W, 36</t>
  </si>
  <si>
    <t>Deer Flat Refuge</t>
  </si>
  <si>
    <t>Stringfield</t>
  </si>
  <si>
    <t>BOP</t>
  </si>
  <si>
    <t>OFO</t>
  </si>
  <si>
    <t>Spanfellner</t>
  </si>
  <si>
    <t>LITTLE OPHIR</t>
  </si>
  <si>
    <t>7N 5E 20</t>
  </si>
  <si>
    <t>D3</t>
  </si>
  <si>
    <t>L8V0</t>
  </si>
  <si>
    <t>IC</t>
  </si>
  <si>
    <t>MEADOW</t>
  </si>
  <si>
    <t>MCCARTHY</t>
  </si>
  <si>
    <t>PRIVATE</t>
  </si>
  <si>
    <t>4N 4E 21</t>
  </si>
  <si>
    <t>43 40 17</t>
  </si>
  <si>
    <t>L856</t>
  </si>
  <si>
    <t>SHEEP</t>
  </si>
  <si>
    <t>2N 3E 12</t>
  </si>
  <si>
    <t xml:space="preserve">43  31  46 </t>
  </si>
  <si>
    <t>116 47 41</t>
  </si>
  <si>
    <t>MORES SOUTH</t>
  </si>
  <si>
    <t>5N 6E 4</t>
  </si>
  <si>
    <t>L9ND</t>
  </si>
  <si>
    <t>D6</t>
  </si>
  <si>
    <t>SHOT GUN</t>
  </si>
  <si>
    <t>GARDEN VALLEY 851</t>
  </si>
  <si>
    <t>9N 4E 36</t>
  </si>
  <si>
    <t>L9N3</t>
  </si>
  <si>
    <t>MIDDLE</t>
  </si>
  <si>
    <t>ALEXANDER</t>
  </si>
  <si>
    <t>11N 5E 29</t>
  </si>
  <si>
    <t>MARTIN</t>
  </si>
  <si>
    <t>D1</t>
  </si>
  <si>
    <t>CAMP</t>
  </si>
  <si>
    <t>44 15 21</t>
  </si>
  <si>
    <t>44 04 12</t>
  </si>
  <si>
    <t>115 56 10</t>
  </si>
  <si>
    <t>BAXTER</t>
  </si>
  <si>
    <t>L</t>
  </si>
  <si>
    <t>3N 6E 29</t>
  </si>
  <si>
    <t>43 33 49</t>
  </si>
  <si>
    <t>L9RF</t>
  </si>
  <si>
    <t>EKW2</t>
  </si>
  <si>
    <t>PIKES</t>
  </si>
  <si>
    <t>CARDOZA</t>
  </si>
  <si>
    <t>SELIGMAN</t>
  </si>
  <si>
    <t>8N 8E 33</t>
  </si>
  <si>
    <t>43 59 34</t>
  </si>
  <si>
    <t>115 31 15</t>
  </si>
  <si>
    <t>L9YE</t>
  </si>
  <si>
    <t>PINE</t>
  </si>
  <si>
    <t>SWEARINGEN</t>
  </si>
  <si>
    <t>POGUE</t>
  </si>
  <si>
    <t>5N 3E 11</t>
  </si>
  <si>
    <t>43 46 54</t>
  </si>
  <si>
    <t>116 03 32</t>
  </si>
  <si>
    <t>8N 4E 35</t>
  </si>
  <si>
    <t>CORNER RX</t>
  </si>
  <si>
    <t>ALDER RIDGE</t>
  </si>
  <si>
    <t>HAGA</t>
  </si>
  <si>
    <t>CLINE</t>
  </si>
  <si>
    <t>JAMESON</t>
  </si>
  <si>
    <t>L93Z</t>
  </si>
  <si>
    <t>D4</t>
  </si>
  <si>
    <t>GOLDEN</t>
  </si>
  <si>
    <t>19N 8E 33</t>
  </si>
  <si>
    <t>44 56 13</t>
  </si>
  <si>
    <t>DOLE</t>
  </si>
  <si>
    <t>L96E</t>
  </si>
  <si>
    <t>WEEZY</t>
  </si>
  <si>
    <t>1S 1E 20</t>
  </si>
  <si>
    <t>L983</t>
  </si>
  <si>
    <t>RIFLE</t>
  </si>
  <si>
    <t>ROJAS</t>
  </si>
  <si>
    <t>SIMSONSON</t>
  </si>
  <si>
    <t>DEROME</t>
  </si>
  <si>
    <t>MAJ5</t>
  </si>
  <si>
    <t>REYN</t>
  </si>
  <si>
    <t>KIDD</t>
  </si>
  <si>
    <t>13N 3E 5</t>
  </si>
  <si>
    <t>MA0G</t>
  </si>
  <si>
    <t>BFO</t>
  </si>
  <si>
    <t>BENDER</t>
  </si>
  <si>
    <t>BRUMMOND</t>
  </si>
  <si>
    <t>11S 6E 23</t>
  </si>
  <si>
    <t>42 27 31</t>
  </si>
  <si>
    <t>115 43 33</t>
  </si>
  <si>
    <t>X</t>
  </si>
  <si>
    <t>HERSLEY</t>
  </si>
  <si>
    <t>MA7S</t>
  </si>
  <si>
    <t>MM52 HWY51</t>
  </si>
  <si>
    <t>42 39 18</t>
  </si>
  <si>
    <t>115 54 16</t>
  </si>
  <si>
    <t>4N 10E 29</t>
  </si>
  <si>
    <t>MA9P</t>
  </si>
  <si>
    <t>MM5 HWY67</t>
  </si>
  <si>
    <t>MM74 HWY51</t>
  </si>
  <si>
    <t>BILBAO</t>
  </si>
  <si>
    <t>BRIGGS</t>
  </si>
  <si>
    <t>4S 3E 36</t>
  </si>
  <si>
    <t>MA9T</t>
  </si>
  <si>
    <t>6S 6E 18</t>
  </si>
  <si>
    <t>42 54 09</t>
  </si>
  <si>
    <t>JUDD</t>
  </si>
  <si>
    <t>NORTH  PEARL</t>
  </si>
  <si>
    <t>SCHELLENBERG</t>
  </si>
  <si>
    <t>MBV9</t>
  </si>
  <si>
    <t>10N 10E 31</t>
  </si>
  <si>
    <t>FA 2 BOF</t>
  </si>
  <si>
    <t>FA 3 BOF</t>
  </si>
  <si>
    <t>FA 4 BOF</t>
  </si>
  <si>
    <t>MBX7</t>
  </si>
  <si>
    <t>ELGIN</t>
  </si>
  <si>
    <t>MBY4</t>
  </si>
  <si>
    <t>OPAL</t>
  </si>
  <si>
    <t>7N 3W 32</t>
  </si>
  <si>
    <t>43 31 20</t>
  </si>
  <si>
    <t>116 58 22</t>
  </si>
  <si>
    <t>O'BRIEN</t>
  </si>
  <si>
    <t>MB09</t>
  </si>
  <si>
    <t>FA 5 BOD</t>
  </si>
  <si>
    <t>3S 7E 19</t>
  </si>
  <si>
    <t>MB1K</t>
  </si>
  <si>
    <t xml:space="preserve">CASTLE </t>
  </si>
  <si>
    <t xml:space="preserve">BURLEY </t>
  </si>
  <si>
    <t>1S 9E 24</t>
  </si>
  <si>
    <t>FA 6 BOF</t>
  </si>
  <si>
    <t>12N 3E 10</t>
  </si>
  <si>
    <t>FA 7 BOF</t>
  </si>
  <si>
    <t>10N 4E 12</t>
  </si>
  <si>
    <t>IDAHO CITY PILES</t>
  </si>
  <si>
    <t>HUNT</t>
  </si>
  <si>
    <t>6N 5E 25</t>
  </si>
  <si>
    <t>MB8H</t>
  </si>
  <si>
    <t>SRL</t>
  </si>
  <si>
    <t>CROWN</t>
  </si>
  <si>
    <t>14N 3E 14</t>
  </si>
  <si>
    <t>44 33 23</t>
  </si>
  <si>
    <t>FA 8 BOD</t>
  </si>
  <si>
    <t>2N 3E 28</t>
  </si>
  <si>
    <t>MCQ9</t>
  </si>
  <si>
    <t>PAGE</t>
  </si>
  <si>
    <t>116  02  36</t>
  </si>
  <si>
    <t>NIBLETT</t>
  </si>
  <si>
    <t>43 19 32</t>
  </si>
  <si>
    <t>116 22 17</t>
  </si>
  <si>
    <t>MC3S</t>
  </si>
  <si>
    <t>RIMROCK</t>
  </si>
  <si>
    <t>LORD</t>
  </si>
  <si>
    <t>42 56 04</t>
  </si>
  <si>
    <t>MC4V</t>
  </si>
  <si>
    <t>HOTSPRINGS</t>
  </si>
  <si>
    <t>MC3M</t>
  </si>
  <si>
    <t>FA 9 SWS</t>
  </si>
  <si>
    <t>4N 3E 24</t>
  </si>
  <si>
    <t>42 20 06</t>
  </si>
  <si>
    <t>MC86</t>
  </si>
  <si>
    <t>MOTO</t>
  </si>
  <si>
    <t>1N 2E 28</t>
  </si>
  <si>
    <t>43 24 03</t>
  </si>
  <si>
    <t>ELLIS</t>
  </si>
  <si>
    <t>MDA2</t>
  </si>
  <si>
    <t>MURPH</t>
  </si>
  <si>
    <t>UNKNOWN</t>
  </si>
  <si>
    <t>3N 3W 17</t>
  </si>
  <si>
    <t xml:space="preserve">116 42 58 </t>
  </si>
  <si>
    <t>115 45 31</t>
  </si>
  <si>
    <t>MDG7</t>
  </si>
  <si>
    <t>LOWSTRIKE</t>
  </si>
  <si>
    <t>5S 4E 27</t>
  </si>
  <si>
    <t>42 57 22</t>
  </si>
  <si>
    <t>MDF8</t>
  </si>
  <si>
    <t>FA 10 BOD</t>
  </si>
  <si>
    <t>2N 2E 1</t>
  </si>
  <si>
    <t>BIGMORE</t>
  </si>
  <si>
    <t>MDT4</t>
  </si>
  <si>
    <t>2S 1E 22</t>
  </si>
  <si>
    <t>MDY3</t>
  </si>
  <si>
    <t xml:space="preserve">HOT </t>
  </si>
  <si>
    <t>BECHARAS</t>
  </si>
  <si>
    <t>HANSEN</t>
  </si>
  <si>
    <t>3S 7E 25</t>
  </si>
  <si>
    <t>43 07 42</t>
  </si>
  <si>
    <t>OLSON</t>
  </si>
  <si>
    <t>13N 3E 27</t>
  </si>
  <si>
    <t>MD1K</t>
  </si>
  <si>
    <t>WYNKOOP</t>
  </si>
  <si>
    <t>MD15</t>
  </si>
  <si>
    <t>PEPPER</t>
  </si>
  <si>
    <t>MD2T</t>
  </si>
  <si>
    <t>PIPE</t>
  </si>
  <si>
    <t>GHOLSEN</t>
  </si>
  <si>
    <t>2N 4E 15</t>
  </si>
  <si>
    <t>115 58 18</t>
  </si>
  <si>
    <t>RATTLE</t>
  </si>
  <si>
    <t>4N 7E 21</t>
  </si>
  <si>
    <t>43 40 01</t>
  </si>
  <si>
    <t>115 38 01</t>
  </si>
  <si>
    <t>FA 11 BOD</t>
  </si>
  <si>
    <t>MD4R</t>
  </si>
  <si>
    <t>2S 8E 08</t>
  </si>
  <si>
    <t>LOOKOUT</t>
  </si>
  <si>
    <t>BADGER</t>
  </si>
  <si>
    <t>42 59 34</t>
  </si>
  <si>
    <t>115 45 41</t>
  </si>
  <si>
    <t>44 29 24</t>
  </si>
  <si>
    <t>116 07 42</t>
  </si>
  <si>
    <t>43 39 09</t>
  </si>
  <si>
    <t>115 17 03</t>
  </si>
  <si>
    <t>44 09 00</t>
  </si>
  <si>
    <t>115 18 59</t>
  </si>
  <si>
    <t>43 09 05</t>
  </si>
  <si>
    <t>115 40 39</t>
  </si>
  <si>
    <t>44 23 22</t>
  </si>
  <si>
    <t>116 05 10</t>
  </si>
  <si>
    <t>44 12 56</t>
  </si>
  <si>
    <t>115 55 38</t>
  </si>
  <si>
    <t>43 28 32</t>
  </si>
  <si>
    <t>116 06 45</t>
  </si>
  <si>
    <t>43 40 09</t>
  </si>
  <si>
    <t>116 02 25</t>
  </si>
  <si>
    <t>43 32 03</t>
  </si>
  <si>
    <t>116 09 29</t>
  </si>
  <si>
    <t>43 15 35</t>
  </si>
  <si>
    <t>115 31 37</t>
  </si>
  <si>
    <t>4N 7E 05</t>
  </si>
  <si>
    <t>43 42 30</t>
  </si>
  <si>
    <t>115 38 49</t>
  </si>
  <si>
    <t xml:space="preserve">BROWN </t>
  </si>
  <si>
    <t>BRADY</t>
  </si>
  <si>
    <t>BERTALATTO</t>
  </si>
  <si>
    <t>VANDIKE</t>
  </si>
  <si>
    <t>4N 6E 09</t>
  </si>
  <si>
    <t xml:space="preserve">43 41 55 </t>
  </si>
  <si>
    <t>115 44 30</t>
  </si>
  <si>
    <t xml:space="preserve">FA 12 BOD </t>
  </si>
  <si>
    <t>MD76</t>
  </si>
  <si>
    <t>12S 5E 16</t>
  </si>
  <si>
    <t>6S 4E 05</t>
  </si>
  <si>
    <t>9S 5E 07</t>
  </si>
  <si>
    <t>1N 2E 01</t>
  </si>
  <si>
    <t>2N 5W 07</t>
  </si>
  <si>
    <t xml:space="preserve">42 22 36 </t>
  </si>
  <si>
    <t>115 52 52</t>
  </si>
  <si>
    <t>115 29 40</t>
  </si>
  <si>
    <t>FA 13 BOF</t>
  </si>
  <si>
    <t>16N 6E 14</t>
  </si>
  <si>
    <t>44 43 14</t>
  </si>
  <si>
    <t>115 41 42</t>
  </si>
  <si>
    <t>43 27 14</t>
  </si>
  <si>
    <t>116 09 51</t>
  </si>
  <si>
    <t>2S 3E 08</t>
  </si>
  <si>
    <t>43 15 49</t>
  </si>
  <si>
    <t>ROUNDUP</t>
  </si>
  <si>
    <t>8N 2E 01</t>
  </si>
  <si>
    <t>MER8</t>
  </si>
  <si>
    <t>43 01 48</t>
  </si>
  <si>
    <t>116 02 50</t>
  </si>
  <si>
    <t>116 42 40</t>
  </si>
  <si>
    <t>D5</t>
  </si>
  <si>
    <t>BASIN</t>
  </si>
  <si>
    <t>COOK</t>
  </si>
  <si>
    <t>MEX5</t>
  </si>
  <si>
    <t>SIPHON</t>
  </si>
  <si>
    <t>6N 4W 25</t>
  </si>
  <si>
    <t>DEKRUYF</t>
  </si>
  <si>
    <t>43 49 46</t>
  </si>
  <si>
    <t>ME27</t>
  </si>
  <si>
    <t>FA 14 BOF</t>
  </si>
  <si>
    <t>16N 3E 28</t>
  </si>
  <si>
    <t>44 41 36</t>
  </si>
  <si>
    <t>116 06 12</t>
  </si>
  <si>
    <t>ME54</t>
  </si>
  <si>
    <t>CANMAY</t>
  </si>
  <si>
    <t>2S 6E 11</t>
  </si>
  <si>
    <t>ME6A</t>
  </si>
  <si>
    <t>LOCK</t>
  </si>
  <si>
    <t>BETTS</t>
  </si>
  <si>
    <t>2S 6E 32</t>
  </si>
  <si>
    <t>43 12 33</t>
  </si>
  <si>
    <t>BONNEVILLE</t>
  </si>
  <si>
    <t>LYDLE</t>
  </si>
  <si>
    <t>43 29 19</t>
  </si>
  <si>
    <t>116 02 10</t>
  </si>
  <si>
    <t>2N3E 24</t>
  </si>
  <si>
    <t>43 29 52</t>
  </si>
  <si>
    <t>2N 3E 24</t>
  </si>
  <si>
    <t>MARTINDALE</t>
  </si>
  <si>
    <t>ME67</t>
  </si>
  <si>
    <t>ME66</t>
  </si>
  <si>
    <t>GIBSON</t>
  </si>
  <si>
    <t>PEN</t>
  </si>
  <si>
    <t>BURKE</t>
  </si>
  <si>
    <t>15N 2E 35</t>
  </si>
  <si>
    <t>44 35 50</t>
  </si>
  <si>
    <t>2N 3E 10</t>
  </si>
  <si>
    <t>43 31 28</t>
  </si>
  <si>
    <t>ME72</t>
  </si>
  <si>
    <t>ALKIE</t>
  </si>
  <si>
    <t>ME82</t>
  </si>
  <si>
    <t>LOVELESS</t>
  </si>
  <si>
    <t>CANYON</t>
  </si>
  <si>
    <t>STEWART</t>
  </si>
  <si>
    <t>WAGNER</t>
  </si>
  <si>
    <t>11N 10E 26</t>
  </si>
  <si>
    <t>44 15 02</t>
  </si>
  <si>
    <t>115 13 37</t>
  </si>
  <si>
    <t>ME9L</t>
  </si>
  <si>
    <t>ME9K</t>
  </si>
  <si>
    <t>HEART</t>
  </si>
  <si>
    <t>NEIWERT</t>
  </si>
  <si>
    <t>9N 3W 04</t>
  </si>
  <si>
    <t>44 08 38</t>
  </si>
  <si>
    <t>116 41 31</t>
  </si>
  <si>
    <t>BEAR</t>
  </si>
  <si>
    <t>HAUPT</t>
  </si>
  <si>
    <t>44 37 27</t>
  </si>
  <si>
    <t>ALPS</t>
  </si>
  <si>
    <t>MFU7</t>
  </si>
  <si>
    <t>MFU8</t>
  </si>
  <si>
    <t>MM80 HWY51</t>
  </si>
  <si>
    <t>MM78 HWY51</t>
  </si>
  <si>
    <t>MFX7</t>
  </si>
  <si>
    <t>MFX8</t>
  </si>
  <si>
    <t>RODEO</t>
  </si>
  <si>
    <t>CRAB</t>
  </si>
  <si>
    <t>15N 5E 35</t>
  </si>
  <si>
    <t>5S 6E 29</t>
  </si>
  <si>
    <t>13S 2E 15</t>
  </si>
  <si>
    <t>CAZALY</t>
  </si>
  <si>
    <t>ESH</t>
  </si>
  <si>
    <t>42 18 07</t>
  </si>
  <si>
    <t>11S 2E 22</t>
  </si>
  <si>
    <t>115 47 24</t>
  </si>
  <si>
    <t>116 48 13</t>
  </si>
  <si>
    <t>43 53 43</t>
  </si>
  <si>
    <t>116 43 54</t>
  </si>
  <si>
    <t>FRENCH</t>
  </si>
  <si>
    <t>BOF ASSISTED</t>
  </si>
  <si>
    <t>RA 1 ADA CO</t>
  </si>
  <si>
    <t>3N 2E 34</t>
  </si>
  <si>
    <t>116 12 01</t>
  </si>
  <si>
    <t>MF43</t>
  </si>
  <si>
    <t>BAT 3 BFD</t>
  </si>
  <si>
    <t>14N 2E 36</t>
  </si>
  <si>
    <t>44 30 24</t>
  </si>
  <si>
    <t>44 35 22</t>
  </si>
  <si>
    <t>MF38</t>
  </si>
  <si>
    <t>MGB3</t>
  </si>
  <si>
    <t>MM119 I84</t>
  </si>
  <si>
    <t>ACARREGUI</t>
  </si>
  <si>
    <t>115 53 12</t>
  </si>
  <si>
    <t>115 57 31</t>
  </si>
  <si>
    <t>42 57 52</t>
  </si>
  <si>
    <t>115 19 42</t>
  </si>
  <si>
    <t>5S 9E 25</t>
  </si>
  <si>
    <t>RA 2 ADA CO</t>
  </si>
  <si>
    <t>5N 1W 33</t>
  </si>
  <si>
    <t>MGT6</t>
  </si>
  <si>
    <t>D SPARKS SFD</t>
  </si>
  <si>
    <t>MGU0</t>
  </si>
  <si>
    <t>TOX</t>
  </si>
  <si>
    <t>MESILLAS</t>
  </si>
  <si>
    <t>4S 2E 18</t>
  </si>
  <si>
    <t>43 04 24</t>
  </si>
  <si>
    <t>116 15 19</t>
  </si>
  <si>
    <t>MG1B</t>
  </si>
  <si>
    <t>MARYS</t>
  </si>
  <si>
    <t>13S 5E 20</t>
  </si>
  <si>
    <t>MG1J</t>
  </si>
  <si>
    <t>BUCK</t>
  </si>
  <si>
    <t>DRYDEN</t>
  </si>
  <si>
    <t>FA 15 BOD</t>
  </si>
  <si>
    <t>8S 6W 02</t>
  </si>
  <si>
    <t>MG1Z</t>
  </si>
  <si>
    <t>42 45 24</t>
  </si>
  <si>
    <t>117 01 11</t>
  </si>
  <si>
    <t>STONEMAN</t>
  </si>
  <si>
    <t>RED</t>
  </si>
  <si>
    <t>MG2D</t>
  </si>
  <si>
    <t>MG2E</t>
  </si>
  <si>
    <t>MG2F</t>
  </si>
  <si>
    <t>TURNER</t>
  </si>
  <si>
    <t>3S 3W 17</t>
  </si>
  <si>
    <t>43 09 53</t>
  </si>
  <si>
    <t>116 43 42</t>
  </si>
  <si>
    <t>ROOS</t>
  </si>
  <si>
    <t>10S 3W 07</t>
  </si>
  <si>
    <t>42 34 07</t>
  </si>
  <si>
    <t>14S 4E 24</t>
  </si>
  <si>
    <t>42 11 53</t>
  </si>
  <si>
    <t>42 16 28</t>
  </si>
  <si>
    <t>3N 3W 26</t>
  </si>
  <si>
    <t>43 33 58</t>
  </si>
  <si>
    <t>116 40 16</t>
  </si>
  <si>
    <t>MG22</t>
  </si>
  <si>
    <t>OBRIEN</t>
  </si>
  <si>
    <t>LEWIS</t>
  </si>
  <si>
    <t>12S 4W 16</t>
  </si>
  <si>
    <t>LOWER</t>
  </si>
  <si>
    <t>BASTERRECHEA</t>
  </si>
  <si>
    <t>5N 3E 29</t>
  </si>
  <si>
    <t>MG9M</t>
  </si>
  <si>
    <t>FA 16 BOF</t>
  </si>
  <si>
    <t>44 07 52</t>
  </si>
  <si>
    <t>116 02 12</t>
  </si>
  <si>
    <t>ALPINE</t>
  </si>
  <si>
    <t>ORO</t>
  </si>
  <si>
    <t>14N 5E 03</t>
  </si>
  <si>
    <t>14N 5E 04</t>
  </si>
  <si>
    <t>MFN9</t>
  </si>
  <si>
    <t>44 34 18</t>
  </si>
  <si>
    <t>MFM8</t>
  </si>
  <si>
    <t>CURTIS</t>
  </si>
  <si>
    <t>44 35 06</t>
  </si>
  <si>
    <t>MHV2</t>
  </si>
  <si>
    <t>6N 1W 32</t>
  </si>
  <si>
    <t>R WELCH GEM 1</t>
  </si>
  <si>
    <t>RA 3 GEM CO</t>
  </si>
  <si>
    <t>RA 4 ADA CO</t>
  </si>
  <si>
    <t>GERRINGER</t>
  </si>
  <si>
    <t>MHZ8</t>
  </si>
  <si>
    <t>116 29 01</t>
  </si>
  <si>
    <t>DURKEN</t>
  </si>
  <si>
    <t>5N 4E 28</t>
  </si>
  <si>
    <t>MH3B</t>
  </si>
  <si>
    <t>43 44 43</t>
  </si>
  <si>
    <t>MESA</t>
  </si>
  <si>
    <t>SIPPLE</t>
  </si>
  <si>
    <t>LARCH</t>
  </si>
  <si>
    <t>MH76</t>
  </si>
  <si>
    <t>115 59 22</t>
  </si>
  <si>
    <t>116 03 31</t>
  </si>
  <si>
    <t>MJG6</t>
  </si>
  <si>
    <t>IMMIGRANT</t>
  </si>
  <si>
    <t>OWL</t>
  </si>
  <si>
    <t>MACDONALD</t>
  </si>
  <si>
    <t>TEN MILE</t>
  </si>
  <si>
    <t>TAYLOR</t>
  </si>
  <si>
    <t>7N 8E 19</t>
  </si>
  <si>
    <t>9N 10E 30</t>
  </si>
  <si>
    <t>7N 10E 18</t>
  </si>
  <si>
    <t>7N 9E 11</t>
  </si>
  <si>
    <t>2S 6E 13</t>
  </si>
  <si>
    <t>43 15 09</t>
  </si>
  <si>
    <t>BLUEJAY</t>
  </si>
  <si>
    <t>CHAPMAN</t>
  </si>
  <si>
    <t>116 08 15</t>
  </si>
  <si>
    <t>10N 3E 31</t>
  </si>
  <si>
    <t>WILLIAM</t>
  </si>
  <si>
    <t>43 19 18</t>
  </si>
  <si>
    <t>115 19 39</t>
  </si>
  <si>
    <t>VALLEY</t>
  </si>
  <si>
    <t>2N 2E 32</t>
  </si>
  <si>
    <t>MJR8</t>
  </si>
  <si>
    <t>TELLERIA</t>
  </si>
  <si>
    <t>9N 10E 20</t>
  </si>
  <si>
    <t>MJL8</t>
  </si>
  <si>
    <t>116 00 29</t>
  </si>
  <si>
    <t xml:space="preserve">HUNTER </t>
  </si>
  <si>
    <t>12S 7E 32</t>
  </si>
  <si>
    <t>115 39 42</t>
  </si>
  <si>
    <t>SPRING</t>
  </si>
  <si>
    <t>9N 10E 18</t>
  </si>
  <si>
    <t>44 06 38</t>
  </si>
  <si>
    <t>115 19 18</t>
  </si>
  <si>
    <t>GARRITY</t>
  </si>
  <si>
    <t>ELLIOTT</t>
  </si>
  <si>
    <t>43 55 56</t>
  </si>
  <si>
    <t>KITTLEMAN</t>
  </si>
  <si>
    <t>WARTONICK</t>
  </si>
  <si>
    <t>44 05 22</t>
  </si>
  <si>
    <t>ROGAN</t>
  </si>
  <si>
    <t>LOWRY</t>
  </si>
  <si>
    <t>LUND</t>
  </si>
  <si>
    <t>VICKERS</t>
  </si>
  <si>
    <t>43 56 35</t>
  </si>
  <si>
    <t>43 57 22</t>
  </si>
  <si>
    <t>44 06 15</t>
  </si>
  <si>
    <t>HARVEY</t>
  </si>
  <si>
    <t>TUTT</t>
  </si>
  <si>
    <t>43 27 50</t>
  </si>
  <si>
    <t>MONTERROSO</t>
  </si>
  <si>
    <t>11N 7E 03</t>
  </si>
  <si>
    <t>44 18 31</t>
  </si>
  <si>
    <t>MM13 HWY21</t>
  </si>
  <si>
    <t>MJ16</t>
  </si>
  <si>
    <t>MJ18</t>
  </si>
  <si>
    <t>LUCKY</t>
  </si>
  <si>
    <t>MJ17</t>
  </si>
  <si>
    <t>SHORES</t>
  </si>
  <si>
    <t>3N 3E 36</t>
  </si>
  <si>
    <t>GHOLSON</t>
  </si>
  <si>
    <t>43 33 36</t>
  </si>
  <si>
    <t>BURLEY</t>
  </si>
  <si>
    <t>3N 4E 16</t>
  </si>
  <si>
    <t>STROUD</t>
  </si>
  <si>
    <t>3N 4E 15</t>
  </si>
  <si>
    <t>43 35 28</t>
  </si>
  <si>
    <t>115 57 35</t>
  </si>
  <si>
    <t>43 35 31</t>
  </si>
  <si>
    <t>MJ3W</t>
  </si>
  <si>
    <t>MM117 I84</t>
  </si>
  <si>
    <t>5S 9E 27</t>
  </si>
  <si>
    <t>42 57 26</t>
  </si>
  <si>
    <t>115 22 05</t>
  </si>
  <si>
    <t>NINE</t>
  </si>
  <si>
    <t>PORCUPINE</t>
  </si>
  <si>
    <t>EIGHT</t>
  </si>
  <si>
    <t>9N 9E 10</t>
  </si>
  <si>
    <t>LIZZY</t>
  </si>
  <si>
    <t>OFFROAD</t>
  </si>
  <si>
    <t>MJ69</t>
  </si>
  <si>
    <t>11N 11E 27</t>
  </si>
  <si>
    <t>6N 5W 24</t>
  </si>
  <si>
    <t>LAKE</t>
  </si>
  <si>
    <t>11N 11E 34</t>
  </si>
  <si>
    <t>WOLF</t>
  </si>
  <si>
    <t>BAILEY</t>
  </si>
  <si>
    <t>9N 10E 23</t>
  </si>
  <si>
    <t>RA 5 ELMORE CO</t>
  </si>
  <si>
    <t>MHRFD CH611</t>
  </si>
  <si>
    <t>115 39 16</t>
  </si>
  <si>
    <t>9N 4E 07</t>
  </si>
  <si>
    <t>43 50 13</t>
  </si>
  <si>
    <t>116 52 45</t>
  </si>
  <si>
    <t>PARMA FIRE</t>
  </si>
  <si>
    <t>MJ9R</t>
  </si>
  <si>
    <t>AIRPLAY</t>
  </si>
  <si>
    <t xml:space="preserve">4S 4E 14 </t>
  </si>
  <si>
    <t>12N 7E 20</t>
  </si>
  <si>
    <t>12N 7E 21</t>
  </si>
  <si>
    <t>RESMAN</t>
  </si>
  <si>
    <t>CRISWELL</t>
  </si>
  <si>
    <t>HABIT</t>
  </si>
  <si>
    <t>TRIPLE</t>
  </si>
  <si>
    <t>EBY</t>
  </si>
  <si>
    <t>MKC1</t>
  </si>
  <si>
    <t>MKC6</t>
  </si>
  <si>
    <t>44 14 29</t>
  </si>
  <si>
    <t>BELL</t>
  </si>
  <si>
    <t>13N 7E 27</t>
  </si>
  <si>
    <t>44 25 40</t>
  </si>
  <si>
    <t>MKJ6</t>
  </si>
  <si>
    <t>44 55 38</t>
  </si>
  <si>
    <t>44 15 47</t>
  </si>
  <si>
    <t>44 06 02</t>
  </si>
  <si>
    <t>115 14 16</t>
  </si>
  <si>
    <t xml:space="preserve">44 21 17 </t>
  </si>
  <si>
    <t>115 36 00</t>
  </si>
  <si>
    <t>RUBIO</t>
  </si>
  <si>
    <t>CUTLER</t>
  </si>
  <si>
    <t>HANDLEY</t>
  </si>
  <si>
    <t>MK0A</t>
  </si>
  <si>
    <t>XMAS</t>
  </si>
  <si>
    <t>OTR</t>
  </si>
  <si>
    <t>1S 1E 36</t>
  </si>
  <si>
    <t>43 17 46</t>
  </si>
  <si>
    <t>116 13 27</t>
  </si>
  <si>
    <t>43 35 43</t>
  </si>
  <si>
    <t>115 58 05</t>
  </si>
  <si>
    <t>43 32 57</t>
  </si>
  <si>
    <t>43 44 05</t>
  </si>
  <si>
    <t>116 27 47</t>
  </si>
  <si>
    <t>43 49 31</t>
  </si>
  <si>
    <t>116 28 39</t>
  </si>
  <si>
    <t>5N 1W 05</t>
  </si>
  <si>
    <t>43 48 15</t>
  </si>
  <si>
    <t>MJ7S</t>
  </si>
  <si>
    <t>4S 7E 08</t>
  </si>
  <si>
    <t>43 05 31</t>
  </si>
  <si>
    <t>43 14 25</t>
  </si>
  <si>
    <t>116 19 18</t>
  </si>
  <si>
    <t>5N 4E 24</t>
  </si>
  <si>
    <t>FA 17 SWS</t>
  </si>
  <si>
    <t>43 45 07</t>
  </si>
  <si>
    <t>115 55 11</t>
  </si>
  <si>
    <t>MK5S</t>
  </si>
  <si>
    <t>115 34 29</t>
  </si>
  <si>
    <t>44 25 44</t>
  </si>
  <si>
    <t>116 04  41</t>
  </si>
  <si>
    <t>1N 2E 02</t>
  </si>
  <si>
    <t>43 27 31</t>
  </si>
  <si>
    <t>116 10 31</t>
  </si>
  <si>
    <t>43 30 34</t>
  </si>
  <si>
    <t>44 03 24</t>
  </si>
  <si>
    <t>116 09 40</t>
  </si>
  <si>
    <t>12N 6E 24</t>
  </si>
  <si>
    <t>44 21 39</t>
  </si>
  <si>
    <t>115 41 33</t>
  </si>
  <si>
    <t>FAUST</t>
  </si>
  <si>
    <t>MLB1</t>
  </si>
  <si>
    <t>VISTA</t>
  </si>
  <si>
    <t>1N 2E 10</t>
  </si>
  <si>
    <t>43 26 10</t>
  </si>
  <si>
    <t>116 11 39</t>
  </si>
  <si>
    <t>116 10 38</t>
  </si>
  <si>
    <t>15N 7E 20</t>
  </si>
  <si>
    <t>115 38 32</t>
  </si>
  <si>
    <t>MLE6</t>
  </si>
  <si>
    <t>FA 18 SWS</t>
  </si>
  <si>
    <t>6N 5E 33</t>
  </si>
  <si>
    <t>43 48 49</t>
  </si>
  <si>
    <t>115 51 46</t>
  </si>
  <si>
    <t>SAWYER - PAY</t>
  </si>
  <si>
    <t>115 48 27</t>
  </si>
  <si>
    <t>116 09 14</t>
  </si>
  <si>
    <t>DALEY</t>
  </si>
  <si>
    <t>6N 11E 34</t>
  </si>
  <si>
    <t>RA 6 ADA CO</t>
  </si>
  <si>
    <t>MLR0</t>
  </si>
  <si>
    <t>5N 1W 16</t>
  </si>
  <si>
    <t>43 46 20</t>
  </si>
  <si>
    <t>116 27 59</t>
  </si>
  <si>
    <t>BR51</t>
  </si>
  <si>
    <t>HONEY</t>
  </si>
  <si>
    <t>BIGHORSE</t>
  </si>
  <si>
    <t>ORCHARD</t>
  </si>
  <si>
    <t>BUTLER</t>
  </si>
  <si>
    <t>10S 4E 12</t>
  </si>
  <si>
    <t>MLT6</t>
  </si>
  <si>
    <t>MLV9</t>
  </si>
  <si>
    <t>MLV6</t>
  </si>
  <si>
    <t>8S 3E 24</t>
  </si>
  <si>
    <t>42 43 01</t>
  </si>
  <si>
    <t>1S 3E 15</t>
  </si>
  <si>
    <t>43 20 33</t>
  </si>
  <si>
    <t>MCFADDEN</t>
  </si>
  <si>
    <t>FA 19 BOF</t>
  </si>
  <si>
    <t>2N7E 26</t>
  </si>
  <si>
    <t>43 28 49</t>
  </si>
  <si>
    <t>115 35 13</t>
  </si>
  <si>
    <t>SHAW</t>
  </si>
  <si>
    <t>KENNERMAN</t>
  </si>
  <si>
    <t>10N 4E 13</t>
  </si>
  <si>
    <t>44 11 43</t>
  </si>
  <si>
    <t>FENCE</t>
  </si>
  <si>
    <t>VANHORN</t>
  </si>
  <si>
    <t>BAIER</t>
  </si>
  <si>
    <t>9N 8E 23</t>
  </si>
  <si>
    <t>HANGING</t>
  </si>
  <si>
    <t>ROUNDS</t>
  </si>
  <si>
    <t>44 09 29</t>
  </si>
  <si>
    <t>115 17 49</t>
  </si>
  <si>
    <t>PONDEROSA</t>
  </si>
  <si>
    <t>DEVALK</t>
  </si>
  <si>
    <t>9N 7E 24</t>
  </si>
  <si>
    <t>115 34 19</t>
  </si>
  <si>
    <t>MILLER</t>
  </si>
  <si>
    <t>9N 8E 18</t>
  </si>
  <si>
    <t>44 07 01</t>
  </si>
  <si>
    <t>WARM</t>
  </si>
  <si>
    <t>SHULL</t>
  </si>
  <si>
    <t>10N 10E 08</t>
  </si>
  <si>
    <t>FIVEMILE</t>
  </si>
  <si>
    <t>9N 9E 02</t>
  </si>
  <si>
    <t>14N 6E 12</t>
  </si>
  <si>
    <t>10N 8E 25</t>
  </si>
  <si>
    <t>CASNER</t>
  </si>
  <si>
    <t>FA 20 BOF</t>
  </si>
  <si>
    <t>44 34 10</t>
  </si>
  <si>
    <t>115 41 01</t>
  </si>
  <si>
    <t>11N 3E 06</t>
  </si>
  <si>
    <t>12N 3E 31</t>
  </si>
  <si>
    <t>44 08 50</t>
  </si>
  <si>
    <t>MORSE</t>
  </si>
  <si>
    <t>44 10 03</t>
  </si>
  <si>
    <t>HEN</t>
  </si>
  <si>
    <t>HOLLYWOOD</t>
  </si>
  <si>
    <t>12N 3E 17</t>
  </si>
  <si>
    <t>SANDERS</t>
  </si>
  <si>
    <t>SANCHEZ</t>
  </si>
  <si>
    <t>116 08 49</t>
  </si>
  <si>
    <t>ML2B</t>
  </si>
  <si>
    <t>WHITEHAWK</t>
  </si>
  <si>
    <t>11N 8E 16</t>
  </si>
  <si>
    <t>44 16 59</t>
  </si>
  <si>
    <t>WEST</t>
  </si>
  <si>
    <t>MCKELVEY</t>
  </si>
  <si>
    <t>WACHUTA</t>
  </si>
  <si>
    <t>3S 6E 13</t>
  </si>
  <si>
    <t>43 09 50</t>
  </si>
  <si>
    <t>115 41 09</t>
  </si>
  <si>
    <t>ML31</t>
  </si>
  <si>
    <t>4N 4E 10</t>
  </si>
  <si>
    <t>MM26 HWY 21</t>
  </si>
  <si>
    <t>ML34</t>
  </si>
  <si>
    <t>43 41 50</t>
  </si>
  <si>
    <t>AVELENE</t>
  </si>
  <si>
    <t>43 42 46</t>
  </si>
  <si>
    <t>ML36</t>
  </si>
  <si>
    <t>4N 4E 03</t>
  </si>
  <si>
    <t>ML4U</t>
  </si>
  <si>
    <t>HECKATHORN</t>
  </si>
  <si>
    <t>7N 5E 29</t>
  </si>
  <si>
    <t>43 54 59</t>
  </si>
  <si>
    <t>RA 7 ELMORE CO</t>
  </si>
  <si>
    <t>43 15 50</t>
  </si>
  <si>
    <t>115 42 44</t>
  </si>
  <si>
    <t>43 49 47</t>
  </si>
  <si>
    <t>116 45 47</t>
  </si>
  <si>
    <t>115 45 40</t>
  </si>
  <si>
    <t>116 03 02</t>
  </si>
  <si>
    <t>116 04 43</t>
  </si>
  <si>
    <t>9N 2W 20</t>
  </si>
  <si>
    <t>44 06 34</t>
  </si>
  <si>
    <t>116 36 10</t>
  </si>
  <si>
    <t>ELK</t>
  </si>
  <si>
    <t>BLUE</t>
  </si>
  <si>
    <t>KITTLEMANN</t>
  </si>
  <si>
    <t>OWENS</t>
  </si>
  <si>
    <t>12N 3E 05</t>
  </si>
  <si>
    <t>7N 6E 2</t>
  </si>
  <si>
    <t>43 58 40</t>
  </si>
  <si>
    <t>42 59 43</t>
  </si>
  <si>
    <t>115 45 37</t>
  </si>
  <si>
    <t>42  57 45</t>
  </si>
  <si>
    <t>115 45 58</t>
  </si>
  <si>
    <t>DEADWOOD</t>
  </si>
  <si>
    <t>12N 7E 29</t>
  </si>
  <si>
    <t>44 20 54</t>
  </si>
  <si>
    <t>115 33 60</t>
  </si>
  <si>
    <t>MMJ1</t>
  </si>
  <si>
    <t>WRIGHT</t>
  </si>
  <si>
    <t>MCCABE</t>
  </si>
  <si>
    <t>116 12 33</t>
  </si>
  <si>
    <t>42 27 19</t>
  </si>
  <si>
    <t>116 13 00</t>
  </si>
  <si>
    <t>115 53 53</t>
  </si>
  <si>
    <t>115 55 32</t>
  </si>
  <si>
    <t>115 19 34</t>
  </si>
  <si>
    <t>9N 10E 25</t>
  </si>
  <si>
    <t>44 05 02</t>
  </si>
  <si>
    <t>115 19 43</t>
  </si>
  <si>
    <t>MMN9</t>
  </si>
  <si>
    <t>MM24 HWY 21</t>
  </si>
  <si>
    <t>GREEN</t>
  </si>
  <si>
    <t>115 18 27</t>
  </si>
  <si>
    <t>43 40 44</t>
  </si>
  <si>
    <t xml:space="preserve">115 58 30 </t>
  </si>
  <si>
    <t>MMV3</t>
  </si>
  <si>
    <t>BROWNIE</t>
  </si>
  <si>
    <t>MM0G</t>
  </si>
  <si>
    <t>MM0L</t>
  </si>
  <si>
    <t>COLUMBIA</t>
  </si>
  <si>
    <t>BRYANS</t>
  </si>
  <si>
    <t>MAYFIELD</t>
  </si>
  <si>
    <t>PROSPECT</t>
  </si>
  <si>
    <t>POLE</t>
  </si>
  <si>
    <t>GENTRY</t>
  </si>
  <si>
    <t>1N 3E 04</t>
  </si>
  <si>
    <t>1N 4E 02</t>
  </si>
  <si>
    <t>2N 4E 27</t>
  </si>
  <si>
    <t>MM0Z</t>
  </si>
  <si>
    <t>MM0X</t>
  </si>
  <si>
    <t>MM00</t>
  </si>
  <si>
    <t>SHREVE</t>
  </si>
  <si>
    <t>MM1V</t>
  </si>
  <si>
    <t>NORTHPRO</t>
  </si>
  <si>
    <t>2N 4E 26</t>
  </si>
  <si>
    <t>MM1T</t>
  </si>
  <si>
    <t>GROPRO</t>
  </si>
  <si>
    <t>IDL</t>
  </si>
  <si>
    <t>NAME</t>
  </si>
  <si>
    <t>COST SHARE?</t>
  </si>
  <si>
    <t>POTENTIAL COST SHARE AND DECISION</t>
  </si>
  <si>
    <t>INCIDENT NUMBER</t>
  </si>
  <si>
    <t>SWS PROTECTION</t>
  </si>
  <si>
    <t>BOF PROTECTION</t>
  </si>
  <si>
    <t>7N 4E 10</t>
  </si>
  <si>
    <t>43 57 36</t>
  </si>
  <si>
    <t>115 58 02</t>
  </si>
  <si>
    <t>FA 21  SWS</t>
  </si>
  <si>
    <t>MM3W</t>
  </si>
  <si>
    <t>MM34</t>
  </si>
  <si>
    <t>PATS</t>
  </si>
  <si>
    <t>5N 3E 21</t>
  </si>
  <si>
    <t>43 44 56</t>
  </si>
  <si>
    <t>116 06 50</t>
  </si>
  <si>
    <t>7N 4E 05</t>
  </si>
  <si>
    <t>QUARTZ</t>
  </si>
  <si>
    <t>MM4T</t>
  </si>
  <si>
    <t>BILLINGS</t>
  </si>
  <si>
    <t>43 58 05</t>
  </si>
  <si>
    <t>116 00 04</t>
  </si>
  <si>
    <t>MFM9</t>
  </si>
  <si>
    <t>15N 5E 02</t>
  </si>
  <si>
    <t>44 35 01</t>
  </si>
  <si>
    <t>115 48 51</t>
  </si>
  <si>
    <t>BOYLE</t>
  </si>
  <si>
    <t>115 49 41</t>
  </si>
  <si>
    <t>HUMBERT</t>
  </si>
  <si>
    <t>SNAG CREEK</t>
  </si>
  <si>
    <t>115 50 08</t>
  </si>
  <si>
    <t>FOREMAN</t>
  </si>
  <si>
    <t>43 27 09</t>
  </si>
  <si>
    <t>MM5V</t>
  </si>
  <si>
    <t>JENN</t>
  </si>
  <si>
    <t>6N 2W 19</t>
  </si>
  <si>
    <t>MF0B</t>
  </si>
  <si>
    <t>45 35 01</t>
  </si>
  <si>
    <t>115 49 42</t>
  </si>
  <si>
    <t>WALLIN</t>
  </si>
  <si>
    <t>43 50 29</t>
  </si>
  <si>
    <t xml:space="preserve">SCOTCH </t>
  </si>
  <si>
    <t xml:space="preserve">BEACH </t>
  </si>
  <si>
    <t>SANDY</t>
  </si>
  <si>
    <t>WELCH</t>
  </si>
  <si>
    <t>4N 9E 09</t>
  </si>
  <si>
    <t>43 41 25</t>
  </si>
  <si>
    <t>STEFANIDES</t>
  </si>
  <si>
    <t>MM9C</t>
  </si>
  <si>
    <t>GREAVES</t>
  </si>
  <si>
    <t>3N 5E 17</t>
  </si>
  <si>
    <t>115 53 35</t>
  </si>
  <si>
    <t>MM95</t>
  </si>
  <si>
    <t>2N 3E 02</t>
  </si>
  <si>
    <t xml:space="preserve">EAGLE </t>
  </si>
  <si>
    <t>2N 1E 29</t>
  </si>
  <si>
    <t>43 29 02</t>
  </si>
  <si>
    <t>MNA3</t>
  </si>
  <si>
    <t>LAVA</t>
  </si>
  <si>
    <t>3N 8E 17</t>
  </si>
  <si>
    <t>LAMB</t>
  </si>
  <si>
    <t>43 36 03</t>
  </si>
  <si>
    <t>MNE8</t>
  </si>
  <si>
    <t>MM16 HWY21</t>
  </si>
  <si>
    <t>3N 4E 20</t>
  </si>
  <si>
    <t>43 34 44</t>
  </si>
  <si>
    <t>44 34 42</t>
  </si>
  <si>
    <t>115 50 32</t>
  </si>
  <si>
    <t>13N 2E 31</t>
  </si>
  <si>
    <t>44 24 40</t>
  </si>
  <si>
    <t>116 16 07</t>
  </si>
  <si>
    <t>116 44 22</t>
  </si>
  <si>
    <t>42 22 49</t>
  </si>
  <si>
    <t>116 48 54</t>
  </si>
  <si>
    <t>43 44 17</t>
  </si>
  <si>
    <t>116 07 14</t>
  </si>
  <si>
    <t>PILOT</t>
  </si>
  <si>
    <t>TRAVERSO</t>
  </si>
  <si>
    <t>LONG</t>
  </si>
  <si>
    <t>115 41 13</t>
  </si>
  <si>
    <t>116 14 03</t>
  </si>
  <si>
    <t xml:space="preserve">KRANTZ </t>
  </si>
  <si>
    <t>115 37 02</t>
  </si>
  <si>
    <t>7N 6E 12</t>
  </si>
  <si>
    <t>43 57 24</t>
  </si>
  <si>
    <t>GARITY</t>
  </si>
  <si>
    <t>JOLLY</t>
  </si>
  <si>
    <t>44 08 19</t>
  </si>
  <si>
    <t>115 22 52</t>
  </si>
  <si>
    <t>MESERTH</t>
  </si>
  <si>
    <t>18N 7E 01</t>
  </si>
  <si>
    <t>115 32 09</t>
  </si>
  <si>
    <t>BOSMAN</t>
  </si>
  <si>
    <t>10N 9E 28</t>
  </si>
  <si>
    <t>44 09 60</t>
  </si>
  <si>
    <t>115 23 16</t>
  </si>
  <si>
    <t>115 10 01</t>
  </si>
  <si>
    <t>115 09 43</t>
  </si>
  <si>
    <t>MN1G</t>
  </si>
  <si>
    <t>COVE</t>
  </si>
  <si>
    <t>42 54 40</t>
  </si>
  <si>
    <t>MN5U</t>
  </si>
  <si>
    <t>POINTER</t>
  </si>
  <si>
    <t>43 32 01</t>
  </si>
  <si>
    <t>116 03 42</t>
  </si>
  <si>
    <t>43 04 49</t>
  </si>
  <si>
    <t>115 56 19</t>
  </si>
  <si>
    <t>116 16 51</t>
  </si>
  <si>
    <t>RANFT</t>
  </si>
  <si>
    <t>HAVEN</t>
  </si>
  <si>
    <t>MN96</t>
  </si>
  <si>
    <t>MPA2</t>
  </si>
  <si>
    <t>JONES</t>
  </si>
  <si>
    <t>BONOVICH</t>
  </si>
  <si>
    <t>7N 4E 27</t>
  </si>
  <si>
    <t>43 54 52</t>
  </si>
  <si>
    <t>5N 4E 31</t>
  </si>
  <si>
    <t>43 43 27</t>
  </si>
  <si>
    <t>BROOKS</t>
  </si>
  <si>
    <t xml:space="preserve">MUMMEY </t>
  </si>
  <si>
    <t>115 21 49</t>
  </si>
  <si>
    <t>115 59 03</t>
  </si>
  <si>
    <t>44 21 35</t>
  </si>
  <si>
    <t>115 38 11</t>
  </si>
  <si>
    <t>43 49 16</t>
  </si>
  <si>
    <t>115 08 05</t>
  </si>
  <si>
    <t>42 34 18</t>
  </si>
  <si>
    <t>115 55 36</t>
  </si>
  <si>
    <t>116 05 38</t>
  </si>
  <si>
    <t>115 55 27</t>
  </si>
  <si>
    <t>44 06 28</t>
  </si>
  <si>
    <t>115 28 46</t>
  </si>
  <si>
    <t>WATSON</t>
  </si>
  <si>
    <t>LOSO</t>
  </si>
  <si>
    <t>115 21 38</t>
  </si>
  <si>
    <t>44 06 20</t>
  </si>
  <si>
    <t>115 33 21</t>
  </si>
  <si>
    <t>44 12 45</t>
  </si>
  <si>
    <t>115 17 27</t>
  </si>
  <si>
    <t>115 27 22</t>
  </si>
  <si>
    <t>115 59 12</t>
  </si>
  <si>
    <t>44 09 40</t>
  </si>
  <si>
    <t>44 19 06</t>
  </si>
  <si>
    <t>116 09 08</t>
  </si>
  <si>
    <t>44 19 25</t>
  </si>
  <si>
    <t>44 22 01</t>
  </si>
  <si>
    <t>116 08 11</t>
  </si>
  <si>
    <t>115 30 48</t>
  </si>
  <si>
    <t>115 58 12</t>
  </si>
  <si>
    <t>115 52 57</t>
  </si>
  <si>
    <t>MP4B</t>
  </si>
  <si>
    <t>MP4C</t>
  </si>
  <si>
    <t>CURRENT</t>
  </si>
  <si>
    <t>DUTY OFFICER</t>
  </si>
  <si>
    <t>BIG BOGGY</t>
  </si>
  <si>
    <t>9S 4W 22</t>
  </si>
  <si>
    <t>9S 4W 14</t>
  </si>
  <si>
    <t>42 37 58</t>
  </si>
  <si>
    <t>42 37 49</t>
  </si>
  <si>
    <t>MM2 HWY17</t>
  </si>
  <si>
    <t>MP5A</t>
  </si>
  <si>
    <t>STEVENS</t>
  </si>
  <si>
    <t>MP8F</t>
  </si>
  <si>
    <t>CASE</t>
  </si>
  <si>
    <t>1N 6E 15</t>
  </si>
  <si>
    <t>43 25 30</t>
  </si>
  <si>
    <t>CALDERON</t>
  </si>
  <si>
    <t>115 43 24</t>
  </si>
  <si>
    <t>115 39 04</t>
  </si>
  <si>
    <t>43 35 58</t>
  </si>
  <si>
    <t>LONE TREE</t>
  </si>
  <si>
    <t>FREEMAN</t>
  </si>
  <si>
    <t>MP9R</t>
  </si>
  <si>
    <t>15N 3E 06</t>
  </si>
  <si>
    <t>KNIGHT</t>
  </si>
  <si>
    <t>9N 8E 34</t>
  </si>
  <si>
    <t>MM80 HWY21</t>
  </si>
  <si>
    <t>44 04 31</t>
  </si>
  <si>
    <t>115 29 51</t>
  </si>
  <si>
    <t>MP98</t>
  </si>
  <si>
    <t>MQE0</t>
  </si>
  <si>
    <t>SPUR</t>
  </si>
  <si>
    <t>GRAYSHIELD</t>
  </si>
  <si>
    <t>1S 1W 13</t>
  </si>
  <si>
    <t>43 19 50</t>
  </si>
  <si>
    <t>1S 4E 33</t>
  </si>
  <si>
    <t>43 17 08</t>
  </si>
  <si>
    <t>115 59 41</t>
  </si>
  <si>
    <t>FA 22 BOF</t>
  </si>
  <si>
    <t>14N 3E 28</t>
  </si>
  <si>
    <t>44 31 18</t>
  </si>
  <si>
    <t>116 06 22</t>
  </si>
  <si>
    <t>6N 7E 32</t>
  </si>
  <si>
    <t>43 48 57</t>
  </si>
  <si>
    <t>115 39 15</t>
  </si>
  <si>
    <t>ADA CO</t>
  </si>
  <si>
    <t>43 31 39</t>
  </si>
  <si>
    <t>116 05 05</t>
  </si>
  <si>
    <t>MQR3</t>
  </si>
  <si>
    <t>SIMCO</t>
  </si>
  <si>
    <t>2S 4E 23</t>
  </si>
  <si>
    <t>43 14 17</t>
  </si>
  <si>
    <t>ZARIFIS</t>
  </si>
  <si>
    <t>43 27 18</t>
  </si>
  <si>
    <t>116 05 45</t>
  </si>
  <si>
    <t>MQW0</t>
  </si>
  <si>
    <t>MQW2</t>
  </si>
  <si>
    <t>NORTH SIM</t>
  </si>
  <si>
    <t>MIDCO</t>
  </si>
  <si>
    <t>2S 4E 15</t>
  </si>
  <si>
    <t>115 57 25</t>
  </si>
  <si>
    <t>MQ5W</t>
  </si>
  <si>
    <t>RA 8 ELMORE CO</t>
  </si>
  <si>
    <t>KING HILL RURAL</t>
  </si>
  <si>
    <t>5S 10E 29</t>
  </si>
  <si>
    <t>42 57 39</t>
  </si>
  <si>
    <t>115 17 32</t>
  </si>
  <si>
    <t>ARCHIE</t>
  </si>
  <si>
    <t>9N 8E 33</t>
  </si>
  <si>
    <t>MQ7E</t>
  </si>
  <si>
    <t>MQ9M</t>
  </si>
  <si>
    <t>LODGE</t>
  </si>
  <si>
    <t>ANDERTON</t>
  </si>
  <si>
    <t>15N 7E 07</t>
  </si>
  <si>
    <t>44 24 21</t>
  </si>
  <si>
    <t>9N 3E 13</t>
  </si>
  <si>
    <t>44 06 52</t>
  </si>
  <si>
    <t>FAWN</t>
  </si>
  <si>
    <t>KELLY</t>
  </si>
  <si>
    <t>SCHAPER</t>
  </si>
  <si>
    <t>OGLE</t>
  </si>
  <si>
    <t>4N 4E 18</t>
  </si>
  <si>
    <t>MRF0</t>
  </si>
  <si>
    <t>MRF3</t>
  </si>
  <si>
    <t>SHIRTS</t>
  </si>
  <si>
    <t>10N 2E 35</t>
  </si>
  <si>
    <t>43 40 56</t>
  </si>
  <si>
    <t>116 01 50</t>
  </si>
  <si>
    <t>SAWMILL</t>
  </si>
  <si>
    <t>4N 6E 18</t>
  </si>
  <si>
    <t>SUMMERFIELD</t>
  </si>
  <si>
    <t>DOUGLAS</t>
  </si>
  <si>
    <t>BENALK</t>
  </si>
  <si>
    <t>AIRPORT</t>
  </si>
  <si>
    <t>MRK5</t>
  </si>
  <si>
    <t>MRL0</t>
  </si>
  <si>
    <t>4S 10E 18</t>
  </si>
  <si>
    <t>ABDELA</t>
  </si>
  <si>
    <t>BOILER</t>
  </si>
  <si>
    <t>TELEPHONE</t>
  </si>
  <si>
    <t>STEEL</t>
  </si>
  <si>
    <t>BOULD</t>
  </si>
  <si>
    <t>MILK</t>
  </si>
  <si>
    <t>MEYER</t>
  </si>
  <si>
    <t>MRN1</t>
  </si>
  <si>
    <t>MRM3</t>
  </si>
  <si>
    <t>LUCARELLI</t>
  </si>
  <si>
    <t>WILLOW</t>
  </si>
  <si>
    <t>6N 5E 17</t>
  </si>
  <si>
    <t>43 51 09</t>
  </si>
  <si>
    <t>115 53 52</t>
  </si>
  <si>
    <t>6S 3W 15</t>
  </si>
  <si>
    <t>116 41 22</t>
  </si>
  <si>
    <t>MRP6</t>
  </si>
  <si>
    <t>LEVESQUE</t>
  </si>
  <si>
    <t>5N 10E 21</t>
  </si>
  <si>
    <t>14N 7E 19</t>
  </si>
  <si>
    <t>44 32 16</t>
  </si>
  <si>
    <t>JOHNSON</t>
  </si>
  <si>
    <t>5N 10E 33</t>
  </si>
  <si>
    <t>43 43 49</t>
  </si>
  <si>
    <t>115 16 51</t>
  </si>
  <si>
    <t>STHROMEYER</t>
  </si>
  <si>
    <t>6N 9E 11</t>
  </si>
  <si>
    <t>ROCKY</t>
  </si>
  <si>
    <t>43 44 51</t>
  </si>
  <si>
    <t>SWAN</t>
  </si>
  <si>
    <t>D3 DO</t>
  </si>
  <si>
    <t>D1 DO</t>
  </si>
  <si>
    <t>6N 9E 29</t>
  </si>
  <si>
    <t>43 50 10</t>
  </si>
  <si>
    <t>115 24 59</t>
  </si>
  <si>
    <t>GRAND</t>
  </si>
  <si>
    <t>43 58 49</t>
  </si>
  <si>
    <t>115 48 13</t>
  </si>
  <si>
    <t>8N 5E 36</t>
  </si>
  <si>
    <t>FA 23 BOF</t>
  </si>
  <si>
    <t>15N 3E 19</t>
  </si>
  <si>
    <t>44 37 24</t>
  </si>
  <si>
    <t>116 08 16</t>
  </si>
  <si>
    <t>HOODOO</t>
  </si>
  <si>
    <t>6N 5E 27</t>
  </si>
  <si>
    <t>43 49 23</t>
  </si>
  <si>
    <t>115 51 09</t>
  </si>
  <si>
    <t>FA 25 BOD</t>
  </si>
  <si>
    <t>FA 24 BOF</t>
  </si>
  <si>
    <t>2S 9E 19</t>
  </si>
  <si>
    <t>43 14 12</t>
  </si>
  <si>
    <t>115 25 57</t>
  </si>
  <si>
    <t>MR4C</t>
  </si>
  <si>
    <t>EDDY</t>
  </si>
  <si>
    <t>TROUT SPRINGS BROADCAST</t>
  </si>
  <si>
    <t>OKESON</t>
  </si>
  <si>
    <t>11S 5W 02</t>
  </si>
  <si>
    <t>6N 6E 27</t>
  </si>
  <si>
    <t>43 50 03</t>
  </si>
  <si>
    <t>MCCARVILLE</t>
  </si>
  <si>
    <t>MSE9</t>
  </si>
  <si>
    <t>COTTON</t>
  </si>
  <si>
    <t>DO</t>
  </si>
  <si>
    <t>11S 5W 27</t>
  </si>
  <si>
    <t>42 25 50</t>
  </si>
  <si>
    <t>2N 4E 28</t>
  </si>
  <si>
    <t>43 28 56</t>
  </si>
  <si>
    <t>115 58 32</t>
  </si>
  <si>
    <t>115 56 43</t>
  </si>
  <si>
    <t>MSK5</t>
  </si>
  <si>
    <t>CRANEROCK</t>
  </si>
  <si>
    <t>MSM5</t>
  </si>
  <si>
    <t>MM1  HWY17</t>
  </si>
  <si>
    <t>GVRFD</t>
  </si>
  <si>
    <t>5S 7E 34</t>
  </si>
  <si>
    <t>42 56 35</t>
  </si>
  <si>
    <t>115 36 11</t>
  </si>
  <si>
    <t>9N 3E 28</t>
  </si>
  <si>
    <t>44 05 18</t>
  </si>
  <si>
    <t>116 02 46</t>
  </si>
  <si>
    <t>43 28 58</t>
  </si>
  <si>
    <t>115 57 29</t>
  </si>
  <si>
    <t>43 29 08</t>
  </si>
  <si>
    <t>115 57 00</t>
  </si>
  <si>
    <t>43 29 14</t>
  </si>
  <si>
    <t>115 56 37</t>
  </si>
  <si>
    <t>MONDAY</t>
  </si>
  <si>
    <t>44 35 43</t>
  </si>
  <si>
    <t>115 48 41</t>
  </si>
  <si>
    <t>D4 DO</t>
  </si>
  <si>
    <t>WEST LOWMAN NATURAL FUELS REDUCTION</t>
  </si>
  <si>
    <t>BLOM</t>
  </si>
  <si>
    <t>9N 7E 35</t>
  </si>
  <si>
    <t>PINE FLATS, LOWMAN DISTRICT ADMIN PILES</t>
  </si>
  <si>
    <t>CLEAR CRK ROADSIDE HAZARD PILES</t>
  </si>
  <si>
    <t>WHISKEY</t>
  </si>
  <si>
    <t>PARSONS</t>
  </si>
  <si>
    <t>4N 9E 22</t>
  </si>
  <si>
    <t>COBARUBIAS</t>
  </si>
  <si>
    <t>MTF3</t>
  </si>
  <si>
    <t>43 40 15</t>
  </si>
  <si>
    <t>116 37 00</t>
  </si>
  <si>
    <t>43 31 01</t>
  </si>
  <si>
    <t>116 03 43</t>
  </si>
  <si>
    <t>116 21 21</t>
  </si>
  <si>
    <t>116 00 08</t>
  </si>
  <si>
    <t>6S 6E 07</t>
  </si>
  <si>
    <t>115 46 58</t>
  </si>
  <si>
    <t xml:space="preserve">MORRISON </t>
  </si>
  <si>
    <t xml:space="preserve">COOPER </t>
  </si>
  <si>
    <t>12N 3E 06</t>
  </si>
  <si>
    <t>44 24 25</t>
  </si>
  <si>
    <t>116 08 19</t>
  </si>
  <si>
    <t>115 23 00</t>
  </si>
  <si>
    <t>JANISCH</t>
  </si>
  <si>
    <t>115 31 16</t>
  </si>
  <si>
    <t>115 41 08</t>
  </si>
  <si>
    <t>115 44 12</t>
  </si>
  <si>
    <t>44 40 12</t>
  </si>
  <si>
    <t>116 08 03</t>
  </si>
  <si>
    <t>HORSETHIEF</t>
  </si>
  <si>
    <t>14N 5E 20</t>
  </si>
  <si>
    <t>TURKEY TRACK</t>
  </si>
  <si>
    <t>LOFING</t>
  </si>
  <si>
    <t>10N 3E 28</t>
  </si>
  <si>
    <t>JORGENSON</t>
  </si>
  <si>
    <t>13N 2E 35</t>
  </si>
  <si>
    <t>44 25 22</t>
  </si>
  <si>
    <t>GABES</t>
  </si>
  <si>
    <t>TUB</t>
  </si>
  <si>
    <t>116 11 07</t>
  </si>
  <si>
    <t>MT08</t>
  </si>
  <si>
    <t>MT09</t>
  </si>
  <si>
    <t>BISHOP/ELLES(T)</t>
  </si>
  <si>
    <t>LOWMAN ADMIN PILES</t>
  </si>
  <si>
    <t>BLOM/ALEXANDER(T)</t>
  </si>
  <si>
    <t>9N 7E 31</t>
  </si>
  <si>
    <t>PINE FLAT PILES</t>
  </si>
  <si>
    <t>AQUI</t>
  </si>
  <si>
    <t>44 39 09</t>
  </si>
  <si>
    <t>115 39 37</t>
  </si>
  <si>
    <t>116 07 20</t>
  </si>
  <si>
    <t>43 41 14</t>
  </si>
  <si>
    <t>115 46 46</t>
  </si>
  <si>
    <t>JENNY</t>
  </si>
  <si>
    <t>MT7Q</t>
  </si>
  <si>
    <t xml:space="preserve">TURNER </t>
  </si>
  <si>
    <t>43 50 23</t>
  </si>
  <si>
    <t>10N 8E 30</t>
  </si>
  <si>
    <t>RIOS/NEIWERT</t>
  </si>
  <si>
    <t>TERESA</t>
  </si>
  <si>
    <t>MUB7</t>
  </si>
  <si>
    <t>3N 3E 34</t>
  </si>
  <si>
    <t>43 33 02</t>
  </si>
  <si>
    <t>116 05 39</t>
  </si>
  <si>
    <t>UNIFIED CMD</t>
  </si>
  <si>
    <t>OTR #</t>
  </si>
  <si>
    <t>WLDCAD #</t>
  </si>
  <si>
    <t>INC #</t>
  </si>
  <si>
    <t>DISPATCH DATE/TIME</t>
  </si>
  <si>
    <t>OUT DATE/TIME</t>
  </si>
  <si>
    <t>LAT</t>
  </si>
  <si>
    <t>1/8 1459</t>
  </si>
  <si>
    <t>1/8 1640</t>
  </si>
  <si>
    <t>1/28 1515</t>
  </si>
  <si>
    <t>1/8 1639</t>
  </si>
  <si>
    <t>1/29 0940</t>
  </si>
  <si>
    <t>1/29 1600</t>
  </si>
  <si>
    <t>3/14 1530</t>
  </si>
  <si>
    <t>3/14 1554</t>
  </si>
  <si>
    <t>8/9 1046</t>
  </si>
  <si>
    <t>8/9  1105</t>
  </si>
  <si>
    <t>8/10 1212</t>
  </si>
  <si>
    <t>8/10 1227</t>
  </si>
  <si>
    <t>8/10 1301</t>
  </si>
  <si>
    <t>8/10 1319</t>
  </si>
  <si>
    <t>8/10 1609</t>
  </si>
  <si>
    <t>8/10 1620</t>
  </si>
  <si>
    <t>8/13 0734</t>
  </si>
  <si>
    <t>8/13 0743</t>
  </si>
  <si>
    <t>8/13 1024</t>
  </si>
  <si>
    <t>8/13 1035</t>
  </si>
  <si>
    <t>8/13 1119</t>
  </si>
  <si>
    <t>8/13 1141</t>
  </si>
  <si>
    <t>8/13 1135</t>
  </si>
  <si>
    <t>8/13 1208</t>
  </si>
  <si>
    <t>08/13 1617</t>
  </si>
  <si>
    <t>08/13 1627</t>
  </si>
  <si>
    <t>8/13 1617</t>
  </si>
  <si>
    <t>8/13 1627</t>
  </si>
  <si>
    <t>08/13 1744</t>
  </si>
  <si>
    <t>08/13 1856</t>
  </si>
  <si>
    <t>08/13 2237</t>
  </si>
  <si>
    <t>08/13 2304</t>
  </si>
  <si>
    <t>8/14 0310</t>
  </si>
  <si>
    <t>8/14 0331</t>
  </si>
  <si>
    <t>08/19 2350</t>
  </si>
  <si>
    <t>08/20 0030</t>
  </si>
  <si>
    <t>9/7 1252</t>
  </si>
  <si>
    <t>9/7 1301</t>
  </si>
  <si>
    <t>9/7 1403</t>
  </si>
  <si>
    <t>9/7 1407</t>
  </si>
  <si>
    <t>9/7 1453</t>
  </si>
  <si>
    <t>9/7 1507</t>
  </si>
  <si>
    <t>9/7 1504</t>
  </si>
  <si>
    <t>9/7 1505</t>
  </si>
  <si>
    <t>9/7 1508</t>
  </si>
  <si>
    <t>9/7 1512</t>
  </si>
  <si>
    <t>9/7 1540</t>
  </si>
  <si>
    <t>9/7 1551</t>
  </si>
  <si>
    <t>9/7 1609</t>
  </si>
  <si>
    <t>9/7 1620</t>
  </si>
  <si>
    <t>9/7 1927</t>
  </si>
  <si>
    <t>9/7 1942</t>
  </si>
  <si>
    <t>PHILLIPS</t>
  </si>
  <si>
    <t>MUC4</t>
  </si>
  <si>
    <t>DURKIN</t>
  </si>
  <si>
    <t>BEAR CRK AND HWY 21 CORRIDOR</t>
  </si>
  <si>
    <t>9N 7E 32</t>
  </si>
  <si>
    <t>7N 7E 11</t>
  </si>
  <si>
    <t>PIONEER SALVAGE PILES</t>
  </si>
  <si>
    <t>9N 3E 16</t>
  </si>
  <si>
    <t>BOD PROTECTION</t>
  </si>
  <si>
    <t>116 24 28</t>
  </si>
  <si>
    <t>115 57 26</t>
  </si>
  <si>
    <t>115 57 24</t>
  </si>
  <si>
    <t>43 14 28</t>
  </si>
  <si>
    <t>116 47 36</t>
  </si>
  <si>
    <t>116 46 19</t>
  </si>
  <si>
    <t>7N 7E 12</t>
  </si>
  <si>
    <t>7N 7E 13</t>
  </si>
  <si>
    <t>7N 7E 14</t>
  </si>
  <si>
    <t>7S 3W 3</t>
  </si>
  <si>
    <t>D4 SLASH &amp; DEBRIS PILES</t>
  </si>
  <si>
    <t>DULHANTY</t>
  </si>
  <si>
    <t>14N 5E 2,3,10,11,14,23</t>
  </si>
  <si>
    <t>BUTTE</t>
  </si>
  <si>
    <t>KIDD/BC31</t>
  </si>
  <si>
    <t>MU5S</t>
  </si>
  <si>
    <t>43 27 04</t>
  </si>
  <si>
    <t>YANKEY</t>
  </si>
  <si>
    <t>MU93</t>
  </si>
  <si>
    <t>SKEIN</t>
  </si>
  <si>
    <t>MORGAN</t>
  </si>
  <si>
    <t>44 29 11</t>
  </si>
  <si>
    <t>MVL0</t>
  </si>
  <si>
    <t xml:space="preserve">DEEP </t>
  </si>
  <si>
    <t>5N 1W 20</t>
  </si>
  <si>
    <t>115 57 42</t>
  </si>
  <si>
    <t>116 01 13</t>
  </si>
  <si>
    <t>43 04 39</t>
  </si>
  <si>
    <t>115 19 05</t>
  </si>
  <si>
    <t>42 53 43</t>
  </si>
  <si>
    <t>116 54 14</t>
  </si>
  <si>
    <t>116 36 50</t>
  </si>
  <si>
    <t>1N 1W 02</t>
  </si>
  <si>
    <t>116 25 59</t>
  </si>
  <si>
    <t>ID CITY FD</t>
  </si>
  <si>
    <t>43 45 38</t>
  </si>
  <si>
    <t>115 55 25</t>
  </si>
  <si>
    <t>E HUNT</t>
  </si>
  <si>
    <t>DISTRICT WIDE PILES</t>
  </si>
  <si>
    <t>10N 2E 20</t>
  </si>
  <si>
    <t>RANGE</t>
  </si>
  <si>
    <t>BERNER</t>
  </si>
  <si>
    <t>MVS7</t>
  </si>
  <si>
    <t>D1 ADMIN PILES</t>
  </si>
  <si>
    <t>MVW8</t>
  </si>
  <si>
    <t>BLACK</t>
  </si>
  <si>
    <t>7N 1W 22</t>
  </si>
  <si>
    <t>DUNCAN</t>
  </si>
  <si>
    <t>3N 9E 7</t>
  </si>
  <si>
    <t>BLOM/STEWART</t>
  </si>
  <si>
    <t>9N 7E 26</t>
  </si>
  <si>
    <t>ERNE</t>
  </si>
  <si>
    <t>44 04 18</t>
  </si>
  <si>
    <t>115 31 02</t>
  </si>
  <si>
    <t>44 09 44</t>
  </si>
  <si>
    <t>116 11 14</t>
  </si>
  <si>
    <t>10N 10E 30</t>
  </si>
  <si>
    <t>44 09 54</t>
  </si>
  <si>
    <t>115 18 22</t>
  </si>
  <si>
    <t>MV0J</t>
  </si>
  <si>
    <t>MV1P</t>
  </si>
  <si>
    <t>SILVER</t>
  </si>
  <si>
    <t>14N 3E 18</t>
  </si>
  <si>
    <t>THORN CREEK</t>
  </si>
  <si>
    <t>McCARTHY</t>
  </si>
  <si>
    <t>5N 4E 26,35,36</t>
  </si>
  <si>
    <t>PACKER JOHN</t>
  </si>
  <si>
    <t>10N 4E 19</t>
  </si>
  <si>
    <t>SPANFELLNER</t>
  </si>
  <si>
    <t>IDAHO CITY DISTRICT PILES</t>
  </si>
  <si>
    <t>7N 5E 4</t>
  </si>
  <si>
    <t>8N 5E 34,27</t>
  </si>
  <si>
    <t>BUCKSKIN PILES</t>
  </si>
  <si>
    <t>BOULDER</t>
  </si>
  <si>
    <t>6N 6E 22</t>
  </si>
  <si>
    <t>44 50 50</t>
  </si>
  <si>
    <t>115 44 35</t>
  </si>
  <si>
    <t>GUSTAFSON</t>
  </si>
  <si>
    <t>MW1W</t>
  </si>
  <si>
    <t>DIAZ</t>
  </si>
  <si>
    <t>NELLIES</t>
  </si>
  <si>
    <t>44 09 22</t>
  </si>
  <si>
    <t>10N 6E 35</t>
  </si>
  <si>
    <t>MW26</t>
  </si>
  <si>
    <t>116 02 59</t>
  </si>
  <si>
    <t>43 52 35</t>
  </si>
  <si>
    <t>115 21 42</t>
  </si>
  <si>
    <t>116 05 55</t>
  </si>
  <si>
    <t xml:space="preserve">FA 26 SWS </t>
  </si>
  <si>
    <t>MW7W</t>
  </si>
  <si>
    <t>MW81</t>
  </si>
  <si>
    <t>PLEASANT</t>
  </si>
  <si>
    <t>2N 1E 14</t>
  </si>
  <si>
    <t>43 30 17</t>
  </si>
  <si>
    <t>116 17 41</t>
  </si>
  <si>
    <t>10N 3E 20</t>
  </si>
  <si>
    <t>44 10 40</t>
  </si>
  <si>
    <t>116 08 10</t>
  </si>
  <si>
    <t>115 15 52</t>
  </si>
  <si>
    <t>115 22 30</t>
  </si>
  <si>
    <t>MXK4</t>
  </si>
  <si>
    <t xml:space="preserve">FLYING </t>
  </si>
  <si>
    <t>5S 7E 18</t>
  </si>
  <si>
    <t>42 59 38</t>
  </si>
  <si>
    <t>115 40 35</t>
  </si>
  <si>
    <t>MXL3</t>
  </si>
  <si>
    <t>EUREKA</t>
  </si>
  <si>
    <t>3S 7E 23</t>
  </si>
  <si>
    <t>43 09 11</t>
  </si>
  <si>
    <t xml:space="preserve">DITTO </t>
  </si>
  <si>
    <t>HAM</t>
  </si>
  <si>
    <t>MXY6</t>
  </si>
  <si>
    <t>OASIS FIRE</t>
  </si>
  <si>
    <t>MXZ4</t>
  </si>
  <si>
    <t>DUFURRENA</t>
  </si>
  <si>
    <t>42 56 36</t>
  </si>
  <si>
    <t>116 10 58</t>
  </si>
  <si>
    <t>44 06 37</t>
  </si>
  <si>
    <t>116 06 33</t>
  </si>
  <si>
    <t>13N 3E 04</t>
  </si>
  <si>
    <t>116 06 15</t>
  </si>
  <si>
    <t>44 04 08</t>
  </si>
  <si>
    <t>115 56 07</t>
  </si>
  <si>
    <t>1N 10E 09</t>
  </si>
  <si>
    <t>43 26 27</t>
  </si>
  <si>
    <t>115 16 11</t>
  </si>
  <si>
    <t>44 33 10</t>
  </si>
  <si>
    <t>116 08 34</t>
  </si>
  <si>
    <t>1S 5E 22</t>
  </si>
  <si>
    <t>43 19 43</t>
  </si>
  <si>
    <t>8N 5E 27</t>
  </si>
  <si>
    <t>PLEXI</t>
  </si>
  <si>
    <t>KIDD / BFD BAT 3</t>
  </si>
  <si>
    <t>MX5H</t>
  </si>
  <si>
    <t>9N 3E 22</t>
  </si>
  <si>
    <t>44 06 05</t>
  </si>
  <si>
    <t>116 04 07</t>
  </si>
  <si>
    <t>115 42 29</t>
  </si>
  <si>
    <t>43 45 26</t>
  </si>
  <si>
    <t>116 29 20</t>
  </si>
  <si>
    <t>43 55 26</t>
  </si>
  <si>
    <t>116 26 54</t>
  </si>
  <si>
    <t>115 50 29</t>
  </si>
  <si>
    <t>5S 8E 31</t>
  </si>
  <si>
    <t>115 32 37</t>
  </si>
  <si>
    <t>43 31 26</t>
  </si>
  <si>
    <t>116 05 18</t>
  </si>
  <si>
    <t>10N 4E 20</t>
  </si>
  <si>
    <t>RX FOUR RIVERS</t>
  </si>
  <si>
    <t>JIMENEZ</t>
  </si>
  <si>
    <t>17N 1W 11</t>
  </si>
  <si>
    <t>FORT HALL HILL</t>
  </si>
  <si>
    <t xml:space="preserve">DURFERRNA </t>
  </si>
  <si>
    <t>8N 3E 21</t>
  </si>
  <si>
    <t xml:space="preserve">MM73 </t>
  </si>
  <si>
    <t>MYZ0</t>
  </si>
  <si>
    <t>ROBIE</t>
  </si>
  <si>
    <t>4N 4E 19</t>
  </si>
  <si>
    <t>116 01 56</t>
  </si>
  <si>
    <t>11N 3E 25</t>
  </si>
  <si>
    <t xml:space="preserve">ROUND </t>
  </si>
  <si>
    <t xml:space="preserve">RX TROUT SPRINGS </t>
  </si>
  <si>
    <t xml:space="preserve">RX PACKER JOHN </t>
  </si>
  <si>
    <t>RX D1 ADMIN PILES</t>
  </si>
  <si>
    <t>FORT HALL</t>
  </si>
  <si>
    <t>DEER WOLF</t>
  </si>
  <si>
    <t>URBANEK</t>
  </si>
  <si>
    <t xml:space="preserve">D6 DISTRICT PILES </t>
  </si>
  <si>
    <t xml:space="preserve">YANKEY </t>
  </si>
  <si>
    <t>MINNEHA</t>
  </si>
  <si>
    <t>PINNY</t>
  </si>
  <si>
    <t>DRYBUCK</t>
  </si>
  <si>
    <t>DRY SHIRTS</t>
  </si>
  <si>
    <t>115 44 37</t>
  </si>
  <si>
    <t>115 35 27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</si>
</sst>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/d/yy;@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222222"/>
      <name val="Arial"/>
      <family val="2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FDEB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1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1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/>
    </xf>
    <xf numFmtId="1" fontId="2" fillId="11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1" fontId="2" fillId="11" borderId="0" xfId="0" applyNumberFormat="1" applyFont="1" applyFill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164" fontId="2" fillId="11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11" borderId="5" xfId="0" applyNumberFormat="1" applyFont="1" applyFill="1" applyBorder="1" applyAlignment="1">
      <alignment horizontal="center" vertical="center"/>
    </xf>
    <xf numFmtId="1" fontId="2" fillId="11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11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165" fontId="2" fillId="11" borderId="6" xfId="0" applyNumberFormat="1" applyFont="1" applyFill="1" applyBorder="1" applyAlignment="1">
      <alignment horizontal="center" vertical="center" wrapText="1"/>
    </xf>
    <xf numFmtId="0" fontId="19" fillId="11" borderId="0" xfId="0" applyFont="1" applyFill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left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/>
    </xf>
    <xf numFmtId="1" fontId="9" fillId="11" borderId="13" xfId="0" applyNumberFormat="1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vertical="center"/>
    </xf>
    <xf numFmtId="0" fontId="11" fillId="11" borderId="19" xfId="0" applyFont="1" applyFill="1" applyBorder="1" applyAlignment="1">
      <alignment vertical="center"/>
    </xf>
    <xf numFmtId="0" fontId="11" fillId="11" borderId="18" xfId="0" applyFont="1" applyFill="1" applyBorder="1" applyAlignment="1">
      <alignment vertical="center"/>
    </xf>
    <xf numFmtId="0" fontId="7" fillId="11" borderId="17" xfId="0" applyFont="1" applyFill="1" applyBorder="1" applyAlignment="1">
      <alignment vertical="center"/>
    </xf>
    <xf numFmtId="0" fontId="7" fillId="11" borderId="1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165" fontId="2" fillId="11" borderId="6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0" fillId="0" borderId="0" xfId="0" applyAlignment="1"/>
    <xf numFmtId="0" fontId="2" fillId="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25" xfId="0" quotePrefix="1" applyFill="1" applyBorder="1" applyAlignment="1">
      <alignment horizontal="center"/>
    </xf>
    <xf numFmtId="0" fontId="0" fillId="7" borderId="28" xfId="0" quotePrefix="1" applyFill="1" applyBorder="1" applyAlignment="1">
      <alignment horizontal="center"/>
    </xf>
    <xf numFmtId="0" fontId="0" fillId="11" borderId="31" xfId="0" quotePrefix="1" applyFill="1" applyBorder="1" applyAlignment="1">
      <alignment horizontal="center" wrapText="1"/>
    </xf>
    <xf numFmtId="0" fontId="0" fillId="7" borderId="28" xfId="0" applyFill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1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0" xfId="0" applyBorder="1"/>
    <xf numFmtId="0" fontId="0" fillId="11" borderId="12" xfId="0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11" borderId="33" xfId="0" applyFill="1" applyBorder="1" applyAlignment="1"/>
    <xf numFmtId="16" fontId="2" fillId="0" borderId="0" xfId="0" applyNumberFormat="1" applyFont="1" applyAlignment="1">
      <alignment horizontal="center" vertical="center" wrapText="1"/>
    </xf>
    <xf numFmtId="16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left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left" vertical="center"/>
    </xf>
    <xf numFmtId="0" fontId="2" fillId="12" borderId="34" xfId="0" applyFont="1" applyFill="1" applyBorder="1" applyAlignment="1">
      <alignment horizontal="left"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11" borderId="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165" fontId="8" fillId="11" borderId="6" xfId="0" applyNumberFormat="1" applyFont="1" applyFill="1" applyBorder="1" applyAlignment="1">
      <alignment horizontal="center" vertical="center" wrapText="1"/>
    </xf>
    <xf numFmtId="16" fontId="2" fillId="11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2" fillId="11" borderId="0" xfId="0" applyFont="1" applyFill="1" applyAlignment="1" applyProtection="1">
      <alignment horizontal="center" vertical="center"/>
    </xf>
    <xf numFmtId="0" fontId="2" fillId="11" borderId="1" xfId="0" applyFont="1" applyFill="1" applyBorder="1" applyAlignment="1" applyProtection="1">
      <alignment horizontal="center" vertical="center"/>
    </xf>
    <xf numFmtId="165" fontId="2" fillId="11" borderId="6" xfId="0" applyNumberFormat="1" applyFont="1" applyFill="1" applyBorder="1" applyAlignment="1" applyProtection="1">
      <alignment horizontal="center" vertical="center" wrapText="1"/>
    </xf>
    <xf numFmtId="165" fontId="8" fillId="11" borderId="6" xfId="0" applyNumberFormat="1" applyFont="1" applyFill="1" applyBorder="1" applyAlignment="1" applyProtection="1">
      <alignment horizontal="center" vertical="center" wrapText="1"/>
    </xf>
    <xf numFmtId="164" fontId="2" fillId="11" borderId="1" xfId="0" applyNumberFormat="1" applyFont="1" applyFill="1" applyBorder="1" applyAlignment="1" applyProtection="1">
      <alignment horizontal="center" vertical="center"/>
    </xf>
    <xf numFmtId="0" fontId="2" fillId="11" borderId="6" xfId="0" applyFont="1" applyFill="1" applyBorder="1" applyAlignment="1" applyProtection="1">
      <alignment horizontal="center" vertical="center"/>
    </xf>
    <xf numFmtId="0" fontId="2" fillId="11" borderId="5" xfId="0" applyFont="1" applyFill="1" applyBorder="1" applyAlignment="1" applyProtection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0" borderId="37" xfId="0" applyBorder="1"/>
    <xf numFmtId="0" fontId="0" fillId="0" borderId="1" xfId="0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15" borderId="1" xfId="0" applyFill="1" applyBorder="1" applyAlignment="1">
      <alignment horizontal="center" wrapText="1"/>
    </xf>
    <xf numFmtId="0" fontId="0" fillId="16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24" fillId="15" borderId="1" xfId="0" applyFont="1" applyFill="1" applyBorder="1" applyAlignment="1">
      <alignment horizontal="center"/>
    </xf>
    <xf numFmtId="0" fontId="24" fillId="16" borderId="1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4" fillId="0" borderId="37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Border="1" applyAlignment="1">
      <alignment horizontal="center"/>
    </xf>
    <xf numFmtId="0" fontId="23" fillId="0" borderId="36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6" xfId="0" applyFont="1" applyBorder="1" applyAlignment="1">
      <alignment horizontal="left"/>
    </xf>
    <xf numFmtId="0" fontId="2" fillId="16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" fontId="8" fillId="18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1" fontId="2" fillId="18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18" borderId="1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 textRotation="90"/>
    </xf>
    <xf numFmtId="0" fontId="0" fillId="11" borderId="13" xfId="0" applyFill="1" applyBorder="1" applyAlignment="1">
      <alignment horizontal="center" vertical="center" textRotation="90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/>
    </xf>
    <xf numFmtId="1" fontId="2" fillId="11" borderId="1" xfId="0" applyNumberFormat="1" applyFont="1" applyFill="1" applyBorder="1" applyAlignment="1">
      <alignment horizontal="center" vertical="center" wrapText="1"/>
    </xf>
    <xf numFmtId="1" fontId="0" fillId="11" borderId="1" xfId="0" applyNumberForma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 wrapText="1"/>
    </xf>
    <xf numFmtId="49" fontId="5" fillId="11" borderId="5" xfId="0" applyNumberFormat="1" applyFont="1" applyFill="1" applyBorder="1" applyAlignment="1">
      <alignment horizontal="center" vertical="center" textRotation="45" wrapText="1"/>
    </xf>
    <xf numFmtId="49" fontId="5" fillId="11" borderId="6" xfId="0" applyNumberFormat="1" applyFont="1" applyFill="1" applyBorder="1" applyAlignment="1">
      <alignment horizontal="center" vertical="center" textRotation="45" wrapText="1"/>
    </xf>
    <xf numFmtId="0" fontId="5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 applyProtection="1">
      <alignment horizontal="center" vertical="center" wrapText="1"/>
    </xf>
    <xf numFmtId="0" fontId="0" fillId="11" borderId="6" xfId="0" applyFill="1" applyBorder="1" applyAlignment="1" applyProtection="1">
      <alignment horizontal="center" vertical="center"/>
    </xf>
    <xf numFmtId="1" fontId="2" fillId="11" borderId="5" xfId="0" applyNumberFormat="1" applyFont="1" applyFill="1" applyBorder="1" applyAlignment="1">
      <alignment horizontal="center" vertical="center" wrapText="1"/>
    </xf>
    <xf numFmtId="1" fontId="2" fillId="11" borderId="6" xfId="0" applyNumberFormat="1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right" vertical="center"/>
    </xf>
    <xf numFmtId="0" fontId="4" fillId="7" borderId="7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17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7" fillId="7" borderId="6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1" borderId="3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17" fillId="7" borderId="24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11" borderId="8" xfId="0" applyFont="1" applyFill="1" applyBorder="1" applyAlignment="1">
      <alignment horizontal="center" wrapText="1"/>
    </xf>
    <xf numFmtId="0" fontId="17" fillId="11" borderId="12" xfId="0" applyFont="1" applyFill="1" applyBorder="1" applyAlignment="1">
      <alignment horizontal="center" wrapText="1"/>
    </xf>
    <xf numFmtId="0" fontId="0" fillId="7" borderId="7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0" fontId="0" fillId="7" borderId="1" xfId="0" applyNumberFormat="1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26" xfId="0" quotePrefix="1" applyFill="1" applyBorder="1" applyAlignment="1">
      <alignment horizontal="center"/>
    </xf>
    <xf numFmtId="0" fontId="17" fillId="7" borderId="8" xfId="0" applyFont="1" applyFill="1" applyBorder="1" applyAlignment="1">
      <alignment horizontal="center"/>
    </xf>
    <xf numFmtId="0" fontId="17" fillId="7" borderId="12" xfId="0" applyFont="1" applyFill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9" borderId="0" xfId="0" applyFill="1" applyAlignment="1">
      <alignment horizontal="left"/>
    </xf>
    <xf numFmtId="0" fontId="0" fillId="7" borderId="26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11" borderId="1" xfId="0" quotePrefix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8" borderId="0" xfId="0" applyFill="1" applyAlignment="1">
      <alignment horizontal="left"/>
    </xf>
    <xf numFmtId="0" fontId="17" fillId="12" borderId="6" xfId="0" applyFont="1" applyFill="1" applyBorder="1" applyAlignment="1">
      <alignment horizontal="center"/>
    </xf>
    <xf numFmtId="0" fontId="17" fillId="12" borderId="20" xfId="0" applyFont="1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10" fontId="0" fillId="12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9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textRotation="75"/>
    </xf>
    <xf numFmtId="165" fontId="0" fillId="0" borderId="1" xfId="0" applyNumberFormat="1" applyBorder="1" applyAlignment="1">
      <alignment horizontal="center" textRotation="75"/>
    </xf>
    <xf numFmtId="0" fontId="0" fillId="0" borderId="1" xfId="0" applyBorder="1" applyAlignment="1">
      <alignment horizontal="center" textRotation="75" wrapText="1"/>
    </xf>
  </cellXfs>
  <cellStyles count="1">
    <cellStyle name="Normal" xfId="0" builtinId="0"/>
  </cellStyles>
  <dxfs count="20">
    <dxf>
      <fill>
        <patternFill>
          <bgColor rgb="FFFFFFCC"/>
        </patternFill>
      </fill>
    </dxf>
    <dxf>
      <fill>
        <patternFill>
          <bgColor rgb="FFEBF6F9"/>
        </patternFill>
      </fill>
    </dxf>
    <dxf>
      <fill>
        <patternFill patternType="solid">
          <bgColor rgb="FFCFDEB0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rgb="FFEBF6F9"/>
        </patternFill>
      </fill>
    </dxf>
    <dxf>
      <fill>
        <patternFill patternType="solid">
          <bgColor rgb="FFCFDEB0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rgb="FFEBF6F9"/>
        </patternFill>
      </fill>
    </dxf>
    <dxf>
      <fill>
        <patternFill patternType="solid">
          <bgColor rgb="FFCFDEB0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rgb="FFEBF6F9"/>
        </patternFill>
      </fill>
    </dxf>
    <dxf>
      <fill>
        <patternFill patternType="solid">
          <bgColor rgb="FFCFDEB0"/>
        </patternFill>
      </fill>
    </dxf>
    <dxf>
      <fill>
        <patternFill>
          <bgColor theme="9" tint="0.39994506668294322"/>
        </patternFill>
      </fill>
    </dxf>
    <dxf>
      <fill>
        <patternFill>
          <bgColor rgb="FFFFFFCC"/>
        </patternFill>
      </fill>
    </dxf>
    <dxf>
      <fill>
        <patternFill>
          <bgColor rgb="FFEBF6F9"/>
        </patternFill>
      </fill>
    </dxf>
    <dxf>
      <fill>
        <patternFill patternType="solid">
          <bgColor rgb="FFCFDEB0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FFFF99"/>
      <color rgb="FFFFFFCC"/>
      <color rgb="FFCFDEB0"/>
      <color rgb="FFEBF6F9"/>
      <color rgb="FFB7CBE3"/>
      <color rgb="FFDBE5F1"/>
      <color rgb="FFD9E5BD"/>
      <color rgb="FFFFFF66"/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ACTIVITY</a:t>
            </a:r>
          </a:p>
        </c:rich>
      </c:tx>
      <c:layout>
        <c:manualLayout>
          <c:xMode val="edge"/>
          <c:yMode val="edge"/>
          <c:x val="0.35743419492122935"/>
          <c:y val="1.48679163744092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1"/>
          <c:order val="1"/>
          <c:tx>
            <c:strRef>
              <c:f>DISPATCH!$B$7</c:f>
              <c:strCache>
                <c:ptCount val="1"/>
                <c:pt idx="0">
                  <c:v>BOF</c:v>
                </c:pt>
              </c:strCache>
            </c:strRef>
          </c:tx>
          <c:spPr>
            <a:solidFill>
              <a:srgbClr val="CFDEB0"/>
            </a:solidFill>
            <a:ln>
              <a:noFill/>
            </a:ln>
            <a:effectLst/>
          </c:spPr>
          <c:invertIfNegative val="0"/>
          <c:cat>
            <c:strRef>
              <c:f>DISPATCH!$C$5:$F$5</c:f>
              <c:strCache>
                <c:ptCount val="4"/>
                <c:pt idx="0">
                  <c:v>TOTAL FIRES</c:v>
                </c:pt>
                <c:pt idx="1">
                  <c:v>TOTAL ACRES</c:v>
                </c:pt>
                <c:pt idx="2">
                  <c:v>RFD ASSISTS</c:v>
                </c:pt>
                <c:pt idx="3">
                  <c:v>FED/STATE ASSISTS</c:v>
                </c:pt>
              </c:strCache>
            </c:strRef>
          </c:cat>
          <c:val>
            <c:numRef>
              <c:f>DISPATCH!$C$7:$F$7</c:f>
              <c:numCache>
                <c:formatCode>General</c:formatCode>
                <c:ptCount val="4"/>
                <c:pt idx="0">
                  <c:v>84</c:v>
                </c:pt>
                <c:pt idx="1">
                  <c:v>622.72000000000105</c:v>
                </c:pt>
                <c:pt idx="2">
                  <c:v>1</c:v>
                </c:pt>
                <c:pt idx="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E-402E-BF1B-14FA436D16C1}"/>
            </c:ext>
          </c:extLst>
        </c:ser>
        <c:ser>
          <c:idx val="2"/>
          <c:order val="2"/>
          <c:tx>
            <c:strRef>
              <c:f>DISPATCH!$B$8</c:f>
              <c:strCache>
                <c:ptCount val="1"/>
                <c:pt idx="0">
                  <c:v>BOD</c:v>
                </c:pt>
              </c:strCache>
            </c:strRef>
          </c:tx>
          <c:spPr>
            <a:solidFill>
              <a:srgbClr val="FFFF99"/>
            </a:solidFill>
            <a:ln>
              <a:noFill/>
            </a:ln>
            <a:effectLst/>
          </c:spPr>
          <c:invertIfNegative val="0"/>
          <c:cat>
            <c:strRef>
              <c:f>DISPATCH!$C$5:$F$5</c:f>
              <c:strCache>
                <c:ptCount val="4"/>
                <c:pt idx="0">
                  <c:v>TOTAL FIRES</c:v>
                </c:pt>
                <c:pt idx="1">
                  <c:v>TOTAL ACRES</c:v>
                </c:pt>
                <c:pt idx="2">
                  <c:v>RFD ASSISTS</c:v>
                </c:pt>
                <c:pt idx="3">
                  <c:v>FED/STATE ASSISTS</c:v>
                </c:pt>
              </c:strCache>
            </c:strRef>
          </c:cat>
          <c:val>
            <c:numRef>
              <c:f>DISPATCH!$C$8:$F$8</c:f>
              <c:numCache>
                <c:formatCode>General</c:formatCode>
                <c:ptCount val="4"/>
                <c:pt idx="0">
                  <c:v>89</c:v>
                </c:pt>
                <c:pt idx="1">
                  <c:v>8108.7900000000045</c:v>
                </c:pt>
                <c:pt idx="2">
                  <c:v>8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3E-402E-BF1B-14FA436D16C1}"/>
            </c:ext>
          </c:extLst>
        </c:ser>
        <c:ser>
          <c:idx val="3"/>
          <c:order val="3"/>
          <c:tx>
            <c:strRef>
              <c:f>DISPATCH!$B$9</c:f>
              <c:strCache>
                <c:ptCount val="1"/>
                <c:pt idx="0">
                  <c:v>SWS</c:v>
                </c:pt>
              </c:strCache>
            </c:strRef>
          </c:tx>
          <c:spPr>
            <a:solidFill>
              <a:srgbClr val="EBF6F9"/>
            </a:solidFill>
            <a:ln>
              <a:noFill/>
            </a:ln>
            <a:effectLst/>
          </c:spPr>
          <c:invertIfNegative val="0"/>
          <c:cat>
            <c:strRef>
              <c:f>DISPATCH!$C$5:$F$5</c:f>
              <c:strCache>
                <c:ptCount val="4"/>
                <c:pt idx="0">
                  <c:v>TOTAL FIRES</c:v>
                </c:pt>
                <c:pt idx="1">
                  <c:v>TOTAL ACRES</c:v>
                </c:pt>
                <c:pt idx="2">
                  <c:v>RFD ASSISTS</c:v>
                </c:pt>
                <c:pt idx="3">
                  <c:v>FED/STATE ASSISTS</c:v>
                </c:pt>
              </c:strCache>
            </c:strRef>
          </c:cat>
          <c:val>
            <c:numRef>
              <c:f>DISPATCH!$C$9:$F$9</c:f>
              <c:numCache>
                <c:formatCode>General</c:formatCode>
                <c:ptCount val="4"/>
                <c:pt idx="0">
                  <c:v>22</c:v>
                </c:pt>
                <c:pt idx="1">
                  <c:v>5.9499999999999984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3E-402E-BF1B-14FA436D1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1083200"/>
        <c:axId val="5110884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DISPATCH!$B$6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rgbClr val="C0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DISPATCH!$C$5:$F$5</c15:sqref>
                        </c15:formulaRef>
                      </c:ext>
                    </c:extLst>
                    <c:strCache>
                      <c:ptCount val="4"/>
                      <c:pt idx="0">
                        <c:v>TOTAL FIRES</c:v>
                      </c:pt>
                      <c:pt idx="1">
                        <c:v>TOTAL ACRES</c:v>
                      </c:pt>
                      <c:pt idx="2">
                        <c:v>RFD ASSISTS</c:v>
                      </c:pt>
                      <c:pt idx="3">
                        <c:v>FED/STATE ASSISTS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DISPATCH!$C$6:$F$6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195</c:v>
                      </c:pt>
                      <c:pt idx="1">
                        <c:v>8737.4600000000064</c:v>
                      </c:pt>
                      <c:pt idx="2">
                        <c:v>9</c:v>
                      </c:pt>
                      <c:pt idx="3">
                        <c:v>46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73E-402E-BF1B-14FA436D16C1}"/>
                  </c:ext>
                </c:extLst>
              </c15:ser>
            </c15:filteredBarSeries>
          </c:ext>
        </c:extLst>
      </c:barChart>
      <c:catAx>
        <c:axId val="5110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88448"/>
        <c:crosses val="autoZero"/>
        <c:auto val="1"/>
        <c:lblAlgn val="ctr"/>
        <c:lblOffset val="100"/>
        <c:noMultiLvlLbl val="0"/>
      </c:catAx>
      <c:valAx>
        <c:axId val="51108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8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FIRES BY MONTH</a:t>
            </a:r>
          </a:p>
        </c:rich>
      </c:tx>
      <c:layout>
        <c:manualLayout>
          <c:xMode val="edge"/>
          <c:yMode val="edge"/>
          <c:x val="0.4094930008748907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STATS!$AX$3</c:f>
              <c:strCache>
                <c:ptCount val="1"/>
                <c:pt idx="0">
                  <c:v>TOTAL # FIRES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STATS!$AW$4:$AW$15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STATS!$AX$4:$AX$15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16</c:v>
                </c:pt>
                <c:pt idx="6">
                  <c:v>59</c:v>
                </c:pt>
                <c:pt idx="7">
                  <c:v>65</c:v>
                </c:pt>
                <c:pt idx="8">
                  <c:v>34</c:v>
                </c:pt>
                <c:pt idx="9">
                  <c:v>11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0-4225-BD34-C69935EA391E}"/>
            </c:ext>
          </c:extLst>
        </c:ser>
        <c:ser>
          <c:idx val="1"/>
          <c:order val="1"/>
          <c:tx>
            <c:strRef>
              <c:f>STATS!$AY$3</c:f>
              <c:strCache>
                <c:ptCount val="1"/>
                <c:pt idx="0">
                  <c:v>HUMAN FIRES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STATS!$AW$4:$AW$15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STATS!$AY$4:$AY$15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11</c:v>
                </c:pt>
                <c:pt idx="6">
                  <c:v>22</c:v>
                </c:pt>
                <c:pt idx="7">
                  <c:v>32</c:v>
                </c:pt>
                <c:pt idx="8">
                  <c:v>15</c:v>
                </c:pt>
                <c:pt idx="9">
                  <c:v>10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0-4225-BD34-C69935EA391E}"/>
            </c:ext>
          </c:extLst>
        </c:ser>
        <c:ser>
          <c:idx val="2"/>
          <c:order val="2"/>
          <c:tx>
            <c:strRef>
              <c:f>STATS!$AZ$3</c:f>
              <c:strCache>
                <c:ptCount val="1"/>
                <c:pt idx="0">
                  <c:v>LIGHTNING FIRES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STATS!$AW$4:$AW$15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 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STATS!$AZ$4:$AZ$15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37</c:v>
                </c:pt>
                <c:pt idx="7">
                  <c:v>33</c:v>
                </c:pt>
                <c:pt idx="8">
                  <c:v>19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30-4225-BD34-C69935EA3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799048"/>
        <c:axId val="539796096"/>
      </c:barChart>
      <c:catAx>
        <c:axId val="53979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796096"/>
        <c:crosses val="autoZero"/>
        <c:auto val="1"/>
        <c:lblAlgn val="ctr"/>
        <c:lblOffset val="100"/>
        <c:noMultiLvlLbl val="0"/>
      </c:catAx>
      <c:valAx>
        <c:axId val="53979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79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607217</xdr:colOff>
      <xdr:row>3</xdr:row>
      <xdr:rowOff>21431</xdr:rowOff>
    </xdr:from>
    <xdr:to>
      <xdr:col>14</xdr:col>
      <xdr:colOff>619124</xdr:colOff>
      <xdr:row>27</xdr:row>
      <xdr:rowOff>83343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121707</xdr:colOff>
      <xdr:row>2</xdr:row>
      <xdr:rowOff>264590</xdr:rowOff>
    </xdr:from>
    <xdr:to>
      <xdr:col>60</xdr:col>
      <xdr:colOff>566207</xdr:colOff>
      <xdr:row>16</xdr:row>
      <xdr:rowOff>160874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4"/>
  <sheetViews>
    <sheetView tabSelected="1" zoomScale="80" zoomScaleNormal="80" workbookViewId="0">
      <selection activeCell="F15" sqref="F15"/>
    </sheetView>
  </sheetViews>
  <sheetFormatPr defaultColWidth="15.7109375" defaultRowHeight="18" customHeight="1" x14ac:dyDescent="0.25"/>
  <cols>
    <col min="1" max="1" width="3.42578125" style="24" customWidth="1"/>
    <col min="2" max="2" width="13.140625" style="1" customWidth="1"/>
    <col min="3" max="3" width="10.140625" style="24" customWidth="1"/>
    <col min="4" max="4" width="11.28515625" style="24" customWidth="1"/>
    <col min="5" max="5" width="10.5703125" style="24" customWidth="1"/>
    <col min="6" max="6" width="12.7109375" style="24" customWidth="1"/>
    <col min="7" max="7" width="9.140625" style="24" customWidth="1"/>
    <col min="8" max="8" width="10.85546875" style="24" customWidth="1"/>
    <col min="9" max="9" width="12.28515625" style="24" customWidth="1"/>
    <col min="10" max="10" width="11" style="24" customWidth="1"/>
    <col min="11" max="11" width="9.7109375" style="24" customWidth="1"/>
    <col min="12" max="12" width="9.42578125" style="24" customWidth="1"/>
    <col min="13" max="13" width="9" style="24" customWidth="1"/>
    <col min="14" max="16384" width="15.7109375" style="24"/>
  </cols>
  <sheetData>
    <row r="1" spans="1:13" ht="18" customHeight="1" x14ac:dyDescent="0.25">
      <c r="B1" s="279" t="s">
        <v>47</v>
      </c>
      <c r="C1" s="280"/>
      <c r="D1" s="280"/>
      <c r="E1" s="280"/>
    </row>
    <row r="2" spans="1:13" ht="18" customHeight="1" x14ac:dyDescent="0.25">
      <c r="B2" s="279" t="s">
        <v>173</v>
      </c>
      <c r="C2" s="280"/>
      <c r="D2" s="280"/>
      <c r="E2" s="280"/>
    </row>
    <row r="3" spans="1:13" ht="3.75" customHeight="1" x14ac:dyDescent="0.25">
      <c r="C3" s="25"/>
    </row>
    <row r="4" spans="1:13" s="26" customFormat="1" ht="18" customHeight="1" x14ac:dyDescent="0.25">
      <c r="B4" s="281" t="s">
        <v>50</v>
      </c>
      <c r="C4" s="282"/>
      <c r="D4" s="282"/>
      <c r="E4" s="282"/>
      <c r="F4" s="282"/>
    </row>
    <row r="5" spans="1:13" s="34" customFormat="1" ht="31.5" customHeight="1" x14ac:dyDescent="0.25">
      <c r="B5" s="33" t="s">
        <v>29</v>
      </c>
      <c r="C5" s="33" t="s">
        <v>48</v>
      </c>
      <c r="D5" s="33" t="s">
        <v>3</v>
      </c>
      <c r="E5" s="33" t="s">
        <v>49</v>
      </c>
      <c r="F5" s="33" t="s">
        <v>51</v>
      </c>
    </row>
    <row r="6" spans="1:13" s="26" customFormat="1" ht="18" customHeight="1" x14ac:dyDescent="0.25">
      <c r="B6" s="27" t="s">
        <v>4</v>
      </c>
      <c r="C6" s="32">
        <f>SUM(C7:C9)</f>
        <v>195</v>
      </c>
      <c r="D6" s="32">
        <f>SUM(D7:D9)</f>
        <v>8737.4600000000064</v>
      </c>
      <c r="E6" s="32">
        <f>SUM(E7:E9)</f>
        <v>9</v>
      </c>
      <c r="F6" s="32">
        <f>SUM(F7:F9)</f>
        <v>46</v>
      </c>
    </row>
    <row r="7" spans="1:13" ht="18" customHeight="1" x14ac:dyDescent="0.25">
      <c r="B7" s="28" t="s">
        <v>28</v>
      </c>
      <c r="C7" s="29">
        <f>COUNTIFS(STATS!C:C,"BOF")</f>
        <v>84</v>
      </c>
      <c r="D7" s="29">
        <f>SUMIFS(STATS!Q:Q,STATS!C:C,"BOF")</f>
        <v>622.72000000000105</v>
      </c>
      <c r="E7" s="29">
        <f>'SUM- USFS '!J34</f>
        <v>1</v>
      </c>
      <c r="F7" s="29">
        <f>'SUM- USFS '!J33</f>
        <v>32</v>
      </c>
    </row>
    <row r="8" spans="1:13" ht="18" customHeight="1" x14ac:dyDescent="0.25">
      <c r="B8" s="43" t="s">
        <v>27</v>
      </c>
      <c r="C8" s="44">
        <f>COUNTIFS(STATS!C:C,"BOD")</f>
        <v>89</v>
      </c>
      <c r="D8" s="44">
        <f>SUMIFS(STATS!Q:Q,STATS!C:C,"BOD")</f>
        <v>8108.7900000000045</v>
      </c>
      <c r="E8" s="44">
        <f>'SUM- BLM'!J34</f>
        <v>8</v>
      </c>
      <c r="F8" s="44">
        <f>'SUM- BLM'!J33</f>
        <v>10</v>
      </c>
    </row>
    <row r="9" spans="1:13" ht="18" customHeight="1" x14ac:dyDescent="0.25">
      <c r="B9" s="30" t="s">
        <v>30</v>
      </c>
      <c r="C9" s="31">
        <f>COUNTIFS(STATS!C:C,"SWS")</f>
        <v>22</v>
      </c>
      <c r="D9" s="31">
        <f>SUMIFS(STATS!Q:Q,STATS!C:C,"SWS")</f>
        <v>5.9499999999999984</v>
      </c>
      <c r="E9" s="31">
        <f>'SUM- IDL'!J34</f>
        <v>0</v>
      </c>
      <c r="F9" s="31">
        <f>'SUM- IDL'!J33</f>
        <v>4</v>
      </c>
    </row>
    <row r="10" spans="1:13" ht="18" customHeight="1" x14ac:dyDescent="0.25">
      <c r="B10" s="45"/>
      <c r="C10" s="46"/>
      <c r="D10" s="46"/>
      <c r="E10" s="46"/>
      <c r="F10" s="46"/>
    </row>
    <row r="11" spans="1:13" ht="18" customHeight="1" x14ac:dyDescent="0.25">
      <c r="A11" s="117"/>
      <c r="B11" s="118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18" customHeight="1" x14ac:dyDescent="0.25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</row>
    <row r="13" spans="1:13" s="26" customFormat="1" ht="30" customHeight="1" x14ac:dyDescent="0.25">
      <c r="A13" s="126"/>
      <c r="B13" s="127"/>
      <c r="C13" s="119"/>
      <c r="D13" s="119"/>
      <c r="E13" s="119"/>
      <c r="F13" s="119"/>
      <c r="G13" s="119"/>
      <c r="H13" s="119"/>
      <c r="I13" s="119"/>
      <c r="J13" s="119"/>
      <c r="K13" s="119"/>
      <c r="L13" s="120"/>
      <c r="M13" s="119"/>
    </row>
    <row r="14" spans="1:13" s="26" customFormat="1" ht="30" customHeight="1" x14ac:dyDescent="0.2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ht="18" customHeight="1" x14ac:dyDescent="0.25">
      <c r="A15" s="277"/>
      <c r="B15" s="121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18" customHeight="1" x14ac:dyDescent="0.25">
      <c r="A16" s="277"/>
      <c r="B16" s="121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18" customHeight="1" x14ac:dyDescent="0.25">
      <c r="A17" s="277"/>
      <c r="B17" s="121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18" customHeight="1" x14ac:dyDescent="0.25">
      <c r="A18" s="277"/>
      <c r="B18" s="121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18" customHeight="1" x14ac:dyDescent="0.25">
      <c r="A19" s="277"/>
      <c r="B19" s="121"/>
      <c r="C19" s="122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ht="18" customHeight="1" x14ac:dyDescent="0.25">
      <c r="A20" s="277"/>
      <c r="B20" s="121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ht="18" customHeight="1" x14ac:dyDescent="0.25">
      <c r="A21" s="277"/>
      <c r="B21" s="121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18" customHeight="1" x14ac:dyDescent="0.25">
      <c r="A22" s="277"/>
      <c r="B22" s="121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ht="18" customHeight="1" x14ac:dyDescent="0.25">
      <c r="A23" s="278"/>
      <c r="B23" s="121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ht="18" customHeight="1" x14ac:dyDescent="0.25">
      <c r="A24" s="113"/>
      <c r="B24" s="11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6"/>
    </row>
  </sheetData>
  <mergeCells count="5">
    <mergeCell ref="A19:A23"/>
    <mergeCell ref="B1:E1"/>
    <mergeCell ref="B2:E2"/>
    <mergeCell ref="A15:A18"/>
    <mergeCell ref="B4:F4"/>
  </mergeCells>
  <pageMargins left="0.25" right="0.25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9"/>
  <sheetViews>
    <sheetView workbookViewId="0">
      <pane ySplit="7" topLeftCell="A188" activePane="bottomLeft" state="frozen"/>
      <selection pane="bottomLeft" activeCell="C197" sqref="C197"/>
    </sheetView>
  </sheetViews>
  <sheetFormatPr defaultRowHeight="15" x14ac:dyDescent="0.25"/>
  <cols>
    <col min="1" max="1" width="9.140625" style="81"/>
    <col min="2" max="2" width="16.42578125" style="81" customWidth="1"/>
    <col min="3" max="3" width="9.140625" style="81"/>
    <col min="4" max="4" width="10.42578125" style="81" customWidth="1"/>
    <col min="5" max="5" width="9.140625" style="81"/>
    <col min="6" max="6" width="10.42578125" style="81" customWidth="1"/>
    <col min="7" max="7" width="4.140625" customWidth="1"/>
    <col min="8" max="8" width="11" style="81" customWidth="1"/>
    <col min="9" max="9" width="11.85546875" style="81" customWidth="1"/>
    <col min="10" max="10" width="7.28515625" customWidth="1"/>
    <col min="11" max="11" width="12.28515625" style="81" customWidth="1"/>
    <col min="12" max="12" width="11.85546875" style="81" customWidth="1"/>
  </cols>
  <sheetData>
    <row r="1" spans="1:12" ht="15.75" thickBot="1" x14ac:dyDescent="0.3"/>
    <row r="2" spans="1:12" ht="30.75" customHeight="1" thickBot="1" x14ac:dyDescent="0.4">
      <c r="F2" s="246" t="s">
        <v>979</v>
      </c>
      <c r="G2" s="230"/>
      <c r="H2" s="247"/>
      <c r="I2" s="247"/>
      <c r="J2" s="230"/>
      <c r="K2" s="245"/>
    </row>
    <row r="3" spans="1:12" ht="15.75" thickBot="1" x14ac:dyDescent="0.3"/>
    <row r="4" spans="1:12" ht="36.75" customHeight="1" thickBot="1" x14ac:dyDescent="0.4">
      <c r="B4" s="252"/>
      <c r="C4" s="248"/>
      <c r="D4" s="243" t="s">
        <v>981</v>
      </c>
      <c r="E4" s="245"/>
      <c r="H4" s="249" t="s">
        <v>1446</v>
      </c>
      <c r="I4" s="245"/>
      <c r="K4" s="249" t="s">
        <v>982</v>
      </c>
      <c r="L4" s="245"/>
    </row>
    <row r="7" spans="1:12" ht="38.25" customHeight="1" x14ac:dyDescent="0.35">
      <c r="A7" s="242" t="s">
        <v>980</v>
      </c>
      <c r="B7" s="231" t="s">
        <v>977</v>
      </c>
      <c r="C7" s="239" t="s">
        <v>27</v>
      </c>
      <c r="D7" s="236" t="s">
        <v>978</v>
      </c>
      <c r="E7" s="239" t="s">
        <v>28</v>
      </c>
      <c r="F7" s="236" t="s">
        <v>978</v>
      </c>
      <c r="G7" s="81"/>
      <c r="H7" s="240" t="s">
        <v>976</v>
      </c>
      <c r="I7" s="237" t="s">
        <v>978</v>
      </c>
      <c r="J7" s="81"/>
      <c r="K7" s="241" t="s">
        <v>976</v>
      </c>
      <c r="L7" s="238" t="s">
        <v>978</v>
      </c>
    </row>
    <row r="8" spans="1:12" x14ac:dyDescent="0.25">
      <c r="C8" s="244"/>
      <c r="D8" s="244"/>
      <c r="E8" s="244"/>
      <c r="F8" s="244"/>
    </row>
    <row r="9" spans="1:12" x14ac:dyDescent="0.25">
      <c r="A9" s="235">
        <f>STATS!E5</f>
        <v>8</v>
      </c>
      <c r="B9" s="235" t="str">
        <f>STATS!H5</f>
        <v>HOLLOW</v>
      </c>
      <c r="C9" s="232" t="str">
        <f>IF(AND(STATS!C5="SWS",STATS!R5&gt;0),"YES","")</f>
        <v/>
      </c>
      <c r="D9" s="232"/>
      <c r="E9" s="232" t="str">
        <f>IF(AND(STATS!C5="SWS",STATS!S5&gt;0),"YES","")</f>
        <v/>
      </c>
      <c r="F9" s="19"/>
      <c r="H9" s="233" t="str">
        <f>IF(AND(STATS!C5="BOD",STATS!T5&gt;0),"YES","")</f>
        <v/>
      </c>
      <c r="I9" s="250"/>
      <c r="K9" s="234" t="str">
        <f>IF(AND(STATS!C5="BOF",STATS!T5&gt;0),"YES","")</f>
        <v/>
      </c>
      <c r="L9" s="251"/>
    </row>
    <row r="10" spans="1:12" x14ac:dyDescent="0.25">
      <c r="A10" s="235">
        <f>STATS!E6</f>
        <v>22</v>
      </c>
      <c r="B10" s="235" t="str">
        <f>STATS!H6</f>
        <v>PEARL</v>
      </c>
      <c r="C10" s="232" t="str">
        <f>IF(AND(STATS!C6="SWS",STATS!R6&gt;0),"YES","")</f>
        <v/>
      </c>
      <c r="D10" s="232"/>
      <c r="E10" s="232" t="str">
        <f>IF(AND(STATS!C6="SWS",STATS!S6&gt;0),"YES","")</f>
        <v/>
      </c>
      <c r="F10" s="19"/>
      <c r="H10" s="233" t="str">
        <f>IF(AND(STATS!C6="BOD",STATS!T6&gt;0),"YES","")</f>
        <v/>
      </c>
      <c r="I10" s="250"/>
      <c r="K10" s="234" t="str">
        <f>IF(AND(STATS!C6="BOF",STATS!T6&gt;0),"YES","")</f>
        <v/>
      </c>
      <c r="L10" s="251"/>
    </row>
    <row r="11" spans="1:12" x14ac:dyDescent="0.25">
      <c r="A11" s="235">
        <f>STATS!E7</f>
        <v>78</v>
      </c>
      <c r="B11" s="235" t="str">
        <f>STATS!H7</f>
        <v>RIM</v>
      </c>
      <c r="C11" s="232" t="str">
        <f>IF(AND(STATS!C7="SWS",STATS!R7&gt;0),"YES","")</f>
        <v/>
      </c>
      <c r="D11" s="232"/>
      <c r="E11" s="232" t="str">
        <f>IF(AND(STATS!C7="SWS",STATS!S7&gt;0),"YES","")</f>
        <v/>
      </c>
      <c r="F11" s="19"/>
      <c r="H11" s="233" t="str">
        <f>IF(AND(STATS!C7="BOD",STATS!T7&gt;0),"YES","")</f>
        <v/>
      </c>
      <c r="I11" s="250"/>
      <c r="K11" s="234" t="str">
        <f>IF(AND(STATS!C7="BOF",STATS!T7&gt;0),"YES","")</f>
        <v/>
      </c>
      <c r="L11" s="251"/>
    </row>
    <row r="12" spans="1:12" x14ac:dyDescent="0.25">
      <c r="A12" s="235">
        <f>STATS!E8</f>
        <v>122</v>
      </c>
      <c r="B12" s="235" t="str">
        <f>STATS!H8</f>
        <v>MEADOW</v>
      </c>
      <c r="C12" s="232" t="str">
        <f>IF(AND(STATS!C8="SWS",STATS!R8&gt;0),"YES","")</f>
        <v/>
      </c>
      <c r="D12" s="232"/>
      <c r="E12" s="232" t="str">
        <f>IF(AND(STATS!C8="SWS",STATS!S8&gt;0),"YES","")</f>
        <v/>
      </c>
      <c r="F12" s="19"/>
      <c r="H12" s="233" t="str">
        <f>IF(AND(STATS!C8="BOD",STATS!T8&gt;0),"YES","")</f>
        <v/>
      </c>
      <c r="I12" s="250"/>
      <c r="K12" s="234" t="str">
        <f>IF(AND(STATS!C8="BOF",STATS!T8&gt;0),"YES","")</f>
        <v/>
      </c>
      <c r="L12" s="251"/>
    </row>
    <row r="13" spans="1:12" x14ac:dyDescent="0.25">
      <c r="A13" s="235">
        <f>STATS!E9</f>
        <v>153</v>
      </c>
      <c r="B13" s="235" t="str">
        <f>STATS!H9</f>
        <v>SHEEP</v>
      </c>
      <c r="C13" s="232" t="str">
        <f>IF(AND(STATS!C9="SWS",STATS!R9&gt;0),"YES","")</f>
        <v/>
      </c>
      <c r="D13" s="232"/>
      <c r="E13" s="232" t="str">
        <f>IF(AND(STATS!C9="SWS",STATS!S9&gt;0),"YES","")</f>
        <v/>
      </c>
      <c r="F13" s="19"/>
      <c r="H13" s="233" t="str">
        <f>IF(AND(STATS!C9="BOD",STATS!T9&gt;0),"YES","")</f>
        <v/>
      </c>
      <c r="I13" s="250"/>
      <c r="K13" s="234" t="str">
        <f>IF(AND(STATS!C9="BOF",STATS!T9&gt;0),"YES","")</f>
        <v/>
      </c>
      <c r="L13" s="251"/>
    </row>
    <row r="14" spans="1:12" x14ac:dyDescent="0.25">
      <c r="A14" s="235">
        <f>STATS!E10</f>
        <v>193</v>
      </c>
      <c r="B14" s="235" t="str">
        <f>STATS!H10</f>
        <v>SHOT GUN</v>
      </c>
      <c r="C14" s="232" t="str">
        <f>IF(AND(STATS!C10="SWS",STATS!R10&gt;0),"YES","")</f>
        <v/>
      </c>
      <c r="D14" s="232"/>
      <c r="E14" s="232" t="str">
        <f>IF(AND(STATS!C10="SWS",STATS!S10&gt;0),"YES","")</f>
        <v/>
      </c>
      <c r="F14" s="19"/>
      <c r="H14" s="233" t="str">
        <f>IF(AND(STATS!C10="BOD",STATS!T10&gt;0),"YES","")</f>
        <v/>
      </c>
      <c r="I14" s="250"/>
      <c r="K14" s="234" t="str">
        <f>IF(AND(STATS!C10="BOF",STATS!T10&gt;0),"YES","")</f>
        <v>YES</v>
      </c>
      <c r="L14" s="251"/>
    </row>
    <row r="15" spans="1:12" x14ac:dyDescent="0.25">
      <c r="A15" s="235">
        <f>STATS!E11</f>
        <v>194</v>
      </c>
      <c r="B15" s="235" t="str">
        <f>STATS!H11</f>
        <v>MIDDLE</v>
      </c>
      <c r="C15" s="232" t="str">
        <f>IF(AND(STATS!C11="SWS",STATS!R11&gt;0),"YES","")</f>
        <v/>
      </c>
      <c r="D15" s="232"/>
      <c r="E15" s="232" t="str">
        <f>IF(AND(STATS!C11="SWS",STATS!S11&gt;0),"YES","")</f>
        <v/>
      </c>
      <c r="F15" s="19"/>
      <c r="H15" s="233" t="str">
        <f>IF(AND(STATS!C11="BOD",STATS!T11&gt;0),"YES","")</f>
        <v/>
      </c>
      <c r="I15" s="250"/>
      <c r="K15" s="234" t="str">
        <f>IF(AND(STATS!C11="BOF",STATS!T11&gt;0),"YES","")</f>
        <v/>
      </c>
      <c r="L15" s="251"/>
    </row>
    <row r="16" spans="1:12" x14ac:dyDescent="0.25">
      <c r="A16" s="235">
        <f>STATS!E12</f>
        <v>198</v>
      </c>
      <c r="B16" s="235" t="str">
        <f>STATS!H12</f>
        <v>CAMP</v>
      </c>
      <c r="C16" s="232" t="str">
        <f>IF(AND(STATS!C12="SWS",STATS!R12&gt;0),"YES","")</f>
        <v/>
      </c>
      <c r="D16" s="232"/>
      <c r="E16" s="232" t="str">
        <f>IF(AND(STATS!C12="SWS",STATS!S12&gt;0),"YES","")</f>
        <v/>
      </c>
      <c r="F16" s="19"/>
      <c r="H16" s="233" t="str">
        <f>IF(AND(STATS!C12="BOD",STATS!T12&gt;0),"YES","")</f>
        <v/>
      </c>
      <c r="I16" s="250"/>
      <c r="K16" s="234" t="str">
        <f>IF(AND(STATS!C12="BOF",STATS!T12&gt;0),"YES","")</f>
        <v>YES</v>
      </c>
      <c r="L16" s="251"/>
    </row>
    <row r="17" spans="1:12" x14ac:dyDescent="0.25">
      <c r="A17" s="235">
        <f>STATS!E13</f>
        <v>214</v>
      </c>
      <c r="B17" s="235" t="str">
        <f>STATS!H13</f>
        <v>PIKES</v>
      </c>
      <c r="C17" s="232" t="str">
        <f>IF(AND(STATS!C13="SWS",STATS!R13&gt;0),"YES","")</f>
        <v/>
      </c>
      <c r="D17" s="232"/>
      <c r="E17" s="232" t="str">
        <f>IF(AND(STATS!C13="SWS",STATS!S13&gt;0),"YES","")</f>
        <v/>
      </c>
      <c r="F17" s="19"/>
      <c r="H17" s="233" t="str">
        <f>IF(AND(STATS!C13="BOD",STATS!T13&gt;0),"YES","")</f>
        <v/>
      </c>
      <c r="I17" s="250"/>
      <c r="K17" s="234" t="str">
        <f>IF(AND(STATS!C13="BOF",STATS!T13&gt;0),"YES","")</f>
        <v/>
      </c>
      <c r="L17" s="251"/>
    </row>
    <row r="18" spans="1:12" x14ac:dyDescent="0.25">
      <c r="A18" s="235">
        <f>STATS!E14</f>
        <v>215</v>
      </c>
      <c r="B18" s="235" t="str">
        <f>STATS!H14</f>
        <v>PINE</v>
      </c>
      <c r="C18" s="232" t="str">
        <f>IF(AND(STATS!C14="SWS",STATS!R14&gt;0),"YES","")</f>
        <v/>
      </c>
      <c r="D18" s="232"/>
      <c r="E18" s="232" t="str">
        <f>IF(AND(STATS!C14="SWS",STATS!S14&gt;0),"YES","")</f>
        <v>YES</v>
      </c>
      <c r="F18" s="19"/>
      <c r="H18" s="233" t="str">
        <f>IF(AND(STATS!C14="BOD",STATS!T14&gt;0),"YES","")</f>
        <v/>
      </c>
      <c r="I18" s="250"/>
      <c r="K18" s="234" t="str">
        <f>IF(AND(STATS!C14="BOF",STATS!T14&gt;0),"YES","")</f>
        <v/>
      </c>
      <c r="L18" s="251"/>
    </row>
    <row r="19" spans="1:12" x14ac:dyDescent="0.25">
      <c r="A19" s="235">
        <f>STATS!E15</f>
        <v>234</v>
      </c>
      <c r="B19" s="235" t="str">
        <f>STATS!H15</f>
        <v>HAGA</v>
      </c>
      <c r="C19" s="232" t="str">
        <f>IF(AND(STATS!C15="SWS",STATS!R15&gt;0),"YES","")</f>
        <v/>
      </c>
      <c r="D19" s="232"/>
      <c r="E19" s="232" t="str">
        <f>IF(AND(STATS!C15="SWS",STATS!S15&gt;0),"YES","")</f>
        <v/>
      </c>
      <c r="F19" s="19"/>
      <c r="H19" s="233" t="str">
        <f>IF(AND(STATS!C15="BOD",STATS!T15&gt;0),"YES","")</f>
        <v/>
      </c>
      <c r="I19" s="250"/>
      <c r="K19" s="234" t="str">
        <f>IF(AND(STATS!C15="BOF",STATS!T15&gt;0),"YES","")</f>
        <v/>
      </c>
      <c r="L19" s="251"/>
    </row>
    <row r="20" spans="1:12" x14ac:dyDescent="0.25">
      <c r="A20" s="235">
        <f>STATS!E16</f>
        <v>236</v>
      </c>
      <c r="B20" s="235" t="str">
        <f>STATS!H16</f>
        <v>GOLDEN</v>
      </c>
      <c r="C20" s="232" t="str">
        <f>IF(AND(STATS!C16="SWS",STATS!R16&gt;0),"YES","")</f>
        <v/>
      </c>
      <c r="D20" s="232"/>
      <c r="E20" s="232" t="str">
        <f>IF(AND(STATS!C16="SWS",STATS!S16&gt;0),"YES","")</f>
        <v/>
      </c>
      <c r="F20" s="19"/>
      <c r="H20" s="233" t="str">
        <f>IF(AND(STATS!C16="BOD",STATS!T16&gt;0),"YES","")</f>
        <v/>
      </c>
      <c r="I20" s="250"/>
      <c r="K20" s="234" t="str">
        <f>IF(AND(STATS!C16="BOF",STATS!T16&gt;0),"YES","")</f>
        <v/>
      </c>
      <c r="L20" s="251"/>
    </row>
    <row r="21" spans="1:12" x14ac:dyDescent="0.25">
      <c r="A21" s="235">
        <f>STATS!E17</f>
        <v>240</v>
      </c>
      <c r="B21" s="235" t="str">
        <f>STATS!H17</f>
        <v>WEEZY</v>
      </c>
      <c r="C21" s="232" t="str">
        <f>IF(AND(STATS!C17="SWS",STATS!R17&gt;0),"YES","")</f>
        <v/>
      </c>
      <c r="D21" s="232"/>
      <c r="E21" s="232" t="str">
        <f>IF(AND(STATS!C17="SWS",STATS!S17&gt;0),"YES","")</f>
        <v/>
      </c>
      <c r="F21" s="19"/>
      <c r="H21" s="233" t="str">
        <f>IF(AND(STATS!C17="BOD",STATS!T17&gt;0),"YES","")</f>
        <v/>
      </c>
      <c r="I21" s="250"/>
      <c r="K21" s="234" t="str">
        <f>IF(AND(STATS!C17="BOF",STATS!T17&gt;0),"YES","")</f>
        <v/>
      </c>
      <c r="L21" s="251"/>
    </row>
    <row r="22" spans="1:12" x14ac:dyDescent="0.25">
      <c r="A22" s="235">
        <f>STATS!E18</f>
        <v>244</v>
      </c>
      <c r="B22" s="235" t="str">
        <f>STATS!H18</f>
        <v>RIFLE</v>
      </c>
      <c r="C22" s="232" t="str">
        <f>IF(AND(STATS!C18="SWS",STATS!R18&gt;0),"YES","")</f>
        <v/>
      </c>
      <c r="D22" s="232"/>
      <c r="E22" s="232" t="str">
        <f>IF(AND(STATS!C18="SWS",STATS!S18&gt;0),"YES","")</f>
        <v/>
      </c>
      <c r="F22" s="19"/>
      <c r="H22" s="233" t="str">
        <f>IF(AND(STATS!C18="BOD",STATS!T18&gt;0),"YES","")</f>
        <v/>
      </c>
      <c r="I22" s="250"/>
      <c r="K22" s="234" t="str">
        <f>IF(AND(STATS!C18="BOF",STATS!T18&gt;0),"YES","")</f>
        <v/>
      </c>
      <c r="L22" s="251"/>
    </row>
    <row r="23" spans="1:12" x14ac:dyDescent="0.25">
      <c r="A23" s="235">
        <f>STATS!E19</f>
        <v>256</v>
      </c>
      <c r="B23" s="235" t="str">
        <f>STATS!H19</f>
        <v>REYN</v>
      </c>
      <c r="C23" s="232" t="str">
        <f>IF(AND(STATS!C19="SWS",STATS!R19&gt;0),"YES","")</f>
        <v/>
      </c>
      <c r="D23" s="232"/>
      <c r="E23" s="232" t="str">
        <f>IF(AND(STATS!C19="SWS",STATS!S19&gt;0),"YES","")</f>
        <v/>
      </c>
      <c r="F23" s="19"/>
      <c r="H23" s="233" t="str">
        <f>IF(AND(STATS!C19="BOD",STATS!T19&gt;0),"YES","")</f>
        <v/>
      </c>
      <c r="I23" s="250"/>
      <c r="K23" s="234" t="str">
        <f>IF(AND(STATS!C19="BOF",STATS!T19&gt;0),"YES","")</f>
        <v/>
      </c>
      <c r="L23" s="251"/>
    </row>
    <row r="24" spans="1:12" x14ac:dyDescent="0.25">
      <c r="A24" s="235">
        <f>STATS!E20</f>
        <v>267</v>
      </c>
      <c r="B24" s="235" t="str">
        <f>STATS!H20</f>
        <v>BENDER</v>
      </c>
      <c r="C24" s="232" t="str">
        <f>IF(AND(STATS!C20="SWS",STATS!R20&gt;0),"YES","")</f>
        <v/>
      </c>
      <c r="D24" s="232"/>
      <c r="E24" s="232" t="str">
        <f>IF(AND(STATS!C20="SWS",STATS!S20&gt;0),"YES","")</f>
        <v/>
      </c>
      <c r="F24" s="19"/>
      <c r="H24" s="233" t="str">
        <f>IF(AND(STATS!C20="BOD",STATS!T20&gt;0),"YES","")</f>
        <v/>
      </c>
      <c r="I24" s="250"/>
      <c r="K24" s="234" t="str">
        <f>IF(AND(STATS!C20="BOF",STATS!T20&gt;0),"YES","")</f>
        <v/>
      </c>
      <c r="L24" s="251"/>
    </row>
    <row r="25" spans="1:12" x14ac:dyDescent="0.25">
      <c r="A25" s="235">
        <f>STATS!E21</f>
        <v>275</v>
      </c>
      <c r="B25" s="235" t="str">
        <f>STATS!H21</f>
        <v>MM52 HWY51</v>
      </c>
      <c r="C25" s="232" t="str">
        <f>IF(AND(STATS!C21="SWS",STATS!R21&gt;0),"YES","")</f>
        <v/>
      </c>
      <c r="D25" s="232"/>
      <c r="E25" s="232" t="str">
        <f>IF(AND(STATS!C21="SWS",STATS!S21&gt;0),"YES","")</f>
        <v/>
      </c>
      <c r="F25" s="19"/>
      <c r="H25" s="233" t="str">
        <f>IF(AND(STATS!C21="BOD",STATS!T21&gt;0),"YES","")</f>
        <v/>
      </c>
      <c r="I25" s="250"/>
      <c r="K25" s="234" t="str">
        <f>IF(AND(STATS!C21="BOF",STATS!T21&gt;0),"YES","")</f>
        <v/>
      </c>
      <c r="L25" s="251"/>
    </row>
    <row r="26" spans="1:12" x14ac:dyDescent="0.25">
      <c r="A26" s="235">
        <f>STATS!E22</f>
        <v>284</v>
      </c>
      <c r="B26" s="235" t="str">
        <f>STATS!H22</f>
        <v>MM5 HWY67</v>
      </c>
      <c r="C26" s="232" t="str">
        <f>IF(AND(STATS!C22="SWS",STATS!R22&gt;0),"YES","")</f>
        <v/>
      </c>
      <c r="D26" s="232"/>
      <c r="E26" s="232" t="str">
        <f>IF(AND(STATS!C22="SWS",STATS!S22&gt;0),"YES","")</f>
        <v/>
      </c>
      <c r="F26" s="19"/>
      <c r="H26" s="233" t="str">
        <f>IF(AND(STATS!C22="BOD",STATS!T22&gt;0),"YES","")</f>
        <v>YES</v>
      </c>
      <c r="I26" s="250"/>
      <c r="K26" s="234" t="str">
        <f>IF(AND(STATS!C22="BOF",STATS!T22&gt;0),"YES","")</f>
        <v/>
      </c>
      <c r="L26" s="251"/>
    </row>
    <row r="27" spans="1:12" x14ac:dyDescent="0.25">
      <c r="A27" s="235">
        <f>STATS!E23</f>
        <v>285</v>
      </c>
      <c r="B27" s="235" t="str">
        <f>STATS!H23</f>
        <v>MM74 HWY51</v>
      </c>
      <c r="C27" s="232" t="str">
        <f>IF(AND(STATS!C23="SWS",STATS!R23&gt;0),"YES","")</f>
        <v/>
      </c>
      <c r="D27" s="232"/>
      <c r="E27" s="232" t="str">
        <f>IF(AND(STATS!C23="SWS",STATS!S23&gt;0),"YES","")</f>
        <v/>
      </c>
      <c r="F27" s="19"/>
      <c r="H27" s="233" t="str">
        <f>IF(AND(STATS!C23="BOD",STATS!T23&gt;0),"YES","")</f>
        <v/>
      </c>
      <c r="I27" s="250"/>
      <c r="K27" s="234" t="str">
        <f>IF(AND(STATS!C23="BOF",STATS!T23&gt;0),"YES","")</f>
        <v/>
      </c>
      <c r="L27" s="251"/>
    </row>
    <row r="28" spans="1:12" x14ac:dyDescent="0.25">
      <c r="A28" s="235">
        <f>STATS!E24</f>
        <v>302</v>
      </c>
      <c r="B28" s="235" t="str">
        <f>STATS!H24</f>
        <v>NORTH  PEARL</v>
      </c>
      <c r="C28" s="232" t="str">
        <f>IF(AND(STATS!C24="SWS",STATS!R24&gt;0),"YES","")</f>
        <v/>
      </c>
      <c r="D28" s="232"/>
      <c r="E28" s="232" t="str">
        <f>IF(AND(STATS!C24="SWS",STATS!S24&gt;0),"YES","")</f>
        <v/>
      </c>
      <c r="F28" s="19"/>
      <c r="H28" s="233" t="str">
        <f>IF(AND(STATS!C24="BOD",STATS!T24&gt;0),"YES","")</f>
        <v/>
      </c>
      <c r="I28" s="250"/>
      <c r="K28" s="234" t="str">
        <f>IF(AND(STATS!C24="BOF",STATS!T24&gt;0),"YES","")</f>
        <v/>
      </c>
      <c r="L28" s="251"/>
    </row>
    <row r="29" spans="1:12" x14ac:dyDescent="0.25">
      <c r="A29" s="235">
        <f>STATS!E25</f>
        <v>304</v>
      </c>
      <c r="B29" s="235" t="str">
        <f>STATS!H25</f>
        <v>ELGIN</v>
      </c>
      <c r="C29" s="232" t="str">
        <f>IF(AND(STATS!C25="SWS",STATS!R25&gt;0),"YES","")</f>
        <v/>
      </c>
      <c r="D29" s="232"/>
      <c r="E29" s="232" t="str">
        <f>IF(AND(STATS!C25="SWS",STATS!S25&gt;0),"YES","")</f>
        <v/>
      </c>
      <c r="F29" s="19"/>
      <c r="H29" s="233" t="str">
        <f>IF(AND(STATS!C25="BOD",STATS!T25&gt;0),"YES","")</f>
        <v/>
      </c>
      <c r="I29" s="250"/>
      <c r="K29" s="234" t="str">
        <f>IF(AND(STATS!C25="BOF",STATS!T25&gt;0),"YES","")</f>
        <v/>
      </c>
      <c r="L29" s="251"/>
    </row>
    <row r="30" spans="1:12" x14ac:dyDescent="0.25">
      <c r="A30" s="235">
        <f>STATS!E26</f>
        <v>305</v>
      </c>
      <c r="B30" s="235" t="str">
        <f>STATS!H26</f>
        <v>OPAL</v>
      </c>
      <c r="C30" s="232" t="str">
        <f>IF(AND(STATS!C26="SWS",STATS!R26&gt;0),"YES","")</f>
        <v/>
      </c>
      <c r="D30" s="232"/>
      <c r="E30" s="232" t="str">
        <f>IF(AND(STATS!C26="SWS",STATS!S26&gt;0),"YES","")</f>
        <v/>
      </c>
      <c r="F30" s="19"/>
      <c r="H30" s="233" t="str">
        <f>IF(AND(STATS!C26="BOD",STATS!T26&gt;0),"YES","")</f>
        <v/>
      </c>
      <c r="I30" s="250"/>
      <c r="K30" s="234" t="str">
        <f>IF(AND(STATS!C26="BOF",STATS!T26&gt;0),"YES","")</f>
        <v/>
      </c>
      <c r="L30" s="251"/>
    </row>
    <row r="31" spans="1:12" x14ac:dyDescent="0.25">
      <c r="A31" s="235">
        <f>STATS!E27</f>
        <v>308</v>
      </c>
      <c r="B31" s="235" t="str">
        <f>STATS!H27</f>
        <v xml:space="preserve">CASTLE </v>
      </c>
      <c r="C31" s="232" t="str">
        <f>IF(AND(STATS!C27="SWS",STATS!R27&gt;0),"YES","")</f>
        <v/>
      </c>
      <c r="D31" s="232"/>
      <c r="E31" s="232" t="str">
        <f>IF(AND(STATS!C27="SWS",STATS!S27&gt;0),"YES","")</f>
        <v/>
      </c>
      <c r="F31" s="19"/>
      <c r="H31" s="233" t="str">
        <f>IF(AND(STATS!C27="BOD",STATS!T27&gt;0),"YES","")</f>
        <v/>
      </c>
      <c r="I31" s="250"/>
      <c r="K31" s="234" t="str">
        <f>IF(AND(STATS!C27="BOF",STATS!T27&gt;0),"YES","")</f>
        <v/>
      </c>
      <c r="L31" s="251"/>
    </row>
    <row r="32" spans="1:12" x14ac:dyDescent="0.25">
      <c r="A32" s="235">
        <f>STATS!E28</f>
        <v>329</v>
      </c>
      <c r="B32" s="235" t="str">
        <f>STATS!H28</f>
        <v>CROWN</v>
      </c>
      <c r="C32" s="232" t="str">
        <f>IF(AND(STATS!C28="SWS",STATS!R28&gt;0),"YES","")</f>
        <v/>
      </c>
      <c r="D32" s="232"/>
      <c r="E32" s="232" t="str">
        <f>IF(AND(STATS!C28="SWS",STATS!S28&gt;0),"YES","")</f>
        <v/>
      </c>
      <c r="F32" s="19"/>
      <c r="H32" s="233" t="str">
        <f>IF(AND(STATS!C28="BOD",STATS!T28&gt;0),"YES","")</f>
        <v/>
      </c>
      <c r="I32" s="250"/>
      <c r="K32" s="234" t="str">
        <f>IF(AND(STATS!C28="BOF",STATS!T28&gt;0),"YES","")</f>
        <v/>
      </c>
      <c r="L32" s="251"/>
    </row>
    <row r="33" spans="1:12" x14ac:dyDescent="0.25">
      <c r="A33" s="235">
        <f>STATS!E29</f>
        <v>350</v>
      </c>
      <c r="B33" s="235" t="str">
        <f>STATS!H29</f>
        <v>RIMROCK</v>
      </c>
      <c r="C33" s="232" t="str">
        <f>IF(AND(STATS!C29="SWS",STATS!R29&gt;0),"YES","")</f>
        <v/>
      </c>
      <c r="D33" s="232"/>
      <c r="E33" s="232" t="str">
        <f>IF(AND(STATS!C29="SWS",STATS!S29&gt;0),"YES","")</f>
        <v/>
      </c>
      <c r="F33" s="19"/>
      <c r="H33" s="233" t="str">
        <f>IF(AND(STATS!C29="BOD",STATS!T29&gt;0),"YES","")</f>
        <v/>
      </c>
      <c r="I33" s="250"/>
      <c r="K33" s="234" t="str">
        <f>IF(AND(STATS!C29="BOF",STATS!T29&gt;0),"YES","")</f>
        <v/>
      </c>
      <c r="L33" s="251"/>
    </row>
    <row r="34" spans="1:12" x14ac:dyDescent="0.25">
      <c r="A34" s="235">
        <f>STATS!E30</f>
        <v>353</v>
      </c>
      <c r="B34" s="235" t="str">
        <f>STATS!H30</f>
        <v>HOTSPRINGS</v>
      </c>
      <c r="C34" s="232" t="str">
        <f>IF(AND(STATS!C30="SWS",STATS!R30&gt;0),"YES","")</f>
        <v/>
      </c>
      <c r="D34" s="232"/>
      <c r="E34" s="232" t="str">
        <f>IF(AND(STATS!C30="SWS",STATS!S30&gt;0),"YES","")</f>
        <v/>
      </c>
      <c r="F34" s="19"/>
      <c r="H34" s="233" t="str">
        <f>IF(AND(STATS!C30="BOD",STATS!T30&gt;0),"YES","")</f>
        <v/>
      </c>
      <c r="I34" s="250"/>
      <c r="K34" s="234" t="str">
        <f>IF(AND(STATS!C30="BOF",STATS!T30&gt;0),"YES","")</f>
        <v/>
      </c>
      <c r="L34" s="251"/>
    </row>
    <row r="35" spans="1:12" x14ac:dyDescent="0.25">
      <c r="A35" s="235">
        <f>STATS!E31</f>
        <v>363</v>
      </c>
      <c r="B35" s="235" t="str">
        <f>STATS!H31</f>
        <v>MOTO</v>
      </c>
      <c r="C35" s="232" t="str">
        <f>IF(AND(STATS!C31="SWS",STATS!R31&gt;0),"YES","")</f>
        <v/>
      </c>
      <c r="D35" s="232"/>
      <c r="E35" s="232" t="str">
        <f>IF(AND(STATS!C31="SWS",STATS!S31&gt;0),"YES","")</f>
        <v/>
      </c>
      <c r="F35" s="19"/>
      <c r="H35" s="233" t="str">
        <f>IF(AND(STATS!C31="BOD",STATS!T31&gt;0),"YES","")</f>
        <v/>
      </c>
      <c r="I35" s="250"/>
      <c r="K35" s="234" t="str">
        <f>IF(AND(STATS!C31="BOF",STATS!T31&gt;0),"YES","")</f>
        <v/>
      </c>
      <c r="L35" s="251"/>
    </row>
    <row r="36" spans="1:12" x14ac:dyDescent="0.25">
      <c r="A36" s="235">
        <f>STATS!E32</f>
        <v>365</v>
      </c>
      <c r="B36" s="235" t="str">
        <f>STATS!H32</f>
        <v>MURPH</v>
      </c>
      <c r="C36" s="232" t="str">
        <f>IF(AND(STATS!C32="SWS",STATS!R32&gt;0),"YES","")</f>
        <v/>
      </c>
      <c r="D36" s="232"/>
      <c r="E36" s="232" t="str">
        <f>IF(AND(STATS!C32="SWS",STATS!S32&gt;0),"YES","")</f>
        <v/>
      </c>
      <c r="F36" s="19"/>
      <c r="H36" s="233" t="str">
        <f>IF(AND(STATS!C32="BOD",STATS!T32&gt;0),"YES","")</f>
        <v/>
      </c>
      <c r="I36" s="250"/>
      <c r="K36" s="234" t="str">
        <f>IF(AND(STATS!C32="BOF",STATS!T32&gt;0),"YES","")</f>
        <v/>
      </c>
      <c r="L36" s="251"/>
    </row>
    <row r="37" spans="1:12" x14ac:dyDescent="0.25">
      <c r="A37" s="235">
        <f>STATS!E33</f>
        <v>369</v>
      </c>
      <c r="B37" s="235" t="str">
        <f>STATS!H33</f>
        <v>LOWSTRIKE</v>
      </c>
      <c r="C37" s="232" t="str">
        <f>IF(AND(STATS!C33="SWS",STATS!R33&gt;0),"YES","")</f>
        <v/>
      </c>
      <c r="D37" s="232"/>
      <c r="E37" s="232" t="str">
        <f>IF(AND(STATS!C33="SWS",STATS!S33&gt;0),"YES","")</f>
        <v/>
      </c>
      <c r="F37" s="19"/>
      <c r="H37" s="233" t="str">
        <f>IF(AND(STATS!C33="BOD",STATS!T33&gt;0),"YES","")</f>
        <v/>
      </c>
      <c r="I37" s="250"/>
      <c r="K37" s="234" t="str">
        <f>IF(AND(STATS!C33="BOF",STATS!T33&gt;0),"YES","")</f>
        <v/>
      </c>
      <c r="L37" s="251"/>
    </row>
    <row r="38" spans="1:12" x14ac:dyDescent="0.25">
      <c r="A38" s="235">
        <f>STATS!E34</f>
        <v>374</v>
      </c>
      <c r="B38" s="235" t="str">
        <f>STATS!H34</f>
        <v>BIGMORE</v>
      </c>
      <c r="C38" s="232" t="str">
        <f>IF(AND(STATS!C34="SWS",STATS!R34&gt;0),"YES","")</f>
        <v/>
      </c>
      <c r="D38" s="232"/>
      <c r="E38" s="232" t="str">
        <f>IF(AND(STATS!C34="SWS",STATS!S34&gt;0),"YES","")</f>
        <v/>
      </c>
      <c r="F38" s="19"/>
      <c r="H38" s="233" t="str">
        <f>IF(AND(STATS!C34="BOD",STATS!T34&gt;0),"YES","")</f>
        <v/>
      </c>
      <c r="I38" s="250"/>
      <c r="K38" s="234" t="str">
        <f>IF(AND(STATS!C34="BOF",STATS!T34&gt;0),"YES","")</f>
        <v/>
      </c>
      <c r="L38" s="251"/>
    </row>
    <row r="39" spans="1:12" x14ac:dyDescent="0.25">
      <c r="A39" s="235">
        <f>STATS!E35</f>
        <v>375</v>
      </c>
      <c r="B39" s="235" t="str">
        <f>STATS!H35</f>
        <v xml:space="preserve">HOT </v>
      </c>
      <c r="C39" s="232" t="str">
        <f>IF(AND(STATS!C35="SWS",STATS!R35&gt;0),"YES","")</f>
        <v/>
      </c>
      <c r="D39" s="232"/>
      <c r="E39" s="232" t="str">
        <f>IF(AND(STATS!C35="SWS",STATS!S35&gt;0),"YES","")</f>
        <v/>
      </c>
      <c r="F39" s="19"/>
      <c r="H39" s="233" t="str">
        <f>IF(AND(STATS!C35="BOD",STATS!T35&gt;0),"YES","")</f>
        <v/>
      </c>
      <c r="I39" s="250"/>
      <c r="K39" s="234" t="str">
        <f>IF(AND(STATS!C35="BOF",STATS!T35&gt;0),"YES","")</f>
        <v/>
      </c>
      <c r="L39" s="251"/>
    </row>
    <row r="40" spans="1:12" x14ac:dyDescent="0.25">
      <c r="A40" s="235">
        <f>STATS!E36</f>
        <v>377</v>
      </c>
      <c r="B40" s="235" t="str">
        <f>STATS!H36</f>
        <v>OLSON</v>
      </c>
      <c r="C40" s="232" t="str">
        <f>IF(AND(STATS!C36="SWS",STATS!R36&gt;0),"YES","")</f>
        <v/>
      </c>
      <c r="D40" s="232"/>
      <c r="E40" s="232" t="str">
        <f>IF(AND(STATS!C36="SWS",STATS!S36&gt;0),"YES","")</f>
        <v/>
      </c>
      <c r="F40" s="19"/>
      <c r="H40" s="233" t="str">
        <f>IF(AND(STATS!C36="BOD",STATS!T36&gt;0),"YES","")</f>
        <v/>
      </c>
      <c r="I40" s="250"/>
      <c r="K40" s="234" t="str">
        <f>IF(AND(STATS!C36="BOF",STATS!T36&gt;0),"YES","")</f>
        <v/>
      </c>
      <c r="L40" s="251"/>
    </row>
    <row r="41" spans="1:12" x14ac:dyDescent="0.25">
      <c r="A41" s="235">
        <f>STATS!E37</f>
        <v>379</v>
      </c>
      <c r="B41" s="235" t="str">
        <f>STATS!H37</f>
        <v>PEPPER</v>
      </c>
      <c r="C41" s="232" t="str">
        <f>IF(AND(STATS!C37="SWS",STATS!R37&gt;0),"YES","")</f>
        <v/>
      </c>
      <c r="D41" s="232"/>
      <c r="E41" s="232" t="str">
        <f>IF(AND(STATS!C37="SWS",STATS!S37&gt;0),"YES","")</f>
        <v/>
      </c>
      <c r="F41" s="19"/>
      <c r="H41" s="233" t="str">
        <f>IF(AND(STATS!C37="BOD",STATS!T37&gt;0),"YES","")</f>
        <v/>
      </c>
      <c r="I41" s="250"/>
      <c r="K41" s="234" t="str">
        <f>IF(AND(STATS!C37="BOF",STATS!T37&gt;0),"YES","")</f>
        <v/>
      </c>
      <c r="L41" s="251"/>
    </row>
    <row r="42" spans="1:12" x14ac:dyDescent="0.25">
      <c r="A42" s="235">
        <f>STATS!E38</f>
        <v>385</v>
      </c>
      <c r="B42" s="235" t="str">
        <f>STATS!H38</f>
        <v>PIPE</v>
      </c>
      <c r="C42" s="232" t="str">
        <f>IF(AND(STATS!C38="SWS",STATS!R38&gt;0),"YES","")</f>
        <v/>
      </c>
      <c r="D42" s="232"/>
      <c r="E42" s="232" t="str">
        <f>IF(AND(STATS!C38="SWS",STATS!S38&gt;0),"YES","")</f>
        <v/>
      </c>
      <c r="F42" s="19"/>
      <c r="H42" s="233" t="str">
        <f>IF(AND(STATS!C38="BOD",STATS!T38&gt;0),"YES","")</f>
        <v>YES</v>
      </c>
      <c r="I42" s="250"/>
      <c r="K42" s="234" t="str">
        <f>IF(AND(STATS!C38="BOF",STATS!T38&gt;0),"YES","")</f>
        <v/>
      </c>
      <c r="L42" s="251"/>
    </row>
    <row r="43" spans="1:12" x14ac:dyDescent="0.25">
      <c r="A43" s="235">
        <f>STATS!E39</f>
        <v>387</v>
      </c>
      <c r="B43" s="235" t="str">
        <f>STATS!H39</f>
        <v>RATTLE</v>
      </c>
      <c r="C43" s="232" t="str">
        <f>IF(AND(STATS!C39="SWS",STATS!R39&gt;0),"YES","")</f>
        <v/>
      </c>
      <c r="D43" s="232"/>
      <c r="E43" s="232" t="str">
        <f>IF(AND(STATS!C39="SWS",STATS!S39&gt;0),"YES","")</f>
        <v/>
      </c>
      <c r="F43" s="19"/>
      <c r="H43" s="233" t="str">
        <f>IF(AND(STATS!C39="BOD",STATS!T39&gt;0),"YES","")</f>
        <v/>
      </c>
      <c r="I43" s="250"/>
      <c r="K43" s="234" t="str">
        <f>IF(AND(STATS!C39="BOF",STATS!T39&gt;0),"YES","")</f>
        <v/>
      </c>
      <c r="L43" s="251"/>
    </row>
    <row r="44" spans="1:12" x14ac:dyDescent="0.25">
      <c r="A44" s="235">
        <f>STATS!E40</f>
        <v>393</v>
      </c>
      <c r="B44" s="235" t="str">
        <f>STATS!H40</f>
        <v>BADGER</v>
      </c>
      <c r="C44" s="232" t="str">
        <f>IF(AND(STATS!C40="SWS",STATS!R40&gt;0),"YES","")</f>
        <v/>
      </c>
      <c r="D44" s="232"/>
      <c r="E44" s="232" t="str">
        <f>IF(AND(STATS!C40="SWS",STATS!S40&gt;0),"YES","")</f>
        <v/>
      </c>
      <c r="F44" s="19"/>
      <c r="H44" s="233" t="str">
        <f>IF(AND(STATS!C40="BOD",STATS!T40&gt;0),"YES","")</f>
        <v/>
      </c>
      <c r="I44" s="250"/>
      <c r="K44" s="234" t="str">
        <f>IF(AND(STATS!C40="BOF",STATS!T40&gt;0),"YES","")</f>
        <v/>
      </c>
      <c r="L44" s="251"/>
    </row>
    <row r="45" spans="1:12" x14ac:dyDescent="0.25">
      <c r="A45" s="235">
        <f>STATS!E41</f>
        <v>404</v>
      </c>
      <c r="B45" s="235" t="str">
        <f>STATS!H41</f>
        <v>ROUNDUP</v>
      </c>
      <c r="C45" s="232" t="str">
        <f>IF(AND(STATS!C41="SWS",STATS!R41&gt;0),"YES","")</f>
        <v/>
      </c>
      <c r="D45" s="232"/>
      <c r="E45" s="232" t="str">
        <f>IF(AND(STATS!C41="SWS",STATS!S41&gt;0),"YES","")</f>
        <v/>
      </c>
      <c r="F45" s="19"/>
      <c r="H45" s="233" t="str">
        <f>IF(AND(STATS!C41="BOD",STATS!T41&gt;0),"YES","")</f>
        <v/>
      </c>
      <c r="I45" s="250"/>
      <c r="K45" s="234" t="str">
        <f>IF(AND(STATS!C41="BOF",STATS!T41&gt;0),"YES","")</f>
        <v/>
      </c>
      <c r="L45" s="251"/>
    </row>
    <row r="46" spans="1:12" x14ac:dyDescent="0.25">
      <c r="A46" s="235">
        <f>STATS!E42</f>
        <v>406</v>
      </c>
      <c r="B46" s="235" t="str">
        <f>STATS!H42</f>
        <v>BASIN</v>
      </c>
      <c r="C46" s="232" t="str">
        <f>IF(AND(STATS!C42="SWS",STATS!R42&gt;0),"YES","")</f>
        <v/>
      </c>
      <c r="D46" s="232"/>
      <c r="E46" s="232" t="str">
        <f>IF(AND(STATS!C42="SWS",STATS!S42&gt;0),"YES","")</f>
        <v/>
      </c>
      <c r="F46" s="19"/>
      <c r="H46" s="233" t="str">
        <f>IF(AND(STATS!C42="BOD",STATS!T42&gt;0),"YES","")</f>
        <v/>
      </c>
      <c r="I46" s="250"/>
      <c r="K46" s="234" t="str">
        <f>IF(AND(STATS!C42="BOF",STATS!T42&gt;0),"YES","")</f>
        <v/>
      </c>
      <c r="L46" s="251"/>
    </row>
    <row r="47" spans="1:12" x14ac:dyDescent="0.25">
      <c r="A47" s="235">
        <f>STATS!E43</f>
        <v>413</v>
      </c>
      <c r="B47" s="235" t="str">
        <f>STATS!H43</f>
        <v>SIPHON</v>
      </c>
      <c r="C47" s="232" t="str">
        <f>IF(AND(STATS!C43="SWS",STATS!R43&gt;0),"YES","")</f>
        <v/>
      </c>
      <c r="D47" s="232"/>
      <c r="E47" s="232" t="str">
        <f>IF(AND(STATS!C43="SWS",STATS!S43&gt;0),"YES","")</f>
        <v/>
      </c>
      <c r="F47" s="19"/>
      <c r="H47" s="233" t="str">
        <f>IF(AND(STATS!C43="BOD",STATS!T43&gt;0),"YES","")</f>
        <v/>
      </c>
      <c r="I47" s="250"/>
      <c r="K47" s="234" t="str">
        <f>IF(AND(STATS!C43="BOF",STATS!T43&gt;0),"YES","")</f>
        <v/>
      </c>
      <c r="L47" s="251"/>
    </row>
    <row r="48" spans="1:12" x14ac:dyDescent="0.25">
      <c r="A48" s="235">
        <f>STATS!E44</f>
        <v>421</v>
      </c>
      <c r="B48" s="235" t="str">
        <f>STATS!H44</f>
        <v>CANMAY</v>
      </c>
      <c r="C48" s="232" t="str">
        <f>IF(AND(STATS!C44="SWS",STATS!R44&gt;0),"YES","")</f>
        <v/>
      </c>
      <c r="D48" s="232"/>
      <c r="E48" s="232" t="str">
        <f>IF(AND(STATS!C44="SWS",STATS!S44&gt;0),"YES","")</f>
        <v/>
      </c>
      <c r="F48" s="19"/>
      <c r="H48" s="233" t="str">
        <f>IF(AND(STATS!C44="BOD",STATS!T44&gt;0),"YES","")</f>
        <v>YES</v>
      </c>
      <c r="I48" s="250"/>
      <c r="K48" s="234" t="str">
        <f>IF(AND(STATS!C44="BOF",STATS!T44&gt;0),"YES","")</f>
        <v/>
      </c>
      <c r="L48" s="251"/>
    </row>
    <row r="49" spans="1:12" x14ac:dyDescent="0.25">
      <c r="A49" s="235">
        <f>STATS!E45</f>
        <v>422</v>
      </c>
      <c r="B49" s="235" t="str">
        <f>STATS!H45</f>
        <v>LOCK</v>
      </c>
      <c r="C49" s="232" t="str">
        <f>IF(AND(STATS!C45="SWS",STATS!R45&gt;0),"YES","")</f>
        <v/>
      </c>
      <c r="D49" s="232"/>
      <c r="E49" s="232" t="str">
        <f>IF(AND(STATS!C45="SWS",STATS!S45&gt;0),"YES","")</f>
        <v/>
      </c>
      <c r="F49" s="19"/>
      <c r="H49" s="233" t="str">
        <f>IF(AND(STATS!C45="BOD",STATS!T45&gt;0),"YES","")</f>
        <v/>
      </c>
      <c r="I49" s="250"/>
      <c r="K49" s="234" t="str">
        <f>IF(AND(STATS!C45="BOF",STATS!T45&gt;0),"YES","")</f>
        <v/>
      </c>
      <c r="L49" s="251"/>
    </row>
    <row r="50" spans="1:12" x14ac:dyDescent="0.25">
      <c r="A50" s="235">
        <f>STATS!E46</f>
        <v>423</v>
      </c>
      <c r="B50" s="235" t="str">
        <f>STATS!H46</f>
        <v>BONNEVILLE</v>
      </c>
      <c r="C50" s="232" t="str">
        <f>IF(AND(STATS!C46="SWS",STATS!R46&gt;0),"YES","")</f>
        <v/>
      </c>
      <c r="D50" s="232"/>
      <c r="E50" s="232" t="str">
        <f>IF(AND(STATS!C46="SWS",STATS!S46&gt;0),"YES","")</f>
        <v/>
      </c>
      <c r="F50" s="19"/>
      <c r="H50" s="233" t="str">
        <f>IF(AND(STATS!C46="BOD",STATS!T46&gt;0),"YES","")</f>
        <v/>
      </c>
      <c r="I50" s="250"/>
      <c r="K50" s="234" t="str">
        <f>IF(AND(STATS!C46="BOF",STATS!T46&gt;0),"YES","")</f>
        <v/>
      </c>
      <c r="L50" s="251"/>
    </row>
    <row r="51" spans="1:12" x14ac:dyDescent="0.25">
      <c r="A51" s="235">
        <f>STATS!E47</f>
        <v>424</v>
      </c>
      <c r="B51" s="235" t="str">
        <f>STATS!H47</f>
        <v>LYDLE</v>
      </c>
      <c r="C51" s="232" t="str">
        <f>IF(AND(STATS!C47="SWS",STATS!R47&gt;0),"YES","")</f>
        <v/>
      </c>
      <c r="D51" s="232"/>
      <c r="E51" s="232" t="str">
        <f>IF(AND(STATS!C47="SWS",STATS!S47&gt;0),"YES","")</f>
        <v/>
      </c>
      <c r="F51" s="19"/>
      <c r="H51" s="233" t="str">
        <f>IF(AND(STATS!C47="BOD",STATS!T47&gt;0),"YES","")</f>
        <v/>
      </c>
      <c r="I51" s="250"/>
      <c r="K51" s="234" t="str">
        <f>IF(AND(STATS!C47="BOF",STATS!T47&gt;0),"YES","")</f>
        <v/>
      </c>
      <c r="L51" s="251"/>
    </row>
    <row r="52" spans="1:12" x14ac:dyDescent="0.25">
      <c r="A52" s="235">
        <f>STATS!E48</f>
        <v>425</v>
      </c>
      <c r="B52" s="235" t="str">
        <f>STATS!H48</f>
        <v>GIBSON</v>
      </c>
      <c r="C52" s="232" t="str">
        <f>IF(AND(STATS!C48="SWS",STATS!R48&gt;0),"YES","")</f>
        <v/>
      </c>
      <c r="D52" s="232"/>
      <c r="E52" s="232" t="str">
        <f>IF(AND(STATS!C48="SWS",STATS!S48&gt;0),"YES","")</f>
        <v/>
      </c>
      <c r="F52" s="19"/>
      <c r="H52" s="233" t="str">
        <f>IF(AND(STATS!C48="BOD",STATS!T48&gt;0),"YES","")</f>
        <v/>
      </c>
      <c r="I52" s="250"/>
      <c r="K52" s="234" t="str">
        <f>IF(AND(STATS!C48="BOF",STATS!T48&gt;0),"YES","")</f>
        <v/>
      </c>
      <c r="L52" s="251"/>
    </row>
    <row r="53" spans="1:12" x14ac:dyDescent="0.25">
      <c r="A53" s="235">
        <f>STATS!E49</f>
        <v>426</v>
      </c>
      <c r="B53" s="235" t="str">
        <f>STATS!H49</f>
        <v>PEN</v>
      </c>
      <c r="C53" s="232" t="str">
        <f>IF(AND(STATS!C49="SWS",STATS!R49&gt;0),"YES","")</f>
        <v/>
      </c>
      <c r="D53" s="232"/>
      <c r="E53" s="232" t="str">
        <f>IF(AND(STATS!C49="SWS",STATS!S49&gt;0),"YES","")</f>
        <v/>
      </c>
      <c r="F53" s="19"/>
      <c r="H53" s="233" t="str">
        <f>IF(AND(STATS!C49="BOD",STATS!T49&gt;0),"YES","")</f>
        <v/>
      </c>
      <c r="I53" s="250"/>
      <c r="K53" s="234" t="str">
        <f>IF(AND(STATS!C49="BOF",STATS!T49&gt;0),"YES","")</f>
        <v/>
      </c>
      <c r="L53" s="251"/>
    </row>
    <row r="54" spans="1:12" x14ac:dyDescent="0.25">
      <c r="A54" s="235">
        <f>STATS!E50</f>
        <v>428</v>
      </c>
      <c r="B54" s="235" t="str">
        <f>STATS!H50</f>
        <v>ALKIE</v>
      </c>
      <c r="C54" s="232" t="str">
        <f>IF(AND(STATS!C50="SWS",STATS!R50&gt;0),"YES","")</f>
        <v/>
      </c>
      <c r="D54" s="232"/>
      <c r="E54" s="232" t="str">
        <f>IF(AND(STATS!C50="SWS",STATS!S50&gt;0),"YES","")</f>
        <v/>
      </c>
      <c r="F54" s="19"/>
      <c r="H54" s="233" t="str">
        <f>IF(AND(STATS!C50="BOD",STATS!T50&gt;0),"YES","")</f>
        <v/>
      </c>
      <c r="I54" s="250"/>
      <c r="K54" s="234" t="str">
        <f>IF(AND(STATS!C50="BOF",STATS!T50&gt;0),"YES","")</f>
        <v/>
      </c>
      <c r="L54" s="251"/>
    </row>
    <row r="55" spans="1:12" x14ac:dyDescent="0.25">
      <c r="A55" s="235">
        <f>STATS!E51</f>
        <v>429</v>
      </c>
      <c r="B55" s="235" t="str">
        <f>STATS!H51</f>
        <v>CANYON</v>
      </c>
      <c r="C55" s="232" t="str">
        <f>IF(AND(STATS!C51="SWS",STATS!R51&gt;0),"YES","")</f>
        <v/>
      </c>
      <c r="D55" s="232"/>
      <c r="E55" s="232" t="str">
        <f>IF(AND(STATS!C51="SWS",STATS!S51&gt;0),"YES","")</f>
        <v/>
      </c>
      <c r="F55" s="19"/>
      <c r="H55" s="233" t="str">
        <f>IF(AND(STATS!C51="BOD",STATS!T51&gt;0),"YES","")</f>
        <v/>
      </c>
      <c r="I55" s="250"/>
      <c r="K55" s="234" t="str">
        <f>IF(AND(STATS!C51="BOF",STATS!T51&gt;0),"YES","")</f>
        <v/>
      </c>
      <c r="L55" s="251"/>
    </row>
    <row r="56" spans="1:12" x14ac:dyDescent="0.25">
      <c r="A56" s="235">
        <f>STATS!E52</f>
        <v>430</v>
      </c>
      <c r="B56" s="235" t="str">
        <f>STATS!H52</f>
        <v>HEART</v>
      </c>
      <c r="C56" s="232" t="str">
        <f>IF(AND(STATS!C52="SWS",STATS!R52&gt;0),"YES","")</f>
        <v/>
      </c>
      <c r="D56" s="232"/>
      <c r="E56" s="232" t="str">
        <f>IF(AND(STATS!C52="SWS",STATS!S52&gt;0),"YES","")</f>
        <v/>
      </c>
      <c r="F56" s="19"/>
      <c r="H56" s="233" t="str">
        <f>IF(AND(STATS!C52="BOD",STATS!T52&gt;0),"YES","")</f>
        <v/>
      </c>
      <c r="I56" s="250"/>
      <c r="K56" s="234" t="str">
        <f>IF(AND(STATS!C52="BOF",STATS!T52&gt;0),"YES","")</f>
        <v/>
      </c>
      <c r="L56" s="251"/>
    </row>
    <row r="57" spans="1:12" x14ac:dyDescent="0.25">
      <c r="A57" s="235">
        <f>STATS!E53</f>
        <v>433</v>
      </c>
      <c r="B57" s="235" t="str">
        <f>STATS!H53</f>
        <v>BEAR</v>
      </c>
      <c r="C57" s="232" t="str">
        <f>IF(AND(STATS!C53="SWS",STATS!R53&gt;0),"YES","")</f>
        <v/>
      </c>
      <c r="D57" s="232"/>
      <c r="E57" s="232" t="str">
        <f>IF(AND(STATS!C53="SWS",STATS!S53&gt;0),"YES","")</f>
        <v/>
      </c>
      <c r="F57" s="19"/>
      <c r="H57" s="233" t="str">
        <f>IF(AND(STATS!C53="BOD",STATS!T53&gt;0),"YES","")</f>
        <v/>
      </c>
      <c r="I57" s="250"/>
      <c r="K57" s="234" t="str">
        <f>IF(AND(STATS!C53="BOF",STATS!T53&gt;0),"YES","")</f>
        <v/>
      </c>
      <c r="L57" s="251"/>
    </row>
    <row r="58" spans="1:12" x14ac:dyDescent="0.25">
      <c r="A58" s="235">
        <f>STATS!E54</f>
        <v>437</v>
      </c>
      <c r="B58" s="235" t="str">
        <f>STATS!H54</f>
        <v>ALPS</v>
      </c>
      <c r="C58" s="232" t="str">
        <f>IF(AND(STATS!C54="SWS",STATS!R54&gt;0),"YES","")</f>
        <v/>
      </c>
      <c r="D58" s="232"/>
      <c r="E58" s="232" t="str">
        <f>IF(AND(STATS!C54="SWS",STATS!S54&gt;0),"YES","")</f>
        <v/>
      </c>
      <c r="F58" s="19"/>
      <c r="H58" s="233" t="str">
        <f>IF(AND(STATS!C54="BOD",STATS!T54&gt;0),"YES","")</f>
        <v/>
      </c>
      <c r="I58" s="250"/>
      <c r="K58" s="234" t="str">
        <f>IF(AND(STATS!C54="BOF",STATS!T54&gt;0),"YES","")</f>
        <v/>
      </c>
      <c r="L58" s="251"/>
    </row>
    <row r="59" spans="1:12" x14ac:dyDescent="0.25">
      <c r="A59" s="235">
        <f>STATS!E55</f>
        <v>440</v>
      </c>
      <c r="B59" s="235" t="str">
        <f>STATS!H55</f>
        <v>MM80 HWY51</v>
      </c>
      <c r="C59" s="232" t="str">
        <f>IF(AND(STATS!C55="SWS",STATS!R55&gt;0),"YES","")</f>
        <v/>
      </c>
      <c r="D59" s="232"/>
      <c r="E59" s="232" t="str">
        <f>IF(AND(STATS!C55="SWS",STATS!S55&gt;0),"YES","")</f>
        <v/>
      </c>
      <c r="F59" s="19"/>
      <c r="H59" s="233" t="str">
        <f>IF(AND(STATS!C55="BOD",STATS!T55&gt;0),"YES","")</f>
        <v/>
      </c>
      <c r="I59" s="250"/>
      <c r="K59" s="234" t="str">
        <f>IF(AND(STATS!C55="BOF",STATS!T55&gt;0),"YES","")</f>
        <v/>
      </c>
      <c r="L59" s="251"/>
    </row>
    <row r="60" spans="1:12" x14ac:dyDescent="0.25">
      <c r="A60" s="235">
        <f>STATS!E56</f>
        <v>441</v>
      </c>
      <c r="B60" s="235" t="str">
        <f>STATS!H56</f>
        <v>MM78 HWY51</v>
      </c>
      <c r="C60" s="232" t="str">
        <f>IF(AND(STATS!C56="SWS",STATS!R56&gt;0),"YES","")</f>
        <v/>
      </c>
      <c r="D60" s="232"/>
      <c r="E60" s="232" t="str">
        <f>IF(AND(STATS!C56="SWS",STATS!S56&gt;0),"YES","")</f>
        <v/>
      </c>
      <c r="F60" s="19"/>
      <c r="H60" s="233" t="str">
        <f>IF(AND(STATS!C56="BOD",STATS!T56&gt;0),"YES","")</f>
        <v/>
      </c>
      <c r="I60" s="250"/>
      <c r="K60" s="234" t="str">
        <f>IF(AND(STATS!C56="BOF",STATS!T56&gt;0),"YES","")</f>
        <v/>
      </c>
      <c r="L60" s="251"/>
    </row>
    <row r="61" spans="1:12" x14ac:dyDescent="0.25">
      <c r="A61" s="235">
        <f>STATS!E57</f>
        <v>443</v>
      </c>
      <c r="B61" s="235" t="str">
        <f>STATS!H57</f>
        <v>RODEO</v>
      </c>
      <c r="C61" s="232" t="str">
        <f>IF(AND(STATS!C57="SWS",STATS!R57&gt;0),"YES","")</f>
        <v/>
      </c>
      <c r="D61" s="232"/>
      <c r="E61" s="232" t="str">
        <f>IF(AND(STATS!C57="SWS",STATS!S57&gt;0),"YES","")</f>
        <v/>
      </c>
      <c r="F61" s="19"/>
      <c r="H61" s="233" t="str">
        <f>IF(AND(STATS!C57="BOD",STATS!T57&gt;0),"YES","")</f>
        <v/>
      </c>
      <c r="I61" s="250"/>
      <c r="K61" s="234" t="str">
        <f>IF(AND(STATS!C57="BOF",STATS!T57&gt;0),"YES","")</f>
        <v/>
      </c>
      <c r="L61" s="251"/>
    </row>
    <row r="62" spans="1:12" x14ac:dyDescent="0.25">
      <c r="A62" s="235">
        <f>STATS!E58</f>
        <v>444</v>
      </c>
      <c r="B62" s="235" t="str">
        <f>STATS!H58</f>
        <v>CRAB</v>
      </c>
      <c r="C62" s="232" t="str">
        <f>IF(AND(STATS!C58="SWS",STATS!R58&gt;0),"YES","")</f>
        <v/>
      </c>
      <c r="D62" s="232"/>
      <c r="E62" s="232" t="str">
        <f>IF(AND(STATS!C58="SWS",STATS!S58&gt;0),"YES","")</f>
        <v/>
      </c>
      <c r="F62" s="19"/>
      <c r="H62" s="233" t="str">
        <f>IF(AND(STATS!C58="BOD",STATS!T58&gt;0),"YES","")</f>
        <v/>
      </c>
      <c r="I62" s="250"/>
      <c r="K62" s="234" t="str">
        <f>IF(AND(STATS!C58="BOF",STATS!T58&gt;0),"YES","")</f>
        <v/>
      </c>
      <c r="L62" s="251"/>
    </row>
    <row r="63" spans="1:12" x14ac:dyDescent="0.25">
      <c r="A63" s="235">
        <f>STATS!E59</f>
        <v>446</v>
      </c>
      <c r="B63" s="235" t="str">
        <f>STATS!H59</f>
        <v>FRENCH</v>
      </c>
      <c r="C63" s="232" t="str">
        <f>IF(AND(STATS!C59="SWS",STATS!R59&gt;0),"YES","")</f>
        <v/>
      </c>
      <c r="D63" s="232"/>
      <c r="E63" s="232" t="str">
        <f>IF(AND(STATS!C59="SWS",STATS!S59&gt;0),"YES","")</f>
        <v/>
      </c>
      <c r="F63" s="19"/>
      <c r="H63" s="233" t="str">
        <f>IF(AND(STATS!C59="BOD",STATS!T59&gt;0),"YES","")</f>
        <v/>
      </c>
      <c r="I63" s="250"/>
      <c r="K63" s="234" t="str">
        <f>IF(AND(STATS!C59="BOF",STATS!T59&gt;0),"YES","")</f>
        <v/>
      </c>
      <c r="L63" s="251"/>
    </row>
    <row r="64" spans="1:12" x14ac:dyDescent="0.25">
      <c r="A64" s="235">
        <f>STATS!E60</f>
        <v>358</v>
      </c>
      <c r="B64" s="235" t="str">
        <f>STATS!H60</f>
        <v>ALPINE</v>
      </c>
      <c r="C64" s="232" t="str">
        <f>IF(AND(STATS!C60="SWS",STATS!R60&gt;0),"YES","")</f>
        <v/>
      </c>
      <c r="D64" s="232"/>
      <c r="E64" s="232" t="str">
        <f>IF(AND(STATS!C60="SWS",STATS!S60&gt;0),"YES","")</f>
        <v/>
      </c>
      <c r="F64" s="19"/>
      <c r="H64" s="233" t="str">
        <f>IF(AND(STATS!C60="BOD",STATS!T60&gt;0),"YES","")</f>
        <v/>
      </c>
      <c r="I64" s="250"/>
      <c r="K64" s="234" t="str">
        <f>IF(AND(STATS!C60="BOF",STATS!T60&gt;0),"YES","")</f>
        <v/>
      </c>
      <c r="L64" s="251"/>
    </row>
    <row r="65" spans="1:12" x14ac:dyDescent="0.25">
      <c r="A65" s="235">
        <f>STATS!E61</f>
        <v>366</v>
      </c>
      <c r="B65" s="235" t="str">
        <f>STATS!H61</f>
        <v>CURTIS</v>
      </c>
      <c r="C65" s="232" t="str">
        <f>IF(AND(STATS!C61="SWS",STATS!R61&gt;0),"YES","")</f>
        <v/>
      </c>
      <c r="D65" s="232"/>
      <c r="E65" s="232" t="str">
        <f>IF(AND(STATS!C61="SWS",STATS!S61&gt;0),"YES","")</f>
        <v/>
      </c>
      <c r="F65" s="19"/>
      <c r="H65" s="233" t="str">
        <f>IF(AND(STATS!C61="BOD",STATS!T61&gt;0),"YES","")</f>
        <v/>
      </c>
      <c r="I65" s="250"/>
      <c r="K65" s="234" t="str">
        <f>IF(AND(STATS!C61="BOF",STATS!T61&gt;0),"YES","")</f>
        <v/>
      </c>
      <c r="L65" s="251"/>
    </row>
    <row r="66" spans="1:12" x14ac:dyDescent="0.25">
      <c r="A66" s="235">
        <f>STATS!E62</f>
        <v>369</v>
      </c>
      <c r="B66" s="235" t="str">
        <f>STATS!H62</f>
        <v>SNAG CREEK</v>
      </c>
      <c r="C66" s="232" t="str">
        <f>IF(AND(STATS!C62="SWS",STATS!R62&gt;0),"YES","")</f>
        <v/>
      </c>
      <c r="D66" s="232"/>
      <c r="E66" s="232" t="str">
        <f>IF(AND(STATS!C62="SWS",STATS!S62&gt;0),"YES","")</f>
        <v/>
      </c>
      <c r="F66" s="19"/>
      <c r="H66" s="233" t="str">
        <f>IF(AND(STATS!C62="BOD",STATS!T62&gt;0),"YES","")</f>
        <v/>
      </c>
      <c r="I66" s="250"/>
      <c r="K66" s="234" t="str">
        <f>IF(AND(STATS!C62="BOF",STATS!T62&gt;0),"YES","")</f>
        <v/>
      </c>
      <c r="L66" s="251"/>
    </row>
    <row r="67" spans="1:12" x14ac:dyDescent="0.25">
      <c r="A67" s="235">
        <f>STATS!E63</f>
        <v>371</v>
      </c>
      <c r="B67" s="235" t="str">
        <f>STATS!H63</f>
        <v>ORO</v>
      </c>
      <c r="C67" s="232" t="str">
        <f>IF(AND(STATS!C63="SWS",STATS!R63&gt;0),"YES","")</f>
        <v/>
      </c>
      <c r="D67" s="232"/>
      <c r="E67" s="232" t="str">
        <f>IF(AND(STATS!C63="SWS",STATS!S63&gt;0),"YES","")</f>
        <v/>
      </c>
      <c r="F67" s="19"/>
      <c r="H67" s="233" t="str">
        <f>IF(AND(STATS!C63="BOD",STATS!T63&gt;0),"YES","")</f>
        <v/>
      </c>
      <c r="I67" s="250"/>
      <c r="K67" s="234" t="str">
        <f>IF(AND(STATS!C63="BOF",STATS!T63&gt;0),"YES","")</f>
        <v/>
      </c>
      <c r="L67" s="251"/>
    </row>
    <row r="68" spans="1:12" x14ac:dyDescent="0.25">
      <c r="A68" s="235">
        <f>STATS!E64</f>
        <v>455</v>
      </c>
      <c r="B68" s="235" t="str">
        <f>STATS!H64</f>
        <v>MM119 I84</v>
      </c>
      <c r="C68" s="232" t="str">
        <f>IF(AND(STATS!C64="SWS",STATS!R64&gt;0),"YES","")</f>
        <v/>
      </c>
      <c r="D68" s="232"/>
      <c r="E68" s="232" t="str">
        <f>IF(AND(STATS!C64="SWS",STATS!S64&gt;0),"YES","")</f>
        <v/>
      </c>
      <c r="F68" s="19"/>
      <c r="H68" s="233" t="str">
        <f>IF(AND(STATS!C64="BOD",STATS!T64&gt;0),"YES","")</f>
        <v/>
      </c>
      <c r="I68" s="250"/>
      <c r="K68" s="234" t="str">
        <f>IF(AND(STATS!C64="BOF",STATS!T64&gt;0),"YES","")</f>
        <v/>
      </c>
      <c r="L68" s="251"/>
    </row>
    <row r="69" spans="1:12" x14ac:dyDescent="0.25">
      <c r="A69" s="235">
        <f>STATS!E65</f>
        <v>461</v>
      </c>
      <c r="B69" s="235" t="str">
        <f>STATS!H65</f>
        <v>TOX</v>
      </c>
      <c r="C69" s="232" t="str">
        <f>IF(AND(STATS!C65="SWS",STATS!R65&gt;0),"YES","")</f>
        <v/>
      </c>
      <c r="D69" s="232"/>
      <c r="E69" s="232" t="str">
        <f>IF(AND(STATS!C65="SWS",STATS!S65&gt;0),"YES","")</f>
        <v/>
      </c>
      <c r="F69" s="19"/>
      <c r="H69" s="233" t="str">
        <f>IF(AND(STATS!C65="BOD",STATS!T65&gt;0),"YES","")</f>
        <v/>
      </c>
      <c r="I69" s="250"/>
      <c r="K69" s="234" t="str">
        <f>IF(AND(STATS!C65="BOF",STATS!T65&gt;0),"YES","")</f>
        <v/>
      </c>
      <c r="L69" s="251"/>
    </row>
    <row r="70" spans="1:12" x14ac:dyDescent="0.25">
      <c r="A70" s="235">
        <f>STATS!E66</f>
        <v>469</v>
      </c>
      <c r="B70" s="235" t="str">
        <f>STATS!H66</f>
        <v>MARYS</v>
      </c>
      <c r="C70" s="232" t="str">
        <f>IF(AND(STATS!C66="SWS",STATS!R66&gt;0),"YES","")</f>
        <v/>
      </c>
      <c r="D70" s="232"/>
      <c r="E70" s="232" t="str">
        <f>IF(AND(STATS!C66="SWS",STATS!S66&gt;0),"YES","")</f>
        <v/>
      </c>
      <c r="F70" s="19"/>
      <c r="H70" s="233" t="str">
        <f>IF(AND(STATS!C66="BOD",STATS!T66&gt;0),"YES","")</f>
        <v/>
      </c>
      <c r="I70" s="250"/>
      <c r="K70" s="234" t="str">
        <f>IF(AND(STATS!C66="BOF",STATS!T66&gt;0),"YES","")</f>
        <v/>
      </c>
      <c r="L70" s="251"/>
    </row>
    <row r="71" spans="1:12" x14ac:dyDescent="0.25">
      <c r="A71" s="235">
        <f>STATS!E67</f>
        <v>471</v>
      </c>
      <c r="B71" s="235" t="str">
        <f>STATS!H67</f>
        <v>BUCK</v>
      </c>
      <c r="C71" s="232" t="str">
        <f>IF(AND(STATS!C67="SWS",STATS!R67&gt;0),"YES","")</f>
        <v/>
      </c>
      <c r="D71" s="232"/>
      <c r="E71" s="232" t="str">
        <f>IF(AND(STATS!C67="SWS",STATS!S67&gt;0),"YES","")</f>
        <v/>
      </c>
      <c r="F71" s="19"/>
      <c r="H71" s="233" t="str">
        <f>IF(AND(STATS!C67="BOD",STATS!T67&gt;0),"YES","")</f>
        <v/>
      </c>
      <c r="I71" s="250"/>
      <c r="K71" s="234" t="str">
        <f>IF(AND(STATS!C67="BOF",STATS!T67&gt;0),"YES","")</f>
        <v/>
      </c>
      <c r="L71" s="251"/>
    </row>
    <row r="72" spans="1:12" x14ac:dyDescent="0.25">
      <c r="A72" s="235">
        <f>STATS!E68</f>
        <v>474</v>
      </c>
      <c r="B72" s="235" t="str">
        <f>STATS!H68</f>
        <v>DRYDEN</v>
      </c>
      <c r="C72" s="232" t="str">
        <f>IF(AND(STATS!C68="SWS",STATS!R68&gt;0),"YES","")</f>
        <v/>
      </c>
      <c r="D72" s="232"/>
      <c r="E72" s="232" t="str">
        <f>IF(AND(STATS!C68="SWS",STATS!S68&gt;0),"YES","")</f>
        <v/>
      </c>
      <c r="F72" s="19"/>
      <c r="H72" s="233" t="str">
        <f>IF(AND(STATS!C68="BOD",STATS!T68&gt;0),"YES","")</f>
        <v/>
      </c>
      <c r="I72" s="250"/>
      <c r="K72" s="234" t="str">
        <f>IF(AND(STATS!C68="BOF",STATS!T68&gt;0),"YES","")</f>
        <v/>
      </c>
      <c r="L72" s="251"/>
    </row>
    <row r="73" spans="1:12" x14ac:dyDescent="0.25">
      <c r="A73" s="235">
        <f>STATS!E69</f>
        <v>475</v>
      </c>
      <c r="B73" s="235" t="str">
        <f>STATS!H69</f>
        <v>STONEMAN</v>
      </c>
      <c r="C73" s="232" t="str">
        <f>IF(AND(STATS!C69="SWS",STATS!R69&gt;0),"YES","")</f>
        <v/>
      </c>
      <c r="D73" s="232"/>
      <c r="E73" s="232" t="str">
        <f>IF(AND(STATS!C69="SWS",STATS!S69&gt;0),"YES","")</f>
        <v/>
      </c>
      <c r="F73" s="19"/>
      <c r="H73" s="233" t="str">
        <f>IF(AND(STATS!C69="BOD",STATS!T69&gt;0),"YES","")</f>
        <v/>
      </c>
      <c r="I73" s="250"/>
      <c r="K73" s="234" t="str">
        <f>IF(AND(STATS!C69="BOF",STATS!T69&gt;0),"YES","")</f>
        <v/>
      </c>
      <c r="L73" s="251"/>
    </row>
    <row r="74" spans="1:12" x14ac:dyDescent="0.25">
      <c r="A74" s="235">
        <f>STATS!E70</f>
        <v>476</v>
      </c>
      <c r="B74" s="235" t="str">
        <f>STATS!H70</f>
        <v>RED</v>
      </c>
      <c r="C74" s="232" t="str">
        <f>IF(AND(STATS!C70="SWS",STATS!R70&gt;0),"YES","")</f>
        <v/>
      </c>
      <c r="D74" s="232"/>
      <c r="E74" s="232" t="str">
        <f>IF(AND(STATS!C70="SWS",STATS!S70&gt;0),"YES","")</f>
        <v/>
      </c>
      <c r="F74" s="19"/>
      <c r="H74" s="233" t="str">
        <f>IF(AND(STATS!C70="BOD",STATS!T70&gt;0),"YES","")</f>
        <v/>
      </c>
      <c r="I74" s="250"/>
      <c r="K74" s="234" t="str">
        <f>IF(AND(STATS!C70="BOF",STATS!T70&gt;0),"YES","")</f>
        <v/>
      </c>
      <c r="L74" s="251"/>
    </row>
    <row r="75" spans="1:12" x14ac:dyDescent="0.25">
      <c r="A75" s="235">
        <f>STATS!E71</f>
        <v>480</v>
      </c>
      <c r="B75" s="235" t="str">
        <f>STATS!H71</f>
        <v>ROOS</v>
      </c>
      <c r="C75" s="232" t="str">
        <f>IF(AND(STATS!C71="SWS",STATS!R71&gt;0),"YES","")</f>
        <v/>
      </c>
      <c r="D75" s="232"/>
      <c r="E75" s="232" t="str">
        <f>IF(AND(STATS!C71="SWS",STATS!S71&gt;0),"YES","")</f>
        <v/>
      </c>
      <c r="F75" s="19"/>
      <c r="H75" s="233" t="str">
        <f>IF(AND(STATS!C71="BOD",STATS!T71&gt;0),"YES","")</f>
        <v/>
      </c>
      <c r="I75" s="250"/>
      <c r="K75" s="234" t="str">
        <f>IF(AND(STATS!C71="BOF",STATS!T71&gt;0),"YES","")</f>
        <v/>
      </c>
      <c r="L75" s="251"/>
    </row>
    <row r="76" spans="1:12" x14ac:dyDescent="0.25">
      <c r="A76" s="235">
        <f>STATS!E72</f>
        <v>490</v>
      </c>
      <c r="B76" s="235" t="str">
        <f>STATS!H72</f>
        <v>LOWER</v>
      </c>
      <c r="C76" s="232" t="str">
        <f>IF(AND(STATS!C72="SWS",STATS!R72&gt;0),"YES","")</f>
        <v/>
      </c>
      <c r="D76" s="232"/>
      <c r="E76" s="232" t="str">
        <f>IF(AND(STATS!C72="SWS",STATS!S72&gt;0),"YES","")</f>
        <v/>
      </c>
      <c r="F76" s="19"/>
      <c r="H76" s="233" t="str">
        <f>IF(AND(STATS!C72="BOD",STATS!T72&gt;0),"YES","")</f>
        <v/>
      </c>
      <c r="I76" s="250"/>
      <c r="K76" s="234" t="str">
        <f>IF(AND(STATS!C72="BOF",STATS!T72&gt;0),"YES","")</f>
        <v/>
      </c>
      <c r="L76" s="251"/>
    </row>
    <row r="77" spans="1:12" x14ac:dyDescent="0.25">
      <c r="A77" s="235">
        <f>STATS!E73</f>
        <v>518</v>
      </c>
      <c r="B77" s="235" t="str">
        <f>STATS!H73</f>
        <v>TURNER</v>
      </c>
      <c r="C77" s="232" t="str">
        <f>IF(AND(STATS!C73="SWS",STATS!R73&gt;0),"YES","")</f>
        <v/>
      </c>
      <c r="D77" s="232"/>
      <c r="E77" s="232" t="str">
        <f>IF(AND(STATS!C73="SWS",STATS!S73&gt;0),"YES","")</f>
        <v>YES</v>
      </c>
      <c r="F77" s="19"/>
      <c r="H77" s="233" t="str">
        <f>IF(AND(STATS!C73="BOD",STATS!T73&gt;0),"YES","")</f>
        <v/>
      </c>
      <c r="I77" s="250"/>
      <c r="K77" s="234" t="str">
        <f>IF(AND(STATS!C73="BOF",STATS!T73&gt;0),"YES","")</f>
        <v/>
      </c>
      <c r="L77" s="251"/>
    </row>
    <row r="78" spans="1:12" x14ac:dyDescent="0.25">
      <c r="A78" s="235">
        <f>STATS!E74</f>
        <v>441</v>
      </c>
      <c r="B78" s="235" t="str">
        <f>STATS!H74</f>
        <v>LARCH</v>
      </c>
      <c r="C78" s="232" t="str">
        <f>IF(AND(STATS!C74="SWS",STATS!R74&gt;0),"YES","")</f>
        <v/>
      </c>
      <c r="D78" s="232"/>
      <c r="E78" s="232" t="str">
        <f>IF(AND(STATS!C74="SWS",STATS!S74&gt;0),"YES","")</f>
        <v/>
      </c>
      <c r="F78" s="19"/>
      <c r="H78" s="233" t="str">
        <f>IF(AND(STATS!C74="BOD",STATS!T74&gt;0),"YES","")</f>
        <v/>
      </c>
      <c r="I78" s="250"/>
      <c r="K78" s="234" t="str">
        <f>IF(AND(STATS!C74="BOF",STATS!T74&gt;0),"YES","")</f>
        <v/>
      </c>
      <c r="L78" s="251"/>
    </row>
    <row r="79" spans="1:12" x14ac:dyDescent="0.25">
      <c r="A79" s="235">
        <f>STATS!E75</f>
        <v>528</v>
      </c>
      <c r="B79" s="235" t="str">
        <f>STATS!H75</f>
        <v>MESA</v>
      </c>
      <c r="C79" s="232" t="str">
        <f>IF(AND(STATS!C75="SWS",STATS!R75&gt;0),"YES","")</f>
        <v/>
      </c>
      <c r="D79" s="232"/>
      <c r="E79" s="232" t="str">
        <f>IF(AND(STATS!C75="SWS",STATS!S75&gt;0),"YES","")</f>
        <v/>
      </c>
      <c r="F79" s="19"/>
      <c r="H79" s="233" t="str">
        <f>IF(AND(STATS!C75="BOD",STATS!T75&gt;0),"YES","")</f>
        <v/>
      </c>
      <c r="I79" s="250"/>
      <c r="K79" s="234" t="str">
        <f>IF(AND(STATS!C75="BOF",STATS!T75&gt;0),"YES","")</f>
        <v/>
      </c>
      <c r="L79" s="251"/>
    </row>
    <row r="80" spans="1:12" x14ac:dyDescent="0.25">
      <c r="A80" s="235">
        <f>STATS!E76</f>
        <v>532</v>
      </c>
      <c r="B80" s="235" t="str">
        <f>STATS!H76</f>
        <v>BLUEJAY</v>
      </c>
      <c r="C80" s="232" t="str">
        <f>IF(AND(STATS!C76="SWS",STATS!R76&gt;0),"YES","")</f>
        <v/>
      </c>
      <c r="D80" s="232"/>
      <c r="E80" s="232" t="str">
        <f>IF(AND(STATS!C76="SWS",STATS!S76&gt;0),"YES","")</f>
        <v/>
      </c>
      <c r="F80" s="19"/>
      <c r="H80" s="233" t="str">
        <f>IF(AND(STATS!C76="BOD",STATS!T76&gt;0),"YES","")</f>
        <v/>
      </c>
      <c r="I80" s="250"/>
      <c r="K80" s="234" t="str">
        <f>IF(AND(STATS!C76="BOF",STATS!T76&gt;0),"YES","")</f>
        <v/>
      </c>
      <c r="L80" s="251"/>
    </row>
    <row r="81" spans="1:12" x14ac:dyDescent="0.25">
      <c r="A81" s="235">
        <f>STATS!E77</f>
        <v>533</v>
      </c>
      <c r="B81" s="235" t="str">
        <f>STATS!H77</f>
        <v>OWL</v>
      </c>
      <c r="C81" s="232" t="str">
        <f>IF(AND(STATS!C77="SWS",STATS!R77&gt;0),"YES","")</f>
        <v/>
      </c>
      <c r="D81" s="232"/>
      <c r="E81" s="232" t="str">
        <f>IF(AND(STATS!C77="SWS",STATS!S77&gt;0),"YES","")</f>
        <v/>
      </c>
      <c r="F81" s="19"/>
      <c r="H81" s="233" t="str">
        <f>IF(AND(STATS!C77="BOD",STATS!T77&gt;0),"YES","")</f>
        <v/>
      </c>
      <c r="I81" s="250"/>
      <c r="K81" s="234" t="str">
        <f>IF(AND(STATS!C77="BOF",STATS!T77&gt;0),"YES","")</f>
        <v/>
      </c>
      <c r="L81" s="251"/>
    </row>
    <row r="82" spans="1:12" x14ac:dyDescent="0.25">
      <c r="A82" s="235">
        <f>STATS!E78</f>
        <v>534</v>
      </c>
      <c r="B82" s="235" t="str">
        <f>STATS!H78</f>
        <v>MACDONALD</v>
      </c>
      <c r="C82" s="232" t="str">
        <f>IF(AND(STATS!C78="SWS",STATS!R78&gt;0),"YES","")</f>
        <v/>
      </c>
      <c r="D82" s="232"/>
      <c r="E82" s="232" t="str">
        <f>IF(AND(STATS!C78="SWS",STATS!S78&gt;0),"YES","")</f>
        <v/>
      </c>
      <c r="F82" s="19"/>
      <c r="H82" s="233" t="str">
        <f>IF(AND(STATS!C78="BOD",STATS!T78&gt;0),"YES","")</f>
        <v/>
      </c>
      <c r="I82" s="250"/>
      <c r="K82" s="234" t="str">
        <f>IF(AND(STATS!C78="BOF",STATS!T78&gt;0),"YES","")</f>
        <v/>
      </c>
      <c r="L82" s="251"/>
    </row>
    <row r="83" spans="1:12" x14ac:dyDescent="0.25">
      <c r="A83" s="235">
        <f>STATS!E79</f>
        <v>535</v>
      </c>
      <c r="B83" s="235" t="str">
        <f>STATS!H79</f>
        <v>TEN MILE</v>
      </c>
      <c r="C83" s="232" t="str">
        <f>IF(AND(STATS!C79="SWS",STATS!R79&gt;0),"YES","")</f>
        <v/>
      </c>
      <c r="D83" s="232"/>
      <c r="E83" s="232" t="str">
        <f>IF(AND(STATS!C79="SWS",STATS!S79&gt;0),"YES","")</f>
        <v/>
      </c>
      <c r="F83" s="19"/>
      <c r="H83" s="233" t="str">
        <f>IF(AND(STATS!C79="BOD",STATS!T79&gt;0),"YES","")</f>
        <v/>
      </c>
      <c r="I83" s="250"/>
      <c r="K83" s="234" t="str">
        <f>IF(AND(STATS!C79="BOF",STATS!T79&gt;0),"YES","")</f>
        <v/>
      </c>
      <c r="L83" s="251"/>
    </row>
    <row r="84" spans="1:12" x14ac:dyDescent="0.25">
      <c r="A84" s="235">
        <f>STATS!E80</f>
        <v>537</v>
      </c>
      <c r="B84" s="235" t="str">
        <f>STATS!H80</f>
        <v>TAYLOR</v>
      </c>
      <c r="C84" s="232" t="str">
        <f>IF(AND(STATS!C80="SWS",STATS!R80&gt;0),"YES","")</f>
        <v/>
      </c>
      <c r="D84" s="232"/>
      <c r="E84" s="232" t="str">
        <f>IF(AND(STATS!C80="SWS",STATS!S80&gt;0),"YES","")</f>
        <v/>
      </c>
      <c r="F84" s="19"/>
      <c r="H84" s="233" t="str">
        <f>IF(AND(STATS!C80="BOD",STATS!T80&gt;0),"YES","")</f>
        <v/>
      </c>
      <c r="I84" s="250"/>
      <c r="K84" s="234" t="str">
        <f>IF(AND(STATS!C80="BOF",STATS!T80&gt;0),"YES","")</f>
        <v/>
      </c>
      <c r="L84" s="251"/>
    </row>
    <row r="85" spans="1:12" x14ac:dyDescent="0.25">
      <c r="A85" s="235">
        <f>STATS!E81</f>
        <v>538</v>
      </c>
      <c r="B85" s="235" t="str">
        <f>STATS!H81</f>
        <v xml:space="preserve">HUNTER </v>
      </c>
      <c r="C85" s="232" t="str">
        <f>IF(AND(STATS!C81="SWS",STATS!R81&gt;0),"YES","")</f>
        <v/>
      </c>
      <c r="D85" s="232"/>
      <c r="E85" s="232" t="str">
        <f>IF(AND(STATS!C81="SWS",STATS!S81&gt;0),"YES","")</f>
        <v/>
      </c>
      <c r="F85" s="19"/>
      <c r="H85" s="233" t="str">
        <f>IF(AND(STATS!C81="BOD",STATS!T81&gt;0),"YES","")</f>
        <v/>
      </c>
      <c r="I85" s="250"/>
      <c r="K85" s="234" t="str">
        <f>IF(AND(STATS!C81="BOF",STATS!T81&gt;0),"YES","")</f>
        <v/>
      </c>
      <c r="L85" s="251"/>
    </row>
    <row r="86" spans="1:12" x14ac:dyDescent="0.25">
      <c r="A86" s="235">
        <f>STATS!E82</f>
        <v>539</v>
      </c>
      <c r="B86" s="235" t="str">
        <f>STATS!H82</f>
        <v>IMMIGRANT</v>
      </c>
      <c r="C86" s="232" t="str">
        <f>IF(AND(STATS!C82="SWS",STATS!R82&gt;0),"YES","")</f>
        <v/>
      </c>
      <c r="D86" s="232"/>
      <c r="E86" s="232" t="str">
        <f>IF(AND(STATS!C82="SWS",STATS!S82&gt;0),"YES","")</f>
        <v/>
      </c>
      <c r="F86" s="19"/>
      <c r="H86" s="233" t="str">
        <f>IF(AND(STATS!C82="BOD",STATS!T82&gt;0),"YES","")</f>
        <v/>
      </c>
      <c r="I86" s="250"/>
      <c r="K86" s="234" t="str">
        <f>IF(AND(STATS!C82="BOF",STATS!T82&gt;0),"YES","")</f>
        <v/>
      </c>
      <c r="L86" s="251"/>
    </row>
    <row r="87" spans="1:12" x14ac:dyDescent="0.25">
      <c r="A87" s="235">
        <f>STATS!E83</f>
        <v>540</v>
      </c>
      <c r="B87" s="235" t="str">
        <f>STATS!H83</f>
        <v>CHAPMAN</v>
      </c>
      <c r="C87" s="232" t="str">
        <f>IF(AND(STATS!C83="SWS",STATS!R83&gt;0),"YES","")</f>
        <v/>
      </c>
      <c r="D87" s="232"/>
      <c r="E87" s="232" t="str">
        <f>IF(AND(STATS!C83="SWS",STATS!S83&gt;0),"YES","")</f>
        <v/>
      </c>
      <c r="F87" s="19"/>
      <c r="H87" s="233" t="str">
        <f>IF(AND(STATS!C83="BOD",STATS!T83&gt;0),"YES","")</f>
        <v/>
      </c>
      <c r="I87" s="250"/>
      <c r="K87" s="234" t="str">
        <f>IF(AND(STATS!C83="BOF",STATS!T83&gt;0),"YES","")</f>
        <v/>
      </c>
      <c r="L87" s="251"/>
    </row>
    <row r="88" spans="1:12" x14ac:dyDescent="0.25">
      <c r="A88" s="235">
        <f>STATS!E84</f>
        <v>542</v>
      </c>
      <c r="B88" s="235" t="str">
        <f>STATS!H84</f>
        <v>WILLIAM</v>
      </c>
      <c r="C88" s="232" t="str">
        <f>IF(AND(STATS!C84="SWS",STATS!R84&gt;0),"YES","")</f>
        <v/>
      </c>
      <c r="D88" s="232"/>
      <c r="E88" s="232" t="str">
        <f>IF(AND(STATS!C84="SWS",STATS!S84&gt;0),"YES","")</f>
        <v>YES</v>
      </c>
      <c r="F88" s="19"/>
      <c r="H88" s="233" t="str">
        <f>IF(AND(STATS!C84="BOD",STATS!T84&gt;0),"YES","")</f>
        <v/>
      </c>
      <c r="I88" s="250"/>
      <c r="K88" s="234" t="str">
        <f>IF(AND(STATS!C84="BOF",STATS!T84&gt;0),"YES","")</f>
        <v/>
      </c>
      <c r="L88" s="251"/>
    </row>
    <row r="89" spans="1:12" x14ac:dyDescent="0.25">
      <c r="A89" s="235">
        <f>STATS!E85</f>
        <v>546</v>
      </c>
      <c r="B89" s="235" t="str">
        <f>STATS!H85</f>
        <v>VALLEY</v>
      </c>
      <c r="C89" s="232" t="str">
        <f>IF(AND(STATS!C85="SWS",STATS!R85&gt;0),"YES","")</f>
        <v/>
      </c>
      <c r="D89" s="232"/>
      <c r="E89" s="232" t="str">
        <f>IF(AND(STATS!C85="SWS",STATS!S85&gt;0),"YES","")</f>
        <v/>
      </c>
      <c r="F89" s="19"/>
      <c r="H89" s="233" t="str">
        <f>IF(AND(STATS!C85="BOD",STATS!T85&gt;0),"YES","")</f>
        <v>YES</v>
      </c>
      <c r="I89" s="250"/>
      <c r="K89" s="234" t="str">
        <f>IF(AND(STATS!C85="BOF",STATS!T85&gt;0),"YES","")</f>
        <v/>
      </c>
      <c r="L89" s="251"/>
    </row>
    <row r="90" spans="1:12" x14ac:dyDescent="0.25">
      <c r="A90" s="235">
        <f>STATS!E86</f>
        <v>547</v>
      </c>
      <c r="B90" s="235" t="str">
        <f>STATS!H86</f>
        <v>SPRING</v>
      </c>
      <c r="C90" s="232" t="str">
        <f>IF(AND(STATS!C86="SWS",STATS!R86&gt;0),"YES","")</f>
        <v/>
      </c>
      <c r="D90" s="232"/>
      <c r="E90" s="232" t="str">
        <f>IF(AND(STATS!C86="SWS",STATS!S86&gt;0),"YES","")</f>
        <v/>
      </c>
      <c r="F90" s="19"/>
      <c r="H90" s="233" t="str">
        <f>IF(AND(STATS!C86="BOD",STATS!T86&gt;0),"YES","")</f>
        <v/>
      </c>
      <c r="I90" s="250"/>
      <c r="K90" s="234" t="str">
        <f>IF(AND(STATS!C86="BOF",STATS!T86&gt;0),"YES","")</f>
        <v/>
      </c>
      <c r="L90" s="251"/>
    </row>
    <row r="91" spans="1:12" x14ac:dyDescent="0.25">
      <c r="A91" s="235">
        <f>STATS!E87</f>
        <v>549</v>
      </c>
      <c r="B91" s="235" t="str">
        <f>STATS!H87</f>
        <v>MM13 HWY21</v>
      </c>
      <c r="C91" s="232" t="str">
        <f>IF(AND(STATS!C87="SWS",STATS!R87&gt;0),"YES","")</f>
        <v/>
      </c>
      <c r="D91" s="232"/>
      <c r="E91" s="232" t="str">
        <f>IF(AND(STATS!C87="SWS",STATS!S87&gt;0),"YES","")</f>
        <v/>
      </c>
      <c r="F91" s="19"/>
      <c r="H91" s="233" t="str">
        <f>IF(AND(STATS!C87="BOD",STATS!T87&gt;0),"YES","")</f>
        <v>YES</v>
      </c>
      <c r="I91" s="250"/>
      <c r="K91" s="234" t="str">
        <f>IF(AND(STATS!C87="BOF",STATS!T87&gt;0),"YES","")</f>
        <v/>
      </c>
      <c r="L91" s="251"/>
    </row>
    <row r="92" spans="1:12" x14ac:dyDescent="0.25">
      <c r="A92" s="235">
        <f>STATS!E88</f>
        <v>550</v>
      </c>
      <c r="B92" s="235" t="str">
        <f>STATS!H88</f>
        <v>LUCKY</v>
      </c>
      <c r="C92" s="232" t="str">
        <f>IF(AND(STATS!C88="SWS",STATS!R88&gt;0),"YES","")</f>
        <v/>
      </c>
      <c r="D92" s="232"/>
      <c r="E92" s="232" t="str">
        <f>IF(AND(STATS!C88="SWS",STATS!S88&gt;0),"YES","")</f>
        <v/>
      </c>
      <c r="F92" s="19"/>
      <c r="H92" s="233" t="str">
        <f>IF(AND(STATS!C88="BOD",STATS!T88&gt;0),"YES","")</f>
        <v/>
      </c>
      <c r="I92" s="250"/>
      <c r="K92" s="234" t="str">
        <f>IF(AND(STATS!C88="BOF",STATS!T88&gt;0),"YES","")</f>
        <v>YES</v>
      </c>
      <c r="L92" s="251" t="s">
        <v>162</v>
      </c>
    </row>
    <row r="93" spans="1:12" x14ac:dyDescent="0.25">
      <c r="A93" s="235">
        <f>STATS!E89</f>
        <v>551</v>
      </c>
      <c r="B93" s="235" t="str">
        <f>STATS!H89</f>
        <v>SHORES</v>
      </c>
      <c r="C93" s="232" t="str">
        <f>IF(AND(STATS!C89="SWS",STATS!R89&gt;0),"YES","")</f>
        <v/>
      </c>
      <c r="D93" s="232"/>
      <c r="E93" s="232" t="str">
        <f>IF(AND(STATS!C89="SWS",STATS!S89&gt;0),"YES","")</f>
        <v/>
      </c>
      <c r="F93" s="19"/>
      <c r="H93" s="233" t="str">
        <f>IF(AND(STATS!C89="BOD",STATS!T89&gt;0),"YES","")</f>
        <v/>
      </c>
      <c r="I93" s="250"/>
      <c r="K93" s="234" t="str">
        <f>IF(AND(STATS!C89="BOF",STATS!T89&gt;0),"YES","")</f>
        <v/>
      </c>
      <c r="L93" s="251"/>
    </row>
    <row r="94" spans="1:12" x14ac:dyDescent="0.25">
      <c r="A94" s="235">
        <f>STATS!E90</f>
        <v>557</v>
      </c>
      <c r="B94" s="235" t="str">
        <f>STATS!H90</f>
        <v>MM117 I84</v>
      </c>
      <c r="C94" s="232" t="str">
        <f>IF(AND(STATS!C90="SWS",STATS!R90&gt;0),"YES","")</f>
        <v/>
      </c>
      <c r="D94" s="232"/>
      <c r="E94" s="232" t="str">
        <f>IF(AND(STATS!C90="SWS",STATS!S90&gt;0),"YES","")</f>
        <v/>
      </c>
      <c r="F94" s="19"/>
      <c r="H94" s="233" t="str">
        <f>IF(AND(STATS!C90="BOD",STATS!T90&gt;0),"YES","")</f>
        <v/>
      </c>
      <c r="I94" s="250"/>
      <c r="K94" s="234" t="str">
        <f>IF(AND(STATS!C90="BOF",STATS!T90&gt;0),"YES","")</f>
        <v/>
      </c>
      <c r="L94" s="251"/>
    </row>
    <row r="95" spans="1:12" x14ac:dyDescent="0.25">
      <c r="A95" s="235">
        <f>STATS!E91</f>
        <v>560</v>
      </c>
      <c r="B95" s="235" t="str">
        <f>STATS!H91</f>
        <v>NINE</v>
      </c>
      <c r="C95" s="232" t="str">
        <f>IF(AND(STATS!C91="SWS",STATS!R91&gt;0),"YES","")</f>
        <v/>
      </c>
      <c r="D95" s="232"/>
      <c r="E95" s="232" t="str">
        <f>IF(AND(STATS!C91="SWS",STATS!S91&gt;0),"YES","")</f>
        <v/>
      </c>
      <c r="F95" s="19"/>
      <c r="H95" s="233" t="str">
        <f>IF(AND(STATS!C91="BOD",STATS!T91&gt;0),"YES","")</f>
        <v/>
      </c>
      <c r="I95" s="250"/>
      <c r="K95" s="234" t="str">
        <f>IF(AND(STATS!C91="BOF",STATS!T91&gt;0),"YES","")</f>
        <v/>
      </c>
      <c r="L95" s="251"/>
    </row>
    <row r="96" spans="1:12" x14ac:dyDescent="0.25">
      <c r="A96" s="235">
        <f>STATS!E92</f>
        <v>561</v>
      </c>
      <c r="B96" s="235" t="str">
        <f>STATS!H92</f>
        <v>PORCUPINE</v>
      </c>
      <c r="C96" s="232" t="str">
        <f>IF(AND(STATS!C92="SWS",STATS!R92&gt;0),"YES","")</f>
        <v/>
      </c>
      <c r="D96" s="232"/>
      <c r="E96" s="232" t="str">
        <f>IF(AND(STATS!C92="SWS",STATS!S92&gt;0),"YES","")</f>
        <v/>
      </c>
      <c r="F96" s="19"/>
      <c r="H96" s="233" t="str">
        <f>IF(AND(STATS!C92="BOD",STATS!T92&gt;0),"YES","")</f>
        <v/>
      </c>
      <c r="I96" s="250"/>
      <c r="K96" s="234" t="str">
        <f>IF(AND(STATS!C92="BOF",STATS!T92&gt;0),"YES","")</f>
        <v/>
      </c>
      <c r="L96" s="251"/>
    </row>
    <row r="97" spans="1:12" x14ac:dyDescent="0.25">
      <c r="A97" s="235">
        <f>STATS!E93</f>
        <v>564</v>
      </c>
      <c r="B97" s="235" t="str">
        <f>STATS!H93</f>
        <v>EIGHT</v>
      </c>
      <c r="C97" s="232" t="str">
        <f>IF(AND(STATS!C93="SWS",STATS!R93&gt;0),"YES","")</f>
        <v/>
      </c>
      <c r="D97" s="232"/>
      <c r="E97" s="232" t="str">
        <f>IF(AND(STATS!C93="SWS",STATS!S93&gt;0),"YES","")</f>
        <v/>
      </c>
      <c r="F97" s="19"/>
      <c r="H97" s="233" t="str">
        <f>IF(AND(STATS!C93="BOD",STATS!T93&gt;0),"YES","")</f>
        <v/>
      </c>
      <c r="I97" s="250"/>
      <c r="K97" s="234" t="str">
        <f>IF(AND(STATS!C93="BOF",STATS!T93&gt;0),"YES","")</f>
        <v/>
      </c>
      <c r="L97" s="251"/>
    </row>
    <row r="98" spans="1:12" x14ac:dyDescent="0.25">
      <c r="A98" s="235">
        <f>STATS!E94</f>
        <v>565</v>
      </c>
      <c r="B98" s="235" t="str">
        <f>STATS!H94</f>
        <v>LIZZY</v>
      </c>
      <c r="C98" s="232" t="str">
        <f>IF(AND(STATS!C94="SWS",STATS!R94&gt;0),"YES","")</f>
        <v/>
      </c>
      <c r="D98" s="232"/>
      <c r="E98" s="232" t="str">
        <f>IF(AND(STATS!C94="SWS",STATS!S94&gt;0),"YES","")</f>
        <v/>
      </c>
      <c r="F98" s="19"/>
      <c r="H98" s="233" t="str">
        <f>IF(AND(STATS!C94="BOD",STATS!T94&gt;0),"YES","")</f>
        <v/>
      </c>
      <c r="I98" s="250"/>
      <c r="K98" s="234" t="str">
        <f>IF(AND(STATS!C94="BOF",STATS!T94&gt;0),"YES","")</f>
        <v/>
      </c>
      <c r="L98" s="251"/>
    </row>
    <row r="99" spans="1:12" x14ac:dyDescent="0.25">
      <c r="A99" s="235">
        <f>STATS!E95</f>
        <v>569</v>
      </c>
      <c r="B99" s="235" t="str">
        <f>STATS!H95</f>
        <v>OFFROAD</v>
      </c>
      <c r="C99" s="232" t="str">
        <f>IF(AND(STATS!C95="SWS",STATS!R95&gt;0),"YES","")</f>
        <v/>
      </c>
      <c r="D99" s="232"/>
      <c r="E99" s="232" t="str">
        <f>IF(AND(STATS!C95="SWS",STATS!S95&gt;0),"YES","")</f>
        <v/>
      </c>
      <c r="F99" s="19"/>
      <c r="H99" s="233" t="str">
        <f>IF(AND(STATS!C95="BOD",STATS!T95&gt;0),"YES","")</f>
        <v/>
      </c>
      <c r="I99" s="250"/>
      <c r="K99" s="234" t="str">
        <f>IF(AND(STATS!C95="BOF",STATS!T95&gt;0),"YES","")</f>
        <v/>
      </c>
      <c r="L99" s="251"/>
    </row>
    <row r="100" spans="1:12" x14ac:dyDescent="0.25">
      <c r="A100" s="235">
        <f>STATS!E96</f>
        <v>571</v>
      </c>
      <c r="B100" s="235" t="str">
        <f>STATS!H96</f>
        <v>LAKE</v>
      </c>
      <c r="C100" s="232" t="str">
        <f>IF(AND(STATS!C96="SWS",STATS!R96&gt;0),"YES","")</f>
        <v/>
      </c>
      <c r="D100" s="232"/>
      <c r="E100" s="232" t="str">
        <f>IF(AND(STATS!C96="SWS",STATS!S96&gt;0),"YES","")</f>
        <v/>
      </c>
      <c r="F100" s="19"/>
      <c r="H100" s="233" t="str">
        <f>IF(AND(STATS!C96="BOD",STATS!T96&gt;0),"YES","")</f>
        <v/>
      </c>
      <c r="I100" s="250"/>
      <c r="K100" s="234" t="str">
        <f>IF(AND(STATS!C96="BOF",STATS!T96&gt;0),"YES","")</f>
        <v/>
      </c>
      <c r="L100" s="251"/>
    </row>
    <row r="101" spans="1:12" x14ac:dyDescent="0.25">
      <c r="A101" s="235">
        <f>STATS!E97</f>
        <v>572</v>
      </c>
      <c r="B101" s="235" t="str">
        <f>STATS!H97</f>
        <v>WOLF</v>
      </c>
      <c r="C101" s="232" t="str">
        <f>IF(AND(STATS!C97="SWS",STATS!R97&gt;0),"YES","")</f>
        <v/>
      </c>
      <c r="D101" s="232"/>
      <c r="E101" s="232" t="str">
        <f>IF(AND(STATS!C97="SWS",STATS!S97&gt;0),"YES","")</f>
        <v/>
      </c>
      <c r="F101" s="19"/>
      <c r="H101" s="233" t="str">
        <f>IF(AND(STATS!C97="BOD",STATS!T97&gt;0),"YES","")</f>
        <v/>
      </c>
      <c r="I101" s="250"/>
      <c r="K101" s="234" t="str">
        <f>IF(AND(STATS!C97="BOF",STATS!T97&gt;0),"YES","")</f>
        <v/>
      </c>
      <c r="L101" s="251"/>
    </row>
    <row r="102" spans="1:12" x14ac:dyDescent="0.25">
      <c r="A102" s="235">
        <f>STATS!E98</f>
        <v>578</v>
      </c>
      <c r="B102" s="235" t="str">
        <f>STATS!H98</f>
        <v>AIRPLAY</v>
      </c>
      <c r="C102" s="232" t="str">
        <f>IF(AND(STATS!C98="SWS",STATS!R98&gt;0),"YES","")</f>
        <v/>
      </c>
      <c r="D102" s="232"/>
      <c r="E102" s="232" t="str">
        <f>IF(AND(STATS!C98="SWS",STATS!S98&gt;0),"YES","")</f>
        <v/>
      </c>
      <c r="F102" s="19"/>
      <c r="H102" s="233" t="str">
        <f>IF(AND(STATS!C98="BOD",STATS!T98&gt;0),"YES","")</f>
        <v/>
      </c>
      <c r="I102" s="250"/>
      <c r="K102" s="234" t="str">
        <f>IF(AND(STATS!C98="BOF",STATS!T98&gt;0),"YES","")</f>
        <v/>
      </c>
      <c r="L102" s="251"/>
    </row>
    <row r="103" spans="1:12" x14ac:dyDescent="0.25">
      <c r="A103" s="235">
        <f>STATS!E99</f>
        <v>580</v>
      </c>
      <c r="B103" s="235" t="str">
        <f>STATS!H99</f>
        <v>HABIT</v>
      </c>
      <c r="C103" s="232" t="str">
        <f>IF(AND(STATS!C99="SWS",STATS!R99&gt;0),"YES","")</f>
        <v/>
      </c>
      <c r="D103" s="232"/>
      <c r="E103" s="232" t="str">
        <f>IF(AND(STATS!C99="SWS",STATS!S99&gt;0),"YES","")</f>
        <v/>
      </c>
      <c r="F103" s="19"/>
      <c r="H103" s="233" t="str">
        <f>IF(AND(STATS!C99="BOD",STATS!T99&gt;0),"YES","")</f>
        <v/>
      </c>
      <c r="I103" s="250"/>
      <c r="K103" s="234" t="str">
        <f>IF(AND(STATS!C99="BOF",STATS!T99&gt;0),"YES","")</f>
        <v/>
      </c>
      <c r="L103" s="251"/>
    </row>
    <row r="104" spans="1:12" x14ac:dyDescent="0.25">
      <c r="A104" s="235">
        <f>STATS!E100</f>
        <v>581</v>
      </c>
      <c r="B104" s="235" t="str">
        <f>STATS!H100</f>
        <v>TRIPLE</v>
      </c>
      <c r="C104" s="232" t="str">
        <f>IF(AND(STATS!C100="SWS",STATS!R100&gt;0),"YES","")</f>
        <v/>
      </c>
      <c r="D104" s="232"/>
      <c r="E104" s="232" t="str">
        <f>IF(AND(STATS!C100="SWS",STATS!S100&gt;0),"YES","")</f>
        <v/>
      </c>
      <c r="F104" s="19"/>
      <c r="H104" s="233" t="str">
        <f>IF(AND(STATS!C100="BOD",STATS!T100&gt;0),"YES","")</f>
        <v/>
      </c>
      <c r="I104" s="250"/>
      <c r="K104" s="234" t="str">
        <f>IF(AND(STATS!C100="BOF",STATS!T100&gt;0),"YES","")</f>
        <v/>
      </c>
      <c r="L104" s="251"/>
    </row>
    <row r="105" spans="1:12" x14ac:dyDescent="0.25">
      <c r="A105" s="235">
        <f>STATS!E101</f>
        <v>583</v>
      </c>
      <c r="B105" s="235" t="str">
        <f>STATS!H101</f>
        <v>EBY</v>
      </c>
      <c r="C105" s="232" t="str">
        <f>IF(AND(STATS!C101="SWS",STATS!R101&gt;0),"YES","")</f>
        <v/>
      </c>
      <c r="D105" s="232"/>
      <c r="E105" s="232" t="str">
        <f>IF(AND(STATS!C101="SWS",STATS!S101&gt;0),"YES","")</f>
        <v/>
      </c>
      <c r="F105" s="19"/>
      <c r="H105" s="233" t="str">
        <f>IF(AND(STATS!C101="BOD",STATS!T101&gt;0),"YES","")</f>
        <v/>
      </c>
      <c r="I105" s="250"/>
      <c r="K105" s="234" t="str">
        <f>IF(AND(STATS!C101="BOF",STATS!T101&gt;0),"YES","")</f>
        <v/>
      </c>
      <c r="L105" s="251"/>
    </row>
    <row r="106" spans="1:12" x14ac:dyDescent="0.25">
      <c r="A106" s="235">
        <f>STATS!E102</f>
        <v>596</v>
      </c>
      <c r="B106" s="235" t="str">
        <f>STATS!H102</f>
        <v>XMAS</v>
      </c>
      <c r="C106" s="232" t="str">
        <f>IF(AND(STATS!C102="SWS",STATS!R102&gt;0),"YES","")</f>
        <v/>
      </c>
      <c r="D106" s="232"/>
      <c r="E106" s="232" t="str">
        <f>IF(AND(STATS!C102="SWS",STATS!S102&gt;0),"YES","")</f>
        <v/>
      </c>
      <c r="F106" s="19"/>
      <c r="H106" s="233" t="str">
        <f>IF(AND(STATS!C102="BOD",STATS!T102&gt;0),"YES","")</f>
        <v>YES</v>
      </c>
      <c r="I106" s="250" t="s">
        <v>162</v>
      </c>
      <c r="K106" s="234" t="str">
        <f>IF(AND(STATS!C102="BOF",STATS!T102&gt;0),"YES","")</f>
        <v/>
      </c>
      <c r="L106" s="251"/>
    </row>
    <row r="107" spans="1:12" x14ac:dyDescent="0.25">
      <c r="A107" s="235">
        <f>STATS!E103</f>
        <v>615</v>
      </c>
      <c r="B107" s="235" t="str">
        <f>STATS!H103</f>
        <v>VISTA</v>
      </c>
      <c r="C107" s="232" t="str">
        <f>IF(AND(STATS!C103="SWS",STATS!R103&gt;0),"YES","")</f>
        <v/>
      </c>
      <c r="D107" s="232"/>
      <c r="E107" s="232" t="str">
        <f>IF(AND(STATS!C103="SWS",STATS!S103&gt;0),"YES","")</f>
        <v/>
      </c>
      <c r="F107" s="19"/>
      <c r="H107" s="233" t="str">
        <f>IF(AND(STATS!C103="BOD",STATS!T103&gt;0),"YES","")</f>
        <v/>
      </c>
      <c r="I107" s="250"/>
      <c r="K107" s="234" t="str">
        <f>IF(AND(STATS!C103="BOF",STATS!T103&gt;0),"YES","")</f>
        <v/>
      </c>
      <c r="L107" s="251"/>
    </row>
    <row r="108" spans="1:12" x14ac:dyDescent="0.25">
      <c r="A108" s="235">
        <f>STATS!E104</f>
        <v>620</v>
      </c>
      <c r="B108" s="235" t="str">
        <f>STATS!H104</f>
        <v>DALEY</v>
      </c>
      <c r="C108" s="232" t="str">
        <f>IF(AND(STATS!C104="SWS",STATS!R104&gt;0),"YES","")</f>
        <v/>
      </c>
      <c r="D108" s="232"/>
      <c r="E108" s="232" t="str">
        <f>IF(AND(STATS!C104="SWS",STATS!S104&gt;0),"YES","")</f>
        <v/>
      </c>
      <c r="F108" s="19"/>
      <c r="H108" s="233" t="str">
        <f>IF(AND(STATS!C104="BOD",STATS!T104&gt;0),"YES","")</f>
        <v/>
      </c>
      <c r="I108" s="250"/>
      <c r="K108" s="234" t="str">
        <f>IF(AND(STATS!C104="BOF",STATS!T104&gt;0),"YES","")</f>
        <v/>
      </c>
      <c r="L108" s="251"/>
    </row>
    <row r="109" spans="1:12" x14ac:dyDescent="0.25">
      <c r="A109" s="235">
        <f>STATS!E105</f>
        <v>623</v>
      </c>
      <c r="B109" s="235" t="str">
        <f>STATS!H105</f>
        <v>HONEY</v>
      </c>
      <c r="C109" s="232" t="str">
        <f>IF(AND(STATS!C105="SWS",STATS!R105&gt;0),"YES","")</f>
        <v/>
      </c>
      <c r="D109" s="232"/>
      <c r="E109" s="232" t="str">
        <f>IF(AND(STATS!C105="SWS",STATS!S105&gt;0),"YES","")</f>
        <v/>
      </c>
      <c r="F109" s="19"/>
      <c r="H109" s="233" t="str">
        <f>IF(AND(STATS!C105="BOD",STATS!T105&gt;0),"YES","")</f>
        <v/>
      </c>
      <c r="I109" s="250"/>
      <c r="K109" s="234" t="str">
        <f>IF(AND(STATS!C105="BOF",STATS!T105&gt;0),"YES","")</f>
        <v/>
      </c>
      <c r="L109" s="251"/>
    </row>
    <row r="110" spans="1:12" x14ac:dyDescent="0.25">
      <c r="A110" s="235">
        <f>STATS!E106</f>
        <v>624</v>
      </c>
      <c r="B110" s="235" t="str">
        <f>STATS!H106</f>
        <v>BIGHORSE</v>
      </c>
      <c r="C110" s="232" t="str">
        <f>IF(AND(STATS!C106="SWS",STATS!R106&gt;0),"YES","")</f>
        <v/>
      </c>
      <c r="D110" s="232"/>
      <c r="E110" s="232" t="str">
        <f>IF(AND(STATS!C106="SWS",STATS!S106&gt;0),"YES","")</f>
        <v/>
      </c>
      <c r="F110" s="19"/>
      <c r="H110" s="233" t="str">
        <f>IF(AND(STATS!C106="BOD",STATS!T106&gt;0),"YES","")</f>
        <v/>
      </c>
      <c r="I110" s="250"/>
      <c r="K110" s="234" t="str">
        <f>IF(AND(STATS!C106="BOF",STATS!T106&gt;0),"YES","")</f>
        <v/>
      </c>
      <c r="L110" s="251"/>
    </row>
    <row r="111" spans="1:12" x14ac:dyDescent="0.25">
      <c r="A111" s="235">
        <f>STATS!E107</f>
        <v>625</v>
      </c>
      <c r="B111" s="235" t="str">
        <f>STATS!H107</f>
        <v>ORCHARD</v>
      </c>
      <c r="C111" s="232" t="str">
        <f>IF(AND(STATS!C107="SWS",STATS!R107&gt;0),"YES","")</f>
        <v/>
      </c>
      <c r="D111" s="232"/>
      <c r="E111" s="232" t="str">
        <f>IF(AND(STATS!C107="SWS",STATS!S107&gt;0),"YES","")</f>
        <v/>
      </c>
      <c r="F111" s="19"/>
      <c r="H111" s="233" t="str">
        <f>IF(AND(STATS!C107="BOD",STATS!T107&gt;0),"YES","")</f>
        <v>YES</v>
      </c>
      <c r="I111" s="250" t="s">
        <v>162</v>
      </c>
      <c r="K111" s="234" t="str">
        <f>IF(AND(STATS!C107="BOF",STATS!T107&gt;0),"YES","")</f>
        <v/>
      </c>
      <c r="L111" s="251"/>
    </row>
    <row r="112" spans="1:12" x14ac:dyDescent="0.25">
      <c r="A112" s="235">
        <f>STATS!E108</f>
        <v>630</v>
      </c>
      <c r="B112" s="235" t="str">
        <f>STATS!H108</f>
        <v>LIGHTNING</v>
      </c>
      <c r="C112" s="232" t="str">
        <f>IF(AND(STATS!C108="SWS",STATS!R108&gt;0),"YES","")</f>
        <v/>
      </c>
      <c r="D112" s="232"/>
      <c r="E112" s="232" t="str">
        <f>IF(AND(STATS!C108="SWS",STATS!S108&gt;0),"YES","")</f>
        <v/>
      </c>
      <c r="F112" s="19"/>
      <c r="H112" s="233" t="str">
        <f>IF(AND(STATS!C108="BOD",STATS!T108&gt;0),"YES","")</f>
        <v/>
      </c>
      <c r="I112" s="250"/>
      <c r="K112" s="234" t="str">
        <f>IF(AND(STATS!C108="BOF",STATS!T108&gt;0),"YES","")</f>
        <v/>
      </c>
      <c r="L112" s="251"/>
    </row>
    <row r="113" spans="1:12" x14ac:dyDescent="0.25">
      <c r="A113" s="235">
        <f>STATS!E109</f>
        <v>631</v>
      </c>
      <c r="B113" s="235" t="str">
        <f>STATS!H109</f>
        <v>FENCE</v>
      </c>
      <c r="C113" s="232" t="str">
        <f>IF(AND(STATS!C109="SWS",STATS!R109&gt;0),"YES","")</f>
        <v/>
      </c>
      <c r="D113" s="232"/>
      <c r="E113" s="232" t="str">
        <f>IF(AND(STATS!C109="SWS",STATS!S109&gt;0),"YES","")</f>
        <v/>
      </c>
      <c r="F113" s="19"/>
      <c r="H113" s="233" t="str">
        <f>IF(AND(STATS!C109="BOD",STATS!T109&gt;0),"YES","")</f>
        <v/>
      </c>
      <c r="I113" s="250"/>
      <c r="K113" s="234" t="str">
        <f>IF(AND(STATS!C109="BOF",STATS!T109&gt;0),"YES","")</f>
        <v/>
      </c>
      <c r="L113" s="251"/>
    </row>
    <row r="114" spans="1:12" x14ac:dyDescent="0.25">
      <c r="A114" s="235">
        <f>STATS!E110</f>
        <v>632</v>
      </c>
      <c r="B114" s="235" t="str">
        <f>STATS!H110</f>
        <v>CASNER</v>
      </c>
      <c r="C114" s="232" t="str">
        <f>IF(AND(STATS!C110="SWS",STATS!R110&gt;0),"YES","")</f>
        <v/>
      </c>
      <c r="D114" s="232"/>
      <c r="E114" s="232" t="str">
        <f>IF(AND(STATS!C110="SWS",STATS!S110&gt;0),"YES","")</f>
        <v/>
      </c>
      <c r="F114" s="19"/>
      <c r="H114" s="233" t="str">
        <f>IF(AND(STATS!C110="BOD",STATS!T110&gt;0),"YES","")</f>
        <v/>
      </c>
      <c r="I114" s="250"/>
      <c r="K114" s="234" t="str">
        <f>IF(AND(STATS!C110="BOF",STATS!T110&gt;0),"YES","")</f>
        <v/>
      </c>
      <c r="L114" s="251"/>
    </row>
    <row r="115" spans="1:12" x14ac:dyDescent="0.25">
      <c r="A115" s="235">
        <f>STATS!E111</f>
        <v>633</v>
      </c>
      <c r="B115" s="235" t="str">
        <f>STATS!H111</f>
        <v>HANGING</v>
      </c>
      <c r="C115" s="232" t="str">
        <f>IF(AND(STATS!C111="SWS",STATS!R111&gt;0),"YES","")</f>
        <v/>
      </c>
      <c r="D115" s="232"/>
      <c r="E115" s="232" t="str">
        <f>IF(AND(STATS!C111="SWS",STATS!S111&gt;0),"YES","")</f>
        <v/>
      </c>
      <c r="F115" s="19"/>
      <c r="H115" s="233" t="str">
        <f>IF(AND(STATS!C111="BOD",STATS!T111&gt;0),"YES","")</f>
        <v/>
      </c>
      <c r="I115" s="250"/>
      <c r="K115" s="234" t="str">
        <f>IF(AND(STATS!C111="BOF",STATS!T111&gt;0),"YES","")</f>
        <v/>
      </c>
      <c r="L115" s="251"/>
    </row>
    <row r="116" spans="1:12" x14ac:dyDescent="0.25">
      <c r="A116" s="235">
        <f>STATS!E112</f>
        <v>634</v>
      </c>
      <c r="B116" s="235" t="str">
        <f>STATS!H112</f>
        <v>PONDEROSA</v>
      </c>
      <c r="C116" s="232" t="str">
        <f>IF(AND(STATS!C112="SWS",STATS!R112&gt;0),"YES","")</f>
        <v/>
      </c>
      <c r="D116" s="232"/>
      <c r="E116" s="232" t="str">
        <f>IF(AND(STATS!C112="SWS",STATS!S112&gt;0),"YES","")</f>
        <v/>
      </c>
      <c r="F116" s="19"/>
      <c r="H116" s="233" t="str">
        <f>IF(AND(STATS!C112="BOD",STATS!T112&gt;0),"YES","")</f>
        <v/>
      </c>
      <c r="I116" s="250"/>
      <c r="K116" s="234" t="str">
        <f>IF(AND(STATS!C112="BOF",STATS!T112&gt;0),"YES","")</f>
        <v/>
      </c>
      <c r="L116" s="251"/>
    </row>
    <row r="117" spans="1:12" x14ac:dyDescent="0.25">
      <c r="A117" s="235">
        <f>STATS!E113</f>
        <v>635</v>
      </c>
      <c r="B117" s="235" t="str">
        <f>STATS!H113</f>
        <v>MILLER</v>
      </c>
      <c r="C117" s="232" t="str">
        <f>IF(AND(STATS!C113="SWS",STATS!R113&gt;0),"YES","")</f>
        <v/>
      </c>
      <c r="D117" s="232"/>
      <c r="E117" s="232" t="str">
        <f>IF(AND(STATS!C113="SWS",STATS!S113&gt;0),"YES","")</f>
        <v/>
      </c>
      <c r="F117" s="19"/>
      <c r="H117" s="233" t="str">
        <f>IF(AND(STATS!C113="BOD",STATS!T113&gt;0),"YES","")</f>
        <v/>
      </c>
      <c r="I117" s="250"/>
      <c r="K117" s="234" t="str">
        <f>IF(AND(STATS!C113="BOF",STATS!T113&gt;0),"YES","")</f>
        <v/>
      </c>
      <c r="L117" s="251"/>
    </row>
    <row r="118" spans="1:12" x14ac:dyDescent="0.25">
      <c r="A118" s="235">
        <f>STATS!E114</f>
        <v>636</v>
      </c>
      <c r="B118" s="235" t="str">
        <f>STATS!H114</f>
        <v>WARM</v>
      </c>
      <c r="C118" s="232" t="str">
        <f>IF(AND(STATS!C114="SWS",STATS!R114&gt;0),"YES","")</f>
        <v/>
      </c>
      <c r="D118" s="232"/>
      <c r="E118" s="232" t="str">
        <f>IF(AND(STATS!C114="SWS",STATS!S114&gt;0),"YES","")</f>
        <v/>
      </c>
      <c r="F118" s="19"/>
      <c r="H118" s="233" t="str">
        <f>IF(AND(STATS!C114="BOD",STATS!T114&gt;0),"YES","")</f>
        <v/>
      </c>
      <c r="I118" s="250"/>
      <c r="K118" s="234" t="str">
        <f>IF(AND(STATS!C114="BOF",STATS!T114&gt;0),"YES","")</f>
        <v/>
      </c>
      <c r="L118" s="251"/>
    </row>
    <row r="119" spans="1:12" x14ac:dyDescent="0.25">
      <c r="A119" s="235">
        <f>STATS!E115</f>
        <v>641</v>
      </c>
      <c r="B119" s="235" t="str">
        <f>STATS!H115</f>
        <v>FIVEMILE</v>
      </c>
      <c r="C119" s="232" t="str">
        <f>IF(AND(STATS!C115="SWS",STATS!R115&gt;0),"YES","")</f>
        <v/>
      </c>
      <c r="D119" s="232"/>
      <c r="E119" s="232" t="str">
        <f>IF(AND(STATS!C115="SWS",STATS!S115&gt;0),"YES","")</f>
        <v/>
      </c>
      <c r="F119" s="19"/>
      <c r="H119" s="233" t="str">
        <f>IF(AND(STATS!C115="BOD",STATS!T115&gt;0),"YES","")</f>
        <v/>
      </c>
      <c r="I119" s="250"/>
      <c r="K119" s="234" t="str">
        <f>IF(AND(STATS!C115="BOF",STATS!T115&gt;0),"YES","")</f>
        <v/>
      </c>
      <c r="L119" s="251"/>
    </row>
    <row r="120" spans="1:12" x14ac:dyDescent="0.25">
      <c r="A120" s="235">
        <f>STATS!E116</f>
        <v>642</v>
      </c>
      <c r="B120" s="235" t="str">
        <f>STATS!H116</f>
        <v>HEN</v>
      </c>
      <c r="C120" s="232" t="str">
        <f>IF(AND(STATS!C116="SWS",STATS!R116&gt;0),"YES","")</f>
        <v/>
      </c>
      <c r="D120" s="232"/>
      <c r="E120" s="232" t="str">
        <f>IF(AND(STATS!C116="SWS",STATS!S116&gt;0),"YES","")</f>
        <v>YES</v>
      </c>
      <c r="F120" s="19"/>
      <c r="H120" s="233" t="str">
        <f>IF(AND(STATS!C116="BOD",STATS!T116&gt;0),"YES","")</f>
        <v/>
      </c>
      <c r="I120" s="250"/>
      <c r="K120" s="234" t="str">
        <f>IF(AND(STATS!C116="BOF",STATS!T116&gt;0),"YES","")</f>
        <v/>
      </c>
      <c r="L120" s="251"/>
    </row>
    <row r="121" spans="1:12" x14ac:dyDescent="0.25">
      <c r="A121" s="235">
        <f>STATS!E117</f>
        <v>643</v>
      </c>
      <c r="B121" s="235" t="str">
        <f>STATS!H117</f>
        <v>HOLLYWOOD</v>
      </c>
      <c r="C121" s="232" t="str">
        <f>IF(AND(STATS!C117="SWS",STATS!R117&gt;0),"YES","")</f>
        <v/>
      </c>
      <c r="D121" s="232"/>
      <c r="E121" s="232" t="str">
        <f>IF(AND(STATS!C117="SWS",STATS!S117&gt;0),"YES","")</f>
        <v/>
      </c>
      <c r="F121" s="19"/>
      <c r="H121" s="233" t="str">
        <f>IF(AND(STATS!C117="BOD",STATS!T117&gt;0),"YES","")</f>
        <v/>
      </c>
      <c r="I121" s="250"/>
      <c r="K121" s="234" t="str">
        <f>IF(AND(STATS!C117="BOF",STATS!T117&gt;0),"YES","")</f>
        <v/>
      </c>
      <c r="L121" s="251"/>
    </row>
    <row r="122" spans="1:12" x14ac:dyDescent="0.25">
      <c r="A122" s="235">
        <f>STATS!E118</f>
        <v>644</v>
      </c>
      <c r="B122" s="235" t="str">
        <f>STATS!H118</f>
        <v>WEST</v>
      </c>
      <c r="C122" s="232" t="str">
        <f>IF(AND(STATS!C118="SWS",STATS!R118&gt;0),"YES","")</f>
        <v/>
      </c>
      <c r="D122" s="232"/>
      <c r="E122" s="232" t="str">
        <f>IF(AND(STATS!C118="SWS",STATS!S118&gt;0),"YES","")</f>
        <v/>
      </c>
      <c r="F122" s="19"/>
      <c r="H122" s="233" t="str">
        <f>IF(AND(STATS!C118="BOD",STATS!T118&gt;0),"YES","")</f>
        <v/>
      </c>
      <c r="I122" s="250"/>
      <c r="K122" s="234" t="str">
        <f>IF(AND(STATS!C118="BOF",STATS!T118&gt;0),"YES","")</f>
        <v/>
      </c>
      <c r="L122" s="251"/>
    </row>
    <row r="123" spans="1:12" x14ac:dyDescent="0.25">
      <c r="A123" s="235">
        <f>STATS!E119</f>
        <v>646</v>
      </c>
      <c r="B123" s="235" t="str">
        <f>STATS!H119</f>
        <v>WHITEHAWK</v>
      </c>
      <c r="C123" s="232" t="str">
        <f>IF(AND(STATS!C119="SWS",STATS!R119&gt;0),"YES","")</f>
        <v/>
      </c>
      <c r="D123" s="232"/>
      <c r="E123" s="232" t="str">
        <f>IF(AND(STATS!C119="SWS",STATS!S119&gt;0),"YES","")</f>
        <v/>
      </c>
      <c r="F123" s="19"/>
      <c r="H123" s="233" t="str">
        <f>IF(AND(STATS!C119="BOD",STATS!T119&gt;0),"YES","")</f>
        <v/>
      </c>
      <c r="I123" s="250"/>
      <c r="K123" s="234" t="str">
        <f>IF(AND(STATS!C119="BOF",STATS!T119&gt;0),"YES","")</f>
        <v/>
      </c>
      <c r="L123" s="251"/>
    </row>
    <row r="124" spans="1:12" x14ac:dyDescent="0.25">
      <c r="A124" s="235">
        <f>STATS!E120</f>
        <v>648</v>
      </c>
      <c r="B124" s="235" t="str">
        <f>STATS!H120</f>
        <v>MM26 HWY 21</v>
      </c>
      <c r="C124" s="232" t="str">
        <f>IF(AND(STATS!C120="SWS",STATS!R120&gt;0),"YES","")</f>
        <v/>
      </c>
      <c r="D124" s="232"/>
      <c r="E124" s="232" t="str">
        <f>IF(AND(STATS!C120="SWS",STATS!S120&gt;0),"YES","")</f>
        <v/>
      </c>
      <c r="F124" s="19"/>
      <c r="H124" s="233" t="str">
        <f>IF(AND(STATS!C120="BOD",STATS!T120&gt;0),"YES","")</f>
        <v/>
      </c>
      <c r="I124" s="250"/>
      <c r="K124" s="234" t="str">
        <f>IF(AND(STATS!C120="BOF",STATS!T120&gt;0),"YES","")</f>
        <v/>
      </c>
      <c r="L124" s="251"/>
    </row>
    <row r="125" spans="1:12" x14ac:dyDescent="0.25">
      <c r="A125" s="235">
        <f>STATS!E121</f>
        <v>650</v>
      </c>
      <c r="B125" s="235" t="str">
        <f>STATS!H121</f>
        <v>AVELENE</v>
      </c>
      <c r="C125" s="232" t="str">
        <f>IF(AND(STATS!C121="SWS",STATS!R121&gt;0),"YES","")</f>
        <v/>
      </c>
      <c r="D125" s="232"/>
      <c r="E125" s="232" t="str">
        <f>IF(AND(STATS!C121="SWS",STATS!S121&gt;0),"YES","")</f>
        <v>YES</v>
      </c>
      <c r="F125" s="19"/>
      <c r="H125" s="233" t="str">
        <f>IF(AND(STATS!C121="BOD",STATS!T121&gt;0),"YES","")</f>
        <v/>
      </c>
      <c r="I125" s="250"/>
      <c r="K125" s="234" t="str">
        <f>IF(AND(STATS!C121="BOF",STATS!T121&gt;0),"YES","")</f>
        <v/>
      </c>
      <c r="L125" s="251"/>
    </row>
    <row r="126" spans="1:12" x14ac:dyDescent="0.25">
      <c r="A126" s="235">
        <f>STATS!E122</f>
        <v>654</v>
      </c>
      <c r="B126" s="235" t="str">
        <f>STATS!H122</f>
        <v>LEWIS</v>
      </c>
      <c r="C126" s="232" t="str">
        <f>IF(AND(STATS!C122="SWS",STATS!R122&gt;0),"YES","")</f>
        <v>YES</v>
      </c>
      <c r="D126" s="232"/>
      <c r="E126" s="232" t="str">
        <f>IF(AND(STATS!C122="SWS",STATS!S122&gt;0),"YES","")</f>
        <v/>
      </c>
      <c r="F126" s="19"/>
      <c r="H126" s="233" t="str">
        <f>IF(AND(STATS!C122="BOD",STATS!T122&gt;0),"YES","")</f>
        <v/>
      </c>
      <c r="I126" s="250"/>
      <c r="K126" s="234" t="str">
        <f>IF(AND(STATS!C122="BOF",STATS!T122&gt;0),"YES","")</f>
        <v/>
      </c>
      <c r="L126" s="251"/>
    </row>
    <row r="127" spans="1:12" x14ac:dyDescent="0.25">
      <c r="A127" s="235">
        <f>STATS!E123</f>
        <v>657</v>
      </c>
      <c r="B127" s="235" t="str">
        <f>STATS!H123</f>
        <v>ELK</v>
      </c>
      <c r="C127" s="232" t="str">
        <f>IF(AND(STATS!C123="SWS",STATS!R123&gt;0),"YES","")</f>
        <v/>
      </c>
      <c r="D127" s="232"/>
      <c r="E127" s="232" t="str">
        <f>IF(AND(STATS!C123="SWS",STATS!S123&gt;0),"YES","")</f>
        <v/>
      </c>
      <c r="F127" s="19"/>
      <c r="H127" s="233" t="str">
        <f>IF(AND(STATS!C123="BOD",STATS!T123&gt;0),"YES","")</f>
        <v/>
      </c>
      <c r="I127" s="250"/>
      <c r="K127" s="234" t="str">
        <f>IF(AND(STATS!C123="BOF",STATS!T123&gt;0),"YES","")</f>
        <v/>
      </c>
      <c r="L127" s="251"/>
    </row>
    <row r="128" spans="1:12" x14ac:dyDescent="0.25">
      <c r="A128" s="235">
        <f>STATS!E124</f>
        <v>658</v>
      </c>
      <c r="B128" s="235" t="str">
        <f>STATS!H124</f>
        <v>BLUE</v>
      </c>
      <c r="C128" s="232" t="str">
        <f>IF(AND(STATS!C124="SWS",STATS!R124&gt;0),"YES","")</f>
        <v/>
      </c>
      <c r="D128" s="232"/>
      <c r="E128" s="232" t="str">
        <f>IF(AND(STATS!C124="SWS",STATS!S124&gt;0),"YES","")</f>
        <v/>
      </c>
      <c r="F128" s="19"/>
      <c r="H128" s="233" t="str">
        <f>IF(AND(STATS!C124="BOD",STATS!T124&gt;0),"YES","")</f>
        <v/>
      </c>
      <c r="I128" s="250"/>
      <c r="K128" s="234" t="str">
        <f>IF(AND(STATS!C124="BOF",STATS!T124&gt;0),"YES","")</f>
        <v/>
      </c>
      <c r="L128" s="251"/>
    </row>
    <row r="129" spans="1:12" x14ac:dyDescent="0.25">
      <c r="A129" s="235">
        <f>STATS!E125</f>
        <v>660</v>
      </c>
      <c r="B129" s="235" t="str">
        <f>STATS!H125</f>
        <v>DEADWOOD</v>
      </c>
      <c r="C129" s="232" t="str">
        <f>IF(AND(STATS!C125="SWS",STATS!R125&gt;0),"YES","")</f>
        <v/>
      </c>
      <c r="D129" s="232"/>
      <c r="E129" s="232" t="str">
        <f>IF(AND(STATS!C125="SWS",STATS!S125&gt;0),"YES","")</f>
        <v/>
      </c>
      <c r="F129" s="19"/>
      <c r="H129" s="233" t="str">
        <f>IF(AND(STATS!C125="BOD",STATS!T125&gt;0),"YES","")</f>
        <v/>
      </c>
      <c r="I129" s="250"/>
      <c r="K129" s="234" t="str">
        <f>IF(AND(STATS!C125="BOF",STATS!T125&gt;0),"YES","")</f>
        <v/>
      </c>
      <c r="L129" s="251"/>
    </row>
    <row r="130" spans="1:12" x14ac:dyDescent="0.25">
      <c r="A130" s="235">
        <f>STATS!E126</f>
        <v>667</v>
      </c>
      <c r="B130" s="235" t="str">
        <f>STATS!H126</f>
        <v>MM24 HWY 21</v>
      </c>
      <c r="C130" s="232" t="str">
        <f>IF(AND(STATS!C126="SWS",STATS!R126&gt;0),"YES","")</f>
        <v/>
      </c>
      <c r="D130" s="232"/>
      <c r="E130" s="232" t="str">
        <f>IF(AND(STATS!C126="SWS",STATS!S126&gt;0),"YES","")</f>
        <v>YES</v>
      </c>
      <c r="F130" s="19"/>
      <c r="H130" s="233" t="str">
        <f>IF(AND(STATS!C126="BOD",STATS!T126&gt;0),"YES","")</f>
        <v/>
      </c>
      <c r="I130" s="250"/>
      <c r="K130" s="234" t="str">
        <f>IF(AND(STATS!C126="BOF",STATS!T126&gt;0),"YES","")</f>
        <v/>
      </c>
      <c r="L130" s="251"/>
    </row>
    <row r="131" spans="1:12" x14ac:dyDescent="0.25">
      <c r="A131" s="235">
        <f>STATS!E127</f>
        <v>672</v>
      </c>
      <c r="B131" s="235" t="str">
        <f>STATS!H127</f>
        <v>BROWNIE</v>
      </c>
      <c r="C131" s="232" t="str">
        <f>IF(AND(STATS!C127="SWS",STATS!R127&gt;0),"YES","")</f>
        <v/>
      </c>
      <c r="D131" s="232"/>
      <c r="E131" s="232" t="str">
        <f>IF(AND(STATS!C127="SWS",STATS!S127&gt;0),"YES","")</f>
        <v/>
      </c>
      <c r="F131" s="19"/>
      <c r="H131" s="233" t="str">
        <f>IF(AND(STATS!C127="BOD",STATS!T127&gt;0),"YES","")</f>
        <v/>
      </c>
      <c r="I131" s="250"/>
      <c r="K131" s="234" t="str">
        <f>IF(AND(STATS!C127="BOF",STATS!T127&gt;0),"YES","")</f>
        <v/>
      </c>
      <c r="L131" s="251"/>
    </row>
    <row r="132" spans="1:12" x14ac:dyDescent="0.25">
      <c r="A132" s="235">
        <f>STATS!E128</f>
        <v>675</v>
      </c>
      <c r="B132" s="235" t="str">
        <f>STATS!H128</f>
        <v>COLUMBIA</v>
      </c>
      <c r="C132" s="232" t="str">
        <f>IF(AND(STATS!C128="SWS",STATS!R128&gt;0),"YES","")</f>
        <v/>
      </c>
      <c r="D132" s="232"/>
      <c r="E132" s="232" t="str">
        <f>IF(AND(STATS!C128="SWS",STATS!S128&gt;0),"YES","")</f>
        <v/>
      </c>
      <c r="F132" s="19"/>
      <c r="H132" s="233" t="str">
        <f>IF(AND(STATS!C128="BOD",STATS!T128&gt;0),"YES","")</f>
        <v/>
      </c>
      <c r="I132" s="250"/>
      <c r="K132" s="234" t="str">
        <f>IF(AND(STATS!C128="BOF",STATS!T128&gt;0),"YES","")</f>
        <v/>
      </c>
      <c r="L132" s="251"/>
    </row>
    <row r="133" spans="1:12" x14ac:dyDescent="0.25">
      <c r="A133" s="235">
        <f>STATS!E129</f>
        <v>676</v>
      </c>
      <c r="B133" s="235" t="str">
        <f>STATS!H129</f>
        <v>BRYANS</v>
      </c>
      <c r="C133" s="232" t="str">
        <f>IF(AND(STATS!C129="SWS",STATS!R129&gt;0),"YES","")</f>
        <v/>
      </c>
      <c r="D133" s="232"/>
      <c r="E133" s="232" t="str">
        <f>IF(AND(STATS!C129="SWS",STATS!S129&gt;0),"YES","")</f>
        <v/>
      </c>
      <c r="F133" s="19"/>
      <c r="H133" s="233" t="str">
        <f>IF(AND(STATS!C129="BOD",STATS!T129&gt;0),"YES","")</f>
        <v/>
      </c>
      <c r="I133" s="250"/>
      <c r="K133" s="234" t="str">
        <f>IF(AND(STATS!C129="BOF",STATS!T129&gt;0),"YES","")</f>
        <v/>
      </c>
      <c r="L133" s="251"/>
    </row>
    <row r="134" spans="1:12" x14ac:dyDescent="0.25">
      <c r="A134" s="235">
        <f>STATS!E130</f>
        <v>677</v>
      </c>
      <c r="B134" s="235" t="str">
        <f>STATS!H130</f>
        <v>PROSPECT</v>
      </c>
      <c r="C134" s="232" t="str">
        <f>IF(AND(STATS!C130="SWS",STATS!R130&gt;0),"YES","")</f>
        <v/>
      </c>
      <c r="D134" s="232"/>
      <c r="E134" s="232" t="str">
        <f>IF(AND(STATS!C130="SWS",STATS!S130&gt;0),"YES","")</f>
        <v/>
      </c>
      <c r="F134" s="19"/>
      <c r="H134" s="233" t="str">
        <f>IF(AND(STATS!C130="BOD",STATS!T130&gt;0),"YES","")</f>
        <v/>
      </c>
      <c r="I134" s="250"/>
      <c r="K134" s="234" t="str">
        <f>IF(AND(STATS!C130="BOF",STATS!T130&gt;0),"YES","")</f>
        <v/>
      </c>
      <c r="L134" s="251"/>
    </row>
    <row r="135" spans="1:12" x14ac:dyDescent="0.25">
      <c r="A135" s="235">
        <f>STATS!E131</f>
        <v>678</v>
      </c>
      <c r="B135" s="235" t="str">
        <f>STATS!H131</f>
        <v>MAYFIELD</v>
      </c>
      <c r="C135" s="232" t="str">
        <f>IF(AND(STATS!C131="SWS",STATS!R131&gt;0),"YES","")</f>
        <v/>
      </c>
      <c r="D135" s="232"/>
      <c r="E135" s="232" t="str">
        <f>IF(AND(STATS!C131="SWS",STATS!S131&gt;0),"YES","")</f>
        <v/>
      </c>
      <c r="F135" s="19"/>
      <c r="H135" s="233" t="str">
        <f>IF(AND(STATS!C131="BOD",STATS!T131&gt;0),"YES","")</f>
        <v>YES</v>
      </c>
      <c r="I135" s="250"/>
      <c r="K135" s="234" t="str">
        <f>IF(AND(STATS!C131="BOF",STATS!T131&gt;0),"YES","")</f>
        <v/>
      </c>
      <c r="L135" s="251"/>
    </row>
    <row r="136" spans="1:12" x14ac:dyDescent="0.25">
      <c r="A136" s="235">
        <f>STATS!E132</f>
        <v>679</v>
      </c>
      <c r="B136" s="235" t="str">
        <f>STATS!H132</f>
        <v>POLE</v>
      </c>
      <c r="C136" s="232" t="str">
        <f>IF(AND(STATS!C132="SWS",STATS!R132&gt;0),"YES","")</f>
        <v/>
      </c>
      <c r="D136" s="232"/>
      <c r="E136" s="232" t="str">
        <f>IF(AND(STATS!C132="SWS",STATS!S132&gt;0),"YES","")</f>
        <v/>
      </c>
      <c r="F136" s="19"/>
      <c r="H136" s="233" t="str">
        <f>IF(AND(STATS!C132="BOD",STATS!T132&gt;0),"YES","")</f>
        <v>YES</v>
      </c>
      <c r="I136" s="250"/>
      <c r="K136" s="234" t="str">
        <f>IF(AND(STATS!C132="BOF",STATS!T132&gt;0),"YES","")</f>
        <v/>
      </c>
      <c r="L136" s="251"/>
    </row>
    <row r="137" spans="1:12" x14ac:dyDescent="0.25">
      <c r="A137" s="235">
        <f>STATS!E133</f>
        <v>680</v>
      </c>
      <c r="B137" s="235" t="str">
        <f>STATS!H133</f>
        <v>NORTHPRO</v>
      </c>
      <c r="C137" s="232" t="str">
        <f>IF(AND(STATS!C133="SWS",STATS!R133&gt;0),"YES","")</f>
        <v/>
      </c>
      <c r="D137" s="232"/>
      <c r="E137" s="232" t="str">
        <f>IF(AND(STATS!C133="SWS",STATS!S133&gt;0),"YES","")</f>
        <v/>
      </c>
      <c r="F137" s="19"/>
      <c r="H137" s="233" t="str">
        <f>IF(AND(STATS!C133="BOD",STATS!T133&gt;0),"YES","")</f>
        <v>YES</v>
      </c>
      <c r="I137" s="250"/>
      <c r="K137" s="234" t="str">
        <f>IF(AND(STATS!C133="BOF",STATS!T133&gt;0),"YES","")</f>
        <v/>
      </c>
      <c r="L137" s="251"/>
    </row>
    <row r="138" spans="1:12" x14ac:dyDescent="0.25">
      <c r="A138" s="235">
        <f>STATS!E134</f>
        <v>681</v>
      </c>
      <c r="B138" s="235" t="str">
        <f>STATS!H134</f>
        <v>GROPRO</v>
      </c>
      <c r="C138" s="232" t="str">
        <f>IF(AND(STATS!C134="SWS",STATS!R134&gt;0),"YES","")</f>
        <v/>
      </c>
      <c r="D138" s="232"/>
      <c r="E138" s="232" t="str">
        <f>IF(AND(STATS!C134="SWS",STATS!S134&gt;0),"YES","")</f>
        <v/>
      </c>
      <c r="F138" s="19"/>
      <c r="H138" s="233" t="str">
        <f>IF(AND(STATS!C134="BOD",STATS!T134&gt;0),"YES","")</f>
        <v/>
      </c>
      <c r="I138" s="250"/>
      <c r="K138" s="234" t="str">
        <f>IF(AND(STATS!C134="BOF",STATS!T134&gt;0),"YES","")</f>
        <v/>
      </c>
      <c r="L138" s="251"/>
    </row>
    <row r="139" spans="1:12" x14ac:dyDescent="0.25">
      <c r="A139" s="235">
        <f>STATS!E135</f>
        <v>684</v>
      </c>
      <c r="B139" s="235" t="str">
        <f>STATS!H135</f>
        <v>PATS</v>
      </c>
      <c r="C139" s="232" t="str">
        <f>IF(AND(STATS!C135="SWS",STATS!R135&gt;0),"YES","")</f>
        <v/>
      </c>
      <c r="D139" s="232"/>
      <c r="E139" s="232" t="str">
        <f>IF(AND(STATS!C135="SWS",STATS!S135&gt;0),"YES","")</f>
        <v>YES</v>
      </c>
      <c r="F139" s="19"/>
      <c r="H139" s="233" t="str">
        <f>IF(AND(STATS!C135="BOD",STATS!T135&gt;0),"YES","")</f>
        <v/>
      </c>
      <c r="I139" s="250"/>
      <c r="K139" s="234" t="str">
        <f>IF(AND(STATS!C135="BOF",STATS!T135&gt;0),"YES","")</f>
        <v/>
      </c>
      <c r="L139" s="251"/>
    </row>
    <row r="140" spans="1:12" x14ac:dyDescent="0.25">
      <c r="A140" s="235">
        <f>STATS!E136</f>
        <v>687</v>
      </c>
      <c r="B140" s="235" t="str">
        <f>STATS!H136</f>
        <v>QUARTZ</v>
      </c>
      <c r="C140" s="232" t="str">
        <f>IF(AND(STATS!C136="SWS",STATS!R136&gt;0),"YES","")</f>
        <v>YES</v>
      </c>
      <c r="D140" s="232"/>
      <c r="E140" s="232" t="str">
        <f>IF(AND(STATS!C136="SWS",STATS!S136&gt;0),"YES","")</f>
        <v/>
      </c>
      <c r="F140" s="19"/>
      <c r="H140" s="233" t="str">
        <f>IF(AND(STATS!C136="BOD",STATS!T136&gt;0),"YES","")</f>
        <v/>
      </c>
      <c r="I140" s="250"/>
      <c r="K140" s="234" t="str">
        <f>IF(AND(STATS!C136="BOF",STATS!T136&gt;0),"YES","")</f>
        <v/>
      </c>
      <c r="L140" s="251"/>
    </row>
    <row r="141" spans="1:12" x14ac:dyDescent="0.25">
      <c r="A141" s="235">
        <f>STATS!E137</f>
        <v>690</v>
      </c>
      <c r="B141" s="235" t="str">
        <f>STATS!H137</f>
        <v>JENN</v>
      </c>
      <c r="C141" s="232" t="str">
        <f>IF(AND(STATS!C137="SWS",STATS!R137&gt;0),"YES","")</f>
        <v/>
      </c>
      <c r="D141" s="232"/>
      <c r="E141" s="232" t="str">
        <f>IF(AND(STATS!C137="SWS",STATS!S137&gt;0),"YES","")</f>
        <v/>
      </c>
      <c r="F141" s="19"/>
      <c r="H141" s="233" t="str">
        <f>IF(AND(STATS!C137="BOD",STATS!T137&gt;0),"YES","")</f>
        <v/>
      </c>
      <c r="I141" s="250"/>
      <c r="K141" s="234" t="str">
        <f>IF(AND(STATS!C137="BOF",STATS!T137&gt;0),"YES","")</f>
        <v/>
      </c>
      <c r="L141" s="251"/>
    </row>
    <row r="142" spans="1:12" x14ac:dyDescent="0.25">
      <c r="A142" s="235">
        <f>STATS!E138</f>
        <v>692</v>
      </c>
      <c r="B142" s="235" t="str">
        <f>STATS!H138</f>
        <v xml:space="preserve">SCOTCH </v>
      </c>
      <c r="C142" s="232" t="str">
        <f>IF(AND(STATS!C138="SWS",STATS!R138&gt;0),"YES","")</f>
        <v/>
      </c>
      <c r="D142" s="232"/>
      <c r="E142" s="232" t="str">
        <f>IF(AND(STATS!C138="SWS",STATS!S138&gt;0),"YES","")</f>
        <v/>
      </c>
      <c r="F142" s="19"/>
      <c r="H142" s="233" t="str">
        <f>IF(AND(STATS!C138="BOD",STATS!T138&gt;0),"YES","")</f>
        <v/>
      </c>
      <c r="I142" s="250"/>
      <c r="K142" s="234" t="str">
        <f>IF(AND(STATS!C138="BOF",STATS!T138&gt;0),"YES","")</f>
        <v/>
      </c>
      <c r="L142" s="251"/>
    </row>
    <row r="143" spans="1:12" x14ac:dyDescent="0.25">
      <c r="A143" s="235">
        <f>STATS!E139</f>
        <v>695</v>
      </c>
      <c r="B143" s="235" t="str">
        <f>STATS!H139</f>
        <v xml:space="preserve">BEACH </v>
      </c>
      <c r="C143" s="232" t="str">
        <f>IF(AND(STATS!C139="SWS",STATS!R139&gt;0),"YES","")</f>
        <v/>
      </c>
      <c r="D143" s="232"/>
      <c r="E143" s="232" t="str">
        <f>IF(AND(STATS!C139="SWS",STATS!S139&gt;0),"YES","")</f>
        <v/>
      </c>
      <c r="F143" s="19"/>
      <c r="H143" s="233" t="str">
        <f>IF(AND(STATS!C139="BOD",STATS!T139&gt;0),"YES","")</f>
        <v/>
      </c>
      <c r="I143" s="250"/>
      <c r="K143" s="234" t="str">
        <f>IF(AND(STATS!C139="BOF",STATS!T139&gt;0),"YES","")</f>
        <v/>
      </c>
      <c r="L143" s="251"/>
    </row>
    <row r="144" spans="1:12" x14ac:dyDescent="0.25">
      <c r="A144" s="235">
        <f>STATS!E140</f>
        <v>696</v>
      </c>
      <c r="B144" s="235" t="str">
        <f>STATS!H140</f>
        <v>SANDY</v>
      </c>
      <c r="C144" s="232" t="str">
        <f>IF(AND(STATS!C140="SWS",STATS!R140&gt;0),"YES","")</f>
        <v/>
      </c>
      <c r="D144" s="232"/>
      <c r="E144" s="232" t="str">
        <f>IF(AND(STATS!C140="SWS",STATS!S140&gt;0),"YES","")</f>
        <v/>
      </c>
      <c r="F144" s="19"/>
      <c r="H144" s="233" t="str">
        <f>IF(AND(STATS!C140="BOD",STATS!T140&gt;0),"YES","")</f>
        <v>YES</v>
      </c>
      <c r="I144" s="250"/>
      <c r="K144" s="234" t="str">
        <f>IF(AND(STATS!C140="BOF",STATS!T140&gt;0),"YES","")</f>
        <v/>
      </c>
      <c r="L144" s="251"/>
    </row>
    <row r="145" spans="1:12" x14ac:dyDescent="0.25">
      <c r="A145" s="235">
        <f>STATS!E141</f>
        <v>697</v>
      </c>
      <c r="B145" s="235" t="str">
        <f>STATS!H141</f>
        <v xml:space="preserve">EAGLE </v>
      </c>
      <c r="C145" s="232" t="str">
        <f>IF(AND(STATS!C141="SWS",STATS!R141&gt;0),"YES","")</f>
        <v/>
      </c>
      <c r="D145" s="232"/>
      <c r="E145" s="232" t="str">
        <f>IF(AND(STATS!C141="SWS",STATS!S141&gt;0),"YES","")</f>
        <v/>
      </c>
      <c r="F145" s="19"/>
      <c r="H145" s="233" t="str">
        <f>IF(AND(STATS!C141="BOD",STATS!T141&gt;0),"YES","")</f>
        <v/>
      </c>
      <c r="I145" s="250"/>
      <c r="K145" s="234" t="str">
        <f>IF(AND(STATS!C141="BOF",STATS!T141&gt;0),"YES","")</f>
        <v/>
      </c>
      <c r="L145" s="251"/>
    </row>
    <row r="146" spans="1:12" x14ac:dyDescent="0.25">
      <c r="A146" s="235">
        <f>STATS!E142</f>
        <v>698</v>
      </c>
      <c r="B146" s="235" t="str">
        <f>STATS!H142</f>
        <v>LAVA</v>
      </c>
      <c r="C146" s="232" t="str">
        <f>IF(AND(STATS!C142="SWS",STATS!R142&gt;0),"YES","")</f>
        <v/>
      </c>
      <c r="D146" s="232"/>
      <c r="E146" s="232" t="str">
        <f>IF(AND(STATS!C142="SWS",STATS!S142&gt;0),"YES","")</f>
        <v/>
      </c>
      <c r="F146" s="19"/>
      <c r="H146" s="233" t="str">
        <f>IF(AND(STATS!C142="BOD",STATS!T142&gt;0),"YES","")</f>
        <v/>
      </c>
      <c r="I146" s="250"/>
      <c r="K146" s="234" t="str">
        <f>IF(AND(STATS!C142="BOF",STATS!T142&gt;0),"YES","")</f>
        <v/>
      </c>
      <c r="L146" s="251"/>
    </row>
    <row r="147" spans="1:12" x14ac:dyDescent="0.25">
      <c r="A147" s="235">
        <f>STATS!E143</f>
        <v>701</v>
      </c>
      <c r="B147" s="235" t="str">
        <f>STATS!H143</f>
        <v>MM16 HWY21</v>
      </c>
      <c r="C147" s="232" t="str">
        <f>IF(AND(STATS!C143="SWS",STATS!R143&gt;0),"YES","")</f>
        <v/>
      </c>
      <c r="D147" s="232"/>
      <c r="E147" s="232" t="str">
        <f>IF(AND(STATS!C143="SWS",STATS!S143&gt;0),"YES","")</f>
        <v/>
      </c>
      <c r="F147" s="19"/>
      <c r="H147" s="233" t="str">
        <f>IF(AND(STATS!C143="BOD",STATS!T143&gt;0),"YES","")</f>
        <v/>
      </c>
      <c r="I147" s="250"/>
      <c r="K147" s="234" t="str">
        <f>IF(AND(STATS!C143="BOF",STATS!T143&gt;0),"YES","")</f>
        <v/>
      </c>
      <c r="L147" s="251"/>
    </row>
    <row r="148" spans="1:12" x14ac:dyDescent="0.25">
      <c r="A148" s="235">
        <f>STATS!E144</f>
        <v>709</v>
      </c>
      <c r="B148" s="235" t="str">
        <f>STATS!H144</f>
        <v>PILOT</v>
      </c>
      <c r="C148" s="232" t="str">
        <f>IF(AND(STATS!C144="SWS",STATS!R144&gt;0),"YES","")</f>
        <v/>
      </c>
      <c r="D148" s="232"/>
      <c r="E148" s="232" t="str">
        <f>IF(AND(STATS!C144="SWS",STATS!S144&gt;0),"YES","")</f>
        <v/>
      </c>
      <c r="F148" s="19"/>
      <c r="H148" s="233" t="str">
        <f>IF(AND(STATS!C144="BOD",STATS!T144&gt;0),"YES","")</f>
        <v/>
      </c>
      <c r="I148" s="250"/>
      <c r="K148" s="234" t="str">
        <f>IF(AND(STATS!C144="BOF",STATS!T144&gt;0),"YES","")</f>
        <v/>
      </c>
      <c r="L148" s="251"/>
    </row>
    <row r="149" spans="1:12" x14ac:dyDescent="0.25">
      <c r="A149" s="235">
        <f>STATS!E145</f>
        <v>717</v>
      </c>
      <c r="B149" s="235" t="str">
        <f>STATS!H145</f>
        <v>COVE</v>
      </c>
      <c r="C149" s="232" t="str">
        <f>IF(AND(STATS!C145="SWS",STATS!R145&gt;0),"YES","")</f>
        <v/>
      </c>
      <c r="D149" s="232"/>
      <c r="E149" s="232" t="str">
        <f>IF(AND(STATS!C145="SWS",STATS!S145&gt;0),"YES","")</f>
        <v/>
      </c>
      <c r="F149" s="19"/>
      <c r="H149" s="233" t="str">
        <f>IF(AND(STATS!C145="BOD",STATS!T145&gt;0),"YES","")</f>
        <v/>
      </c>
      <c r="I149" s="250"/>
      <c r="K149" s="234" t="str">
        <f>IF(AND(STATS!C145="BOF",STATS!T145&gt;0),"YES","")</f>
        <v/>
      </c>
      <c r="L149" s="251"/>
    </row>
    <row r="150" spans="1:12" x14ac:dyDescent="0.25">
      <c r="A150" s="235">
        <f>STATS!E146</f>
        <v>721</v>
      </c>
      <c r="B150" s="235" t="str">
        <f>STATS!H146</f>
        <v>POINTER</v>
      </c>
      <c r="C150" s="232" t="str">
        <f>IF(AND(STATS!C146="SWS",STATS!R146&gt;0),"YES","")</f>
        <v/>
      </c>
      <c r="D150" s="232"/>
      <c r="E150" s="232" t="str">
        <f>IF(AND(STATS!C146="SWS",STATS!S146&gt;0),"YES","")</f>
        <v/>
      </c>
      <c r="F150" s="19"/>
      <c r="H150" s="233" t="str">
        <f>IF(AND(STATS!C146="BOD",STATS!T146&gt;0),"YES","")</f>
        <v>YES</v>
      </c>
      <c r="I150" s="250"/>
      <c r="K150" s="234" t="str">
        <f>IF(AND(STATS!C146="BOF",STATS!T146&gt;0),"YES","")</f>
        <v/>
      </c>
      <c r="L150" s="251"/>
    </row>
    <row r="151" spans="1:12" x14ac:dyDescent="0.25">
      <c r="A151" s="235">
        <f>STATS!E147</f>
        <v>729</v>
      </c>
      <c r="B151" s="235" t="str">
        <f>STATS!H147</f>
        <v>RANFT</v>
      </c>
      <c r="C151" s="232" t="str">
        <f>IF(AND(STATS!C147="SWS",STATS!R147&gt;0),"YES","")</f>
        <v/>
      </c>
      <c r="D151" s="232"/>
      <c r="E151" s="232" t="str">
        <f>IF(AND(STATS!C147="SWS",STATS!S147&gt;0),"YES","")</f>
        <v/>
      </c>
      <c r="F151" s="19"/>
      <c r="H151" s="233" t="str">
        <f>IF(AND(STATS!C147="BOD",STATS!T147&gt;0),"YES","")</f>
        <v/>
      </c>
      <c r="I151" s="250"/>
      <c r="K151" s="234" t="str">
        <f>IF(AND(STATS!C147="BOF",STATS!T147&gt;0),"YES","")</f>
        <v/>
      </c>
      <c r="L151" s="251"/>
    </row>
    <row r="152" spans="1:12" x14ac:dyDescent="0.25">
      <c r="A152" s="235">
        <f>STATS!E148</f>
        <v>731</v>
      </c>
      <c r="B152" s="235" t="str">
        <f>STATS!H148</f>
        <v>HAVEN</v>
      </c>
      <c r="C152" s="232" t="str">
        <f>IF(AND(STATS!C148="SWS",STATS!R148&gt;0),"YES","")</f>
        <v/>
      </c>
      <c r="D152" s="232"/>
      <c r="E152" s="232" t="str">
        <f>IF(AND(STATS!C148="SWS",STATS!S148&gt;0),"YES","")</f>
        <v/>
      </c>
      <c r="F152" s="19"/>
      <c r="H152" s="233" t="str">
        <f>IF(AND(STATS!C148="BOD",STATS!T148&gt;0),"YES","")</f>
        <v/>
      </c>
      <c r="I152" s="250"/>
      <c r="K152" s="234" t="str">
        <f>IF(AND(STATS!C148="BOF",STATS!T148&gt;0),"YES","")</f>
        <v/>
      </c>
      <c r="L152" s="251"/>
    </row>
    <row r="153" spans="1:12" x14ac:dyDescent="0.25">
      <c r="A153" s="235">
        <f>STATS!E149</f>
        <v>752</v>
      </c>
      <c r="B153" s="235" t="str">
        <f>STATS!H149</f>
        <v>CURRENT</v>
      </c>
      <c r="C153" s="232" t="str">
        <f>IF(AND(STATS!C149="SWS",STATS!R149&gt;0),"YES","")</f>
        <v/>
      </c>
      <c r="D153" s="232"/>
      <c r="E153" s="232" t="str">
        <f>IF(AND(STATS!C149="SWS",STATS!S149&gt;0),"YES","")</f>
        <v/>
      </c>
      <c r="F153" s="19"/>
      <c r="H153" s="233" t="str">
        <f>IF(AND(STATS!C149="BOD",STATS!T149&gt;0),"YES","")</f>
        <v/>
      </c>
      <c r="I153" s="250"/>
      <c r="K153" s="234" t="str">
        <f>IF(AND(STATS!C149="BOF",STATS!T149&gt;0),"YES","")</f>
        <v/>
      </c>
      <c r="L153" s="251"/>
    </row>
    <row r="154" spans="1:12" x14ac:dyDescent="0.25">
      <c r="A154" s="235">
        <f>STATS!E150</f>
        <v>753</v>
      </c>
      <c r="B154" s="235" t="str">
        <f>STATS!H150</f>
        <v>BIG BOGGY</v>
      </c>
      <c r="C154" s="232" t="str">
        <f>IF(AND(STATS!C150="SWS",STATS!R150&gt;0),"YES","")</f>
        <v/>
      </c>
      <c r="D154" s="232"/>
      <c r="E154" s="232" t="str">
        <f>IF(AND(STATS!C150="SWS",STATS!S150&gt;0),"YES","")</f>
        <v/>
      </c>
      <c r="F154" s="19"/>
      <c r="H154" s="233" t="str">
        <f>IF(AND(STATS!C150="BOD",STATS!T150&gt;0),"YES","")</f>
        <v/>
      </c>
      <c r="I154" s="250"/>
      <c r="K154" s="234" t="str">
        <f>IF(AND(STATS!C150="BOF",STATS!T150&gt;0),"YES","")</f>
        <v/>
      </c>
      <c r="L154" s="251"/>
    </row>
    <row r="155" spans="1:12" x14ac:dyDescent="0.25">
      <c r="A155" s="235">
        <f>STATS!E151</f>
        <v>754</v>
      </c>
      <c r="B155" s="235" t="str">
        <f>STATS!H151</f>
        <v>MM2 HWY17</v>
      </c>
      <c r="C155" s="232" t="str">
        <f>IF(AND(STATS!C151="SWS",STATS!R151&gt;0),"YES","")</f>
        <v/>
      </c>
      <c r="D155" s="232"/>
      <c r="E155" s="232" t="str">
        <f>IF(AND(STATS!C151="SWS",STATS!S151&gt;0),"YES","")</f>
        <v/>
      </c>
      <c r="F155" s="19"/>
      <c r="H155" s="233" t="str">
        <f>IF(AND(STATS!C151="BOD",STATS!T151&gt;0),"YES","")</f>
        <v/>
      </c>
      <c r="I155" s="250"/>
      <c r="K155" s="234" t="str">
        <f>IF(AND(STATS!C151="BOF",STATS!T151&gt;0),"YES","")</f>
        <v/>
      </c>
      <c r="L155" s="251"/>
    </row>
    <row r="156" spans="1:12" x14ac:dyDescent="0.25">
      <c r="A156" s="235">
        <f>STATS!E152</f>
        <v>760</v>
      </c>
      <c r="B156" s="235" t="str">
        <f>STATS!H152</f>
        <v>CASE</v>
      </c>
      <c r="C156" s="232" t="str">
        <f>IF(AND(STATS!C152="SWS",STATS!R152&gt;0),"YES","")</f>
        <v/>
      </c>
      <c r="D156" s="232"/>
      <c r="E156" s="232" t="str">
        <f>IF(AND(STATS!C152="SWS",STATS!S152&gt;0),"YES","")</f>
        <v/>
      </c>
      <c r="F156" s="19"/>
      <c r="H156" s="233" t="str">
        <f>IF(AND(STATS!C152="BOD",STATS!T152&gt;0),"YES","")</f>
        <v/>
      </c>
      <c r="I156" s="250"/>
      <c r="K156" s="234" t="str">
        <f>IF(AND(STATS!C152="BOF",STATS!T152&gt;0),"YES","")</f>
        <v>YES</v>
      </c>
      <c r="L156" s="251"/>
    </row>
    <row r="157" spans="1:12" x14ac:dyDescent="0.25">
      <c r="A157" s="235">
        <f>STATS!E153</f>
        <v>763</v>
      </c>
      <c r="B157" s="235" t="str">
        <f>STATS!H153</f>
        <v>LONE TREE</v>
      </c>
      <c r="C157" s="232" t="str">
        <f>IF(AND(STATS!C153="SWS",STATS!R153&gt;0),"YES","")</f>
        <v/>
      </c>
      <c r="D157" s="232"/>
      <c r="E157" s="232" t="str">
        <f>IF(AND(STATS!C153="SWS",STATS!S153&gt;0),"YES","")</f>
        <v/>
      </c>
      <c r="F157" s="19"/>
      <c r="H157" s="233" t="str">
        <f>IF(AND(STATS!C153="BOD",STATS!T153&gt;0),"YES","")</f>
        <v/>
      </c>
      <c r="I157" s="250"/>
      <c r="K157" s="234" t="str">
        <f>IF(AND(STATS!C153="BOF",STATS!T153&gt;0),"YES","")</f>
        <v/>
      </c>
      <c r="L157" s="251"/>
    </row>
    <row r="158" spans="1:12" x14ac:dyDescent="0.25">
      <c r="A158" s="235">
        <f>STATS!E154</f>
        <v>765</v>
      </c>
      <c r="B158" s="235" t="str">
        <f>STATS!H154</f>
        <v>MM80 HWY21</v>
      </c>
      <c r="C158" s="232" t="str">
        <f>IF(AND(STATS!C154="SWS",STATS!R154&gt;0),"YES","")</f>
        <v/>
      </c>
      <c r="D158" s="232"/>
      <c r="E158" s="232" t="str">
        <f>IF(AND(STATS!C154="SWS",STATS!S154&gt;0),"YES","")</f>
        <v/>
      </c>
      <c r="F158" s="19"/>
      <c r="H158" s="233" t="str">
        <f>IF(AND(STATS!C154="BOD",STATS!T154&gt;0),"YES","")</f>
        <v/>
      </c>
      <c r="I158" s="250"/>
      <c r="K158" s="234" t="str">
        <f>IF(AND(STATS!C154="BOF",STATS!T154&gt;0),"YES","")</f>
        <v/>
      </c>
      <c r="L158" s="251"/>
    </row>
    <row r="159" spans="1:12" x14ac:dyDescent="0.25">
      <c r="A159" s="235">
        <f>STATS!E155</f>
        <v>766</v>
      </c>
      <c r="B159" s="235" t="str">
        <f>STATS!H155</f>
        <v>SPUR</v>
      </c>
      <c r="C159" s="232" t="str">
        <f>IF(AND(STATS!C155="SWS",STATS!R155&gt;0),"YES","")</f>
        <v/>
      </c>
      <c r="D159" s="232"/>
      <c r="E159" s="232" t="str">
        <f>IF(AND(STATS!C155="SWS",STATS!S155&gt;0),"YES","")</f>
        <v/>
      </c>
      <c r="F159" s="19"/>
      <c r="H159" s="233" t="str">
        <f>IF(AND(STATS!C155="BOD",STATS!T155&gt;0),"YES","")</f>
        <v/>
      </c>
      <c r="I159" s="250"/>
      <c r="K159" s="234" t="str">
        <f>IF(AND(STATS!C155="BOF",STATS!T155&gt;0),"YES","")</f>
        <v/>
      </c>
      <c r="L159" s="251"/>
    </row>
    <row r="160" spans="1:12" x14ac:dyDescent="0.25">
      <c r="A160" s="235">
        <f>STATS!E156</f>
        <v>773</v>
      </c>
      <c r="B160" s="235" t="str">
        <f>STATS!H156</f>
        <v>SIMCO</v>
      </c>
      <c r="C160" s="232" t="str">
        <f>IF(AND(STATS!C156="SWS",STATS!R156&gt;0),"YES","")</f>
        <v/>
      </c>
      <c r="D160" s="232"/>
      <c r="E160" s="232" t="str">
        <f>IF(AND(STATS!C156="SWS",STATS!S156&gt;0),"YES","")</f>
        <v/>
      </c>
      <c r="F160" s="19"/>
      <c r="H160" s="233" t="str">
        <f>IF(AND(STATS!C156="BOD",STATS!T156&gt;0),"YES","")</f>
        <v/>
      </c>
      <c r="I160" s="250"/>
      <c r="K160" s="234" t="str">
        <f>IF(AND(STATS!C156="BOF",STATS!T156&gt;0),"YES","")</f>
        <v/>
      </c>
      <c r="L160" s="251"/>
    </row>
    <row r="161" spans="1:12" x14ac:dyDescent="0.25">
      <c r="A161" s="235">
        <f>STATS!E157</f>
        <v>774</v>
      </c>
      <c r="B161" s="235" t="str">
        <f>STATS!H157</f>
        <v>NORTH SIM</v>
      </c>
      <c r="C161" s="232" t="str">
        <f>IF(AND(STATS!C157="SWS",STATS!R157&gt;0),"YES","")</f>
        <v/>
      </c>
      <c r="D161" s="232"/>
      <c r="E161" s="232" t="str">
        <f>IF(AND(STATS!C157="SWS",STATS!S157&gt;0),"YES","")</f>
        <v/>
      </c>
      <c r="F161" s="19"/>
      <c r="H161" s="233" t="str">
        <f>IF(AND(STATS!C157="BOD",STATS!T157&gt;0),"YES","")</f>
        <v/>
      </c>
      <c r="I161" s="250"/>
      <c r="K161" s="234" t="str">
        <f>IF(AND(STATS!C157="BOF",STATS!T157&gt;0),"YES","")</f>
        <v/>
      </c>
      <c r="L161" s="251"/>
    </row>
    <row r="162" spans="1:12" x14ac:dyDescent="0.25">
      <c r="A162" s="235">
        <f>STATS!E158</f>
        <v>775</v>
      </c>
      <c r="B162" s="235" t="str">
        <f>STATS!H158</f>
        <v>MIDCO</v>
      </c>
      <c r="C162" s="232" t="str">
        <f>IF(AND(STATS!C158="SWS",STATS!R158&gt;0),"YES","")</f>
        <v/>
      </c>
      <c r="D162" s="232"/>
      <c r="E162" s="232" t="str">
        <f>IF(AND(STATS!C158="SWS",STATS!S158&gt;0),"YES","")</f>
        <v/>
      </c>
      <c r="F162" s="19"/>
      <c r="H162" s="233" t="str">
        <f>IF(AND(STATS!C158="BOD",STATS!T158&gt;0),"YES","")</f>
        <v/>
      </c>
      <c r="I162" s="250"/>
      <c r="K162" s="234" t="str">
        <f>IF(AND(STATS!C158="BOF",STATS!T158&gt;0),"YES","")</f>
        <v/>
      </c>
      <c r="L162" s="251"/>
    </row>
    <row r="163" spans="1:12" x14ac:dyDescent="0.25">
      <c r="A163" s="235">
        <f>STATS!E159</f>
        <v>787</v>
      </c>
      <c r="B163" s="235" t="str">
        <f>STATS!H159</f>
        <v>ARCHIE</v>
      </c>
      <c r="C163" s="232" t="str">
        <f>IF(AND(STATS!C159="SWS",STATS!R159&gt;0),"YES","")</f>
        <v/>
      </c>
      <c r="D163" s="232"/>
      <c r="E163" s="232" t="str">
        <f>IF(AND(STATS!C159="SWS",STATS!S159&gt;0),"YES","")</f>
        <v/>
      </c>
      <c r="F163" s="19"/>
      <c r="H163" s="233" t="str">
        <f>IF(AND(STATS!C159="BOD",STATS!T159&gt;0),"YES","")</f>
        <v/>
      </c>
      <c r="I163" s="250"/>
      <c r="K163" s="234" t="str">
        <f>IF(AND(STATS!C159="BOF",STATS!T159&gt;0),"YES","")</f>
        <v/>
      </c>
      <c r="L163" s="251"/>
    </row>
    <row r="164" spans="1:12" x14ac:dyDescent="0.25">
      <c r="A164" s="235">
        <f>STATS!E160</f>
        <v>789</v>
      </c>
      <c r="B164" s="235" t="str">
        <f>STATS!H160</f>
        <v>LODGE</v>
      </c>
      <c r="C164" s="232" t="str">
        <f>IF(AND(STATS!C160="SWS",STATS!R160&gt;0),"YES","")</f>
        <v/>
      </c>
      <c r="D164" s="232"/>
      <c r="E164" s="232" t="str">
        <f>IF(AND(STATS!C160="SWS",STATS!S160&gt;0),"YES","")</f>
        <v/>
      </c>
      <c r="F164" s="19"/>
      <c r="H164" s="233" t="str">
        <f>IF(AND(STATS!C160="BOD",STATS!T160&gt;0),"YES","")</f>
        <v/>
      </c>
      <c r="I164" s="250"/>
      <c r="K164" s="234" t="str">
        <f>IF(AND(STATS!C160="BOF",STATS!T160&gt;0),"YES","")</f>
        <v/>
      </c>
      <c r="L164" s="251"/>
    </row>
    <row r="165" spans="1:12" x14ac:dyDescent="0.25">
      <c r="A165" s="235">
        <f>STATS!E161</f>
        <v>790</v>
      </c>
      <c r="B165" s="235" t="str">
        <f>STATS!H161</f>
        <v>FAWN</v>
      </c>
      <c r="C165" s="232" t="str">
        <f>IF(AND(STATS!C161="SWS",STATS!R161&gt;0),"YES","")</f>
        <v/>
      </c>
      <c r="D165" s="232"/>
      <c r="E165" s="232" t="str">
        <f>IF(AND(STATS!C161="SWS",STATS!S161&gt;0),"YES","")</f>
        <v/>
      </c>
      <c r="F165" s="19"/>
      <c r="H165" s="233" t="str">
        <f>IF(AND(STATS!C161="BOD",STATS!T161&gt;0),"YES","")</f>
        <v/>
      </c>
      <c r="I165" s="250"/>
      <c r="K165" s="234" t="str">
        <f>IF(AND(STATS!C161="BOF",STATS!T161&gt;0),"YES","")</f>
        <v/>
      </c>
      <c r="L165" s="251"/>
    </row>
    <row r="166" spans="1:12" x14ac:dyDescent="0.25">
      <c r="A166" s="235">
        <f>STATS!E162</f>
        <v>791</v>
      </c>
      <c r="B166" s="235" t="str">
        <f>STATS!H162</f>
        <v>EDDY</v>
      </c>
      <c r="C166" s="232" t="str">
        <f>IF(AND(STATS!C162="SWS",STATS!R162&gt;0),"YES","")</f>
        <v/>
      </c>
      <c r="D166" s="232"/>
      <c r="E166" s="232" t="str">
        <f>IF(AND(STATS!C162="SWS",STATS!S162&gt;0),"YES","")</f>
        <v/>
      </c>
      <c r="F166" s="19"/>
      <c r="H166" s="233" t="str">
        <f>IF(AND(STATS!C162="BOD",STATS!T162&gt;0),"YES","")</f>
        <v/>
      </c>
      <c r="I166" s="250"/>
      <c r="K166" s="234" t="str">
        <f>IF(AND(STATS!C162="BOF",STATS!T162&gt;0),"YES","")</f>
        <v>YES</v>
      </c>
      <c r="L166" s="251"/>
    </row>
    <row r="167" spans="1:12" x14ac:dyDescent="0.25">
      <c r="A167" s="235">
        <f>STATS!E163</f>
        <v>794</v>
      </c>
      <c r="B167" s="235" t="str">
        <f>STATS!H163</f>
        <v>KELLY</v>
      </c>
      <c r="C167" s="232" t="str">
        <f>IF(AND(STATS!C163="SWS",STATS!R163&gt;0),"YES","")</f>
        <v/>
      </c>
      <c r="D167" s="232"/>
      <c r="E167" s="232" t="str">
        <f>IF(AND(STATS!C163="SWS",STATS!S163&gt;0),"YES","")</f>
        <v/>
      </c>
      <c r="F167" s="19"/>
      <c r="H167" s="233" t="str">
        <f>IF(AND(STATS!C163="BOD",STATS!T163&gt;0),"YES","")</f>
        <v/>
      </c>
      <c r="I167" s="250"/>
      <c r="K167" s="234" t="str">
        <f>IF(AND(STATS!C163="BOF",STATS!T163&gt;0),"YES","")</f>
        <v/>
      </c>
      <c r="L167" s="251"/>
    </row>
    <row r="168" spans="1:12" x14ac:dyDescent="0.25">
      <c r="A168" s="235">
        <f>STATS!E164</f>
        <v>796</v>
      </c>
      <c r="B168" s="235" t="str">
        <f>STATS!H164</f>
        <v>SHIRTS</v>
      </c>
      <c r="C168" s="232" t="str">
        <f>IF(AND(STATS!C164="SWS",STATS!R164&gt;0),"YES","")</f>
        <v/>
      </c>
      <c r="D168" s="232"/>
      <c r="E168" s="232" t="str">
        <f>IF(AND(STATS!C164="SWS",STATS!S164&gt;0),"YES","")</f>
        <v>YES</v>
      </c>
      <c r="F168" s="19"/>
      <c r="H168" s="233" t="str">
        <f>IF(AND(STATS!C164="BOD",STATS!T164&gt;0),"YES","")</f>
        <v/>
      </c>
      <c r="I168" s="250"/>
      <c r="K168" s="234" t="str">
        <f>IF(AND(STATS!C164="BOF",STATS!T164&gt;0),"YES","")</f>
        <v/>
      </c>
      <c r="L168" s="251"/>
    </row>
    <row r="169" spans="1:12" x14ac:dyDescent="0.25">
      <c r="A169" s="235">
        <f>STATS!E165</f>
        <v>798</v>
      </c>
      <c r="B169" s="235" t="str">
        <f>STATS!H165</f>
        <v>SAWMILL</v>
      </c>
      <c r="C169" s="232" t="str">
        <f>IF(AND(STATS!C165="SWS",STATS!R165&gt;0),"YES","")</f>
        <v/>
      </c>
      <c r="D169" s="232"/>
      <c r="E169" s="232" t="str">
        <f>IF(AND(STATS!C165="SWS",STATS!S165&gt;0),"YES","")</f>
        <v/>
      </c>
      <c r="F169" s="19"/>
      <c r="H169" s="233" t="str">
        <f>IF(AND(STATS!C165="BOD",STATS!T165&gt;0),"YES","")</f>
        <v/>
      </c>
      <c r="I169" s="250"/>
      <c r="K169" s="234" t="str">
        <f>IF(AND(STATS!C165="BOF",STATS!T165&gt;0),"YES","")</f>
        <v/>
      </c>
      <c r="L169" s="251"/>
    </row>
    <row r="170" spans="1:12" x14ac:dyDescent="0.25">
      <c r="A170" s="235">
        <f>STATS!E166</f>
        <v>800</v>
      </c>
      <c r="B170" s="235" t="str">
        <f>STATS!H166</f>
        <v>DOUGLAS</v>
      </c>
      <c r="C170" s="232" t="str">
        <f>IF(AND(STATS!C166="SWS",STATS!R166&gt;0),"YES","")</f>
        <v/>
      </c>
      <c r="D170" s="232"/>
      <c r="E170" s="232" t="str">
        <f>IF(AND(STATS!C166="SWS",STATS!S166&gt;0),"YES","")</f>
        <v/>
      </c>
      <c r="F170" s="19"/>
      <c r="H170" s="233" t="str">
        <f>IF(AND(STATS!C166="BOD",STATS!T166&gt;0),"YES","")</f>
        <v/>
      </c>
      <c r="I170" s="250"/>
      <c r="K170" s="234" t="str">
        <f>IF(AND(STATS!C166="BOF",STATS!T166&gt;0),"YES","")</f>
        <v/>
      </c>
      <c r="L170" s="251"/>
    </row>
    <row r="171" spans="1:12" x14ac:dyDescent="0.25">
      <c r="A171" s="235">
        <f>STATS!E167</f>
        <v>801</v>
      </c>
      <c r="B171" s="235" t="str">
        <f>STATS!H167</f>
        <v>BOILER</v>
      </c>
      <c r="C171" s="232" t="str">
        <f>IF(AND(STATS!C167="SWS",STATS!R167&gt;0),"YES","")</f>
        <v/>
      </c>
      <c r="D171" s="232"/>
      <c r="E171" s="232" t="str">
        <f>IF(AND(STATS!C167="SWS",STATS!S167&gt;0),"YES","")</f>
        <v/>
      </c>
      <c r="F171" s="19"/>
      <c r="H171" s="233" t="str">
        <f>IF(AND(STATS!C167="BOD",STATS!T167&gt;0),"YES","")</f>
        <v/>
      </c>
      <c r="I171" s="250"/>
      <c r="K171" s="234" t="str">
        <f>IF(AND(STATS!C167="BOF",STATS!T167&gt;0),"YES","")</f>
        <v/>
      </c>
      <c r="L171" s="251"/>
    </row>
    <row r="172" spans="1:12" x14ac:dyDescent="0.25">
      <c r="A172" s="235">
        <f>STATS!E168</f>
        <v>802</v>
      </c>
      <c r="B172" s="235" t="str">
        <f>STATS!H168</f>
        <v>BENALK</v>
      </c>
      <c r="C172" s="232" t="str">
        <f>IF(AND(STATS!C168="SWS",STATS!R168&gt;0),"YES","")</f>
        <v/>
      </c>
      <c r="D172" s="232"/>
      <c r="E172" s="232" t="str">
        <f>IF(AND(STATS!C168="SWS",STATS!S168&gt;0),"YES","")</f>
        <v/>
      </c>
      <c r="F172" s="19"/>
      <c r="H172" s="233" t="str">
        <f>IF(AND(STATS!C168="BOD",STATS!T168&gt;0),"YES","")</f>
        <v/>
      </c>
      <c r="I172" s="250"/>
      <c r="K172" s="234" t="str">
        <f>IF(AND(STATS!C168="BOF",STATS!T168&gt;0),"YES","")</f>
        <v/>
      </c>
      <c r="L172" s="251"/>
    </row>
    <row r="173" spans="1:12" x14ac:dyDescent="0.25">
      <c r="A173" s="235">
        <f>STATS!E169</f>
        <v>803</v>
      </c>
      <c r="B173" s="235" t="str">
        <f>STATS!H169</f>
        <v>AIRPORT</v>
      </c>
      <c r="C173" s="232" t="str">
        <f>IF(AND(STATS!C169="SWS",STATS!R169&gt;0),"YES","")</f>
        <v/>
      </c>
      <c r="D173" s="232"/>
      <c r="E173" s="232" t="str">
        <f>IF(AND(STATS!C169="SWS",STATS!S169&gt;0),"YES","")</f>
        <v/>
      </c>
      <c r="F173" s="19"/>
      <c r="H173" s="233" t="str">
        <f>IF(AND(STATS!C169="BOD",STATS!T169&gt;0),"YES","")</f>
        <v/>
      </c>
      <c r="I173" s="250"/>
      <c r="K173" s="234" t="str">
        <f>IF(AND(STATS!C169="BOF",STATS!T169&gt;0),"YES","")</f>
        <v/>
      </c>
      <c r="L173" s="251"/>
    </row>
    <row r="174" spans="1:12" x14ac:dyDescent="0.25">
      <c r="A174" s="235">
        <f>STATS!E170</f>
        <v>804</v>
      </c>
      <c r="B174" s="235" t="str">
        <f>STATS!H170</f>
        <v>GRAND</v>
      </c>
      <c r="C174" s="232" t="str">
        <f>IF(AND(STATS!C170="SWS",STATS!R170&gt;0),"YES","")</f>
        <v/>
      </c>
      <c r="D174" s="232"/>
      <c r="E174" s="232" t="str">
        <f>IF(AND(STATS!C170="SWS",STATS!S170&gt;0),"YES","")</f>
        <v/>
      </c>
      <c r="F174" s="19"/>
      <c r="H174" s="233" t="str">
        <f>IF(AND(STATS!C170="BOD",STATS!T170&gt;0),"YES","")</f>
        <v/>
      </c>
      <c r="I174" s="250"/>
      <c r="K174" s="234" t="str">
        <f>IF(AND(STATS!C170="BOF",STATS!T170&gt;0),"YES","")</f>
        <v/>
      </c>
      <c r="L174" s="251"/>
    </row>
    <row r="175" spans="1:12" x14ac:dyDescent="0.25">
      <c r="A175" s="235">
        <f>STATS!E171</f>
        <v>805</v>
      </c>
      <c r="B175" s="235" t="str">
        <f>STATS!H171</f>
        <v>TELEPHONE</v>
      </c>
      <c r="C175" s="232" t="str">
        <f>IF(AND(STATS!C171="SWS",STATS!R171&gt;0),"YES","")</f>
        <v/>
      </c>
      <c r="D175" s="232"/>
      <c r="E175" s="232" t="str">
        <f>IF(AND(STATS!C171="SWS",STATS!S171&gt;0),"YES","")</f>
        <v/>
      </c>
      <c r="F175" s="19"/>
      <c r="H175" s="233" t="str">
        <f>IF(AND(STATS!C171="BOD",STATS!T171&gt;0),"YES","")</f>
        <v/>
      </c>
      <c r="I175" s="250"/>
      <c r="K175" s="234" t="str">
        <f>IF(AND(STATS!C171="BOF",STATS!T171&gt;0),"YES","")</f>
        <v/>
      </c>
      <c r="L175" s="251"/>
    </row>
    <row r="176" spans="1:12" x14ac:dyDescent="0.25">
      <c r="A176" s="235">
        <f>STATS!E172</f>
        <v>806</v>
      </c>
      <c r="B176" s="235" t="str">
        <f>STATS!H172</f>
        <v>STEEL</v>
      </c>
      <c r="C176" s="232" t="str">
        <f>IF(AND(STATS!C172="SWS",STATS!R172&gt;0),"YES","")</f>
        <v/>
      </c>
      <c r="D176" s="232"/>
      <c r="E176" s="232" t="str">
        <f>IF(AND(STATS!C172="SWS",STATS!S172&gt;0),"YES","")</f>
        <v/>
      </c>
      <c r="F176" s="19"/>
      <c r="H176" s="233" t="str">
        <f>IF(AND(STATS!C172="BOD",STATS!T172&gt;0),"YES","")</f>
        <v/>
      </c>
      <c r="I176" s="250"/>
      <c r="K176" s="234" t="str">
        <f>IF(AND(STATS!C172="BOF",STATS!T172&gt;0),"YES","")</f>
        <v/>
      </c>
      <c r="L176" s="251"/>
    </row>
    <row r="177" spans="1:12" x14ac:dyDescent="0.25">
      <c r="A177" s="235">
        <f>STATS!E173</f>
        <v>807</v>
      </c>
      <c r="B177" s="235" t="str">
        <f>STATS!H173</f>
        <v>MILK</v>
      </c>
      <c r="C177" s="232" t="str">
        <f>IF(AND(STATS!C173="SWS",STATS!R173&gt;0),"YES","")</f>
        <v/>
      </c>
      <c r="D177" s="232"/>
      <c r="E177" s="232" t="str">
        <f>IF(AND(STATS!C173="SWS",STATS!S173&gt;0),"YES","")</f>
        <v/>
      </c>
      <c r="F177" s="19"/>
      <c r="H177" s="233" t="str">
        <f>IF(AND(STATS!C173="BOD",STATS!T173&gt;0),"YES","")</f>
        <v/>
      </c>
      <c r="I177" s="250"/>
      <c r="K177" s="234" t="str">
        <f>IF(AND(STATS!C173="BOF",STATS!T173&gt;0),"YES","")</f>
        <v/>
      </c>
      <c r="L177" s="251"/>
    </row>
    <row r="178" spans="1:12" x14ac:dyDescent="0.25">
      <c r="A178" s="235">
        <f>STATS!E174</f>
        <v>811</v>
      </c>
      <c r="B178" s="235" t="str">
        <f>STATS!H174</f>
        <v>BOULD</v>
      </c>
      <c r="C178" s="232" t="str">
        <f>IF(AND(STATS!C174="SWS",STATS!R174&gt;0),"YES","")</f>
        <v/>
      </c>
      <c r="D178" s="232"/>
      <c r="E178" s="232" t="str">
        <f>IF(AND(STATS!C174="SWS",STATS!S174&gt;0),"YES","")</f>
        <v/>
      </c>
      <c r="F178" s="19"/>
      <c r="H178" s="233" t="str">
        <f>IF(AND(STATS!C174="BOD",STATS!T174&gt;0),"YES","")</f>
        <v/>
      </c>
      <c r="I178" s="250"/>
      <c r="K178" s="234" t="str">
        <f>IF(AND(STATS!C174="BOF",STATS!T174&gt;0),"YES","")</f>
        <v/>
      </c>
      <c r="L178" s="251"/>
    </row>
    <row r="179" spans="1:12" x14ac:dyDescent="0.25">
      <c r="A179" s="235">
        <f>STATS!E175</f>
        <v>812</v>
      </c>
      <c r="B179" s="235" t="str">
        <f>STATS!H175</f>
        <v>WILLOW</v>
      </c>
      <c r="C179" s="232" t="str">
        <f>IF(AND(STATS!C175="SWS",STATS!R175&gt;0),"YES","")</f>
        <v/>
      </c>
      <c r="D179" s="232"/>
      <c r="E179" s="232" t="str">
        <f>IF(AND(STATS!C175="SWS",STATS!S175&gt;0),"YES","")</f>
        <v/>
      </c>
      <c r="F179" s="19"/>
      <c r="H179" s="233" t="str">
        <f>IF(AND(STATS!C175="BOD",STATS!T175&gt;0),"YES","")</f>
        <v/>
      </c>
      <c r="I179" s="250"/>
      <c r="K179" s="234" t="str">
        <f>IF(AND(STATS!C175="BOF",STATS!T175&gt;0),"YES","")</f>
        <v/>
      </c>
      <c r="L179" s="251"/>
    </row>
    <row r="180" spans="1:12" x14ac:dyDescent="0.25">
      <c r="A180" s="235">
        <f>STATS!E176</f>
        <v>815</v>
      </c>
      <c r="B180" s="235" t="str">
        <f>STATS!H176</f>
        <v>ROCKY</v>
      </c>
      <c r="C180" s="232" t="str">
        <f>IF(AND(STATS!C176="SWS",STATS!R176&gt;0),"YES","")</f>
        <v/>
      </c>
      <c r="D180" s="232"/>
      <c r="E180" s="232" t="str">
        <f>IF(AND(STATS!C176="SWS",STATS!S176&gt;0),"YES","")</f>
        <v/>
      </c>
      <c r="F180" s="19"/>
      <c r="H180" s="233" t="str">
        <f>IF(AND(STATS!C176="BOD",STATS!T176&gt;0),"YES","")</f>
        <v/>
      </c>
      <c r="I180" s="250"/>
      <c r="K180" s="234" t="str">
        <f>IF(AND(STATS!C176="BOF",STATS!T176&gt;0),"YES","")</f>
        <v/>
      </c>
      <c r="L180" s="251"/>
    </row>
    <row r="181" spans="1:12" x14ac:dyDescent="0.25">
      <c r="A181" s="235">
        <f>STATS!E177</f>
        <v>816</v>
      </c>
      <c r="B181" s="235" t="str">
        <f>STATS!H177</f>
        <v>SWAN</v>
      </c>
      <c r="C181" s="232" t="str">
        <f>IF(AND(STATS!C177="SWS",STATS!R177&gt;0),"YES","")</f>
        <v/>
      </c>
      <c r="D181" s="232"/>
      <c r="E181" s="232" t="str">
        <f>IF(AND(STATS!C177="SWS",STATS!S177&gt;0),"YES","")</f>
        <v/>
      </c>
      <c r="F181" s="19"/>
      <c r="H181" s="233" t="str">
        <f>IF(AND(STATS!C177="BOD",STATS!T177&gt;0),"YES","")</f>
        <v/>
      </c>
      <c r="I181" s="250"/>
      <c r="K181" s="234" t="str">
        <f>IF(AND(STATS!C177="BOF",STATS!T177&gt;0),"YES","")</f>
        <v/>
      </c>
      <c r="L181" s="251"/>
    </row>
    <row r="182" spans="1:12" x14ac:dyDescent="0.25">
      <c r="A182" s="235">
        <f>STATS!E178</f>
        <v>818</v>
      </c>
      <c r="B182" s="235" t="str">
        <f>STATS!H178</f>
        <v>HOODOO</v>
      </c>
      <c r="C182" s="232" t="str">
        <f>IF(AND(STATS!C178="SWS",STATS!R178&gt;0),"YES","")</f>
        <v/>
      </c>
      <c r="D182" s="232"/>
      <c r="E182" s="232" t="str">
        <f>IF(AND(STATS!C178="SWS",STATS!S178&gt;0),"YES","")</f>
        <v/>
      </c>
      <c r="F182" s="19"/>
      <c r="H182" s="233" t="str">
        <f>IF(AND(STATS!C178="BOD",STATS!T178&gt;0),"YES","")</f>
        <v/>
      </c>
      <c r="I182" s="250"/>
      <c r="K182" s="234" t="str">
        <f>IF(AND(STATS!C178="BOF",STATS!T178&gt;0),"YES","")</f>
        <v/>
      </c>
      <c r="L182" s="251"/>
    </row>
    <row r="183" spans="1:12" x14ac:dyDescent="0.25">
      <c r="A183" s="235">
        <f>STATS!E179</f>
        <v>834</v>
      </c>
      <c r="B183" s="235" t="str">
        <f>STATS!H179</f>
        <v>COTTON</v>
      </c>
      <c r="C183" s="232" t="str">
        <f>IF(AND(STATS!C179="SWS",STATS!R179&gt;0),"YES","")</f>
        <v/>
      </c>
      <c r="D183" s="232"/>
      <c r="E183" s="232" t="str">
        <f>IF(AND(STATS!C179="SWS",STATS!S179&gt;0),"YES","")</f>
        <v/>
      </c>
      <c r="F183" s="19"/>
      <c r="H183" s="233" t="str">
        <f>IF(AND(STATS!C179="BOD",STATS!T179&gt;0),"YES","")</f>
        <v/>
      </c>
      <c r="I183" s="250"/>
      <c r="K183" s="234" t="str">
        <f>IF(AND(STATS!C179="BOF",STATS!T179&gt;0),"YES","")</f>
        <v/>
      </c>
      <c r="L183" s="251"/>
    </row>
    <row r="184" spans="1:12" x14ac:dyDescent="0.25">
      <c r="A184" s="235">
        <f>STATS!E180</f>
        <v>837</v>
      </c>
      <c r="B184" s="235" t="str">
        <f>STATS!H180</f>
        <v>CRANEROCK</v>
      </c>
      <c r="C184" s="232" t="str">
        <f>IF(AND(STATS!C180="SWS",STATS!R180&gt;0),"YES","")</f>
        <v/>
      </c>
      <c r="D184" s="232"/>
      <c r="E184" s="232" t="str">
        <f>IF(AND(STATS!C180="SWS",STATS!S180&gt;0),"YES","")</f>
        <v/>
      </c>
      <c r="F184" s="19"/>
      <c r="H184" s="233" t="str">
        <f>IF(AND(STATS!C180="BOD",STATS!T180&gt;0),"YES","")</f>
        <v/>
      </c>
      <c r="I184" s="250"/>
      <c r="K184" s="234" t="str">
        <f>IF(AND(STATS!C180="BOF",STATS!T180&gt;0),"YES","")</f>
        <v/>
      </c>
      <c r="L184" s="251"/>
    </row>
    <row r="185" spans="1:12" x14ac:dyDescent="0.25">
      <c r="A185" s="235">
        <f>STATS!E181</f>
        <v>838</v>
      </c>
      <c r="B185" s="235" t="str">
        <f>STATS!H181</f>
        <v>MM1  HWY17</v>
      </c>
      <c r="C185" s="232" t="str">
        <f>IF(AND(STATS!C181="SWS",STATS!R181&gt;0),"YES","")</f>
        <v/>
      </c>
      <c r="D185" s="232"/>
      <c r="E185" s="232" t="str">
        <f>IF(AND(STATS!C181="SWS",STATS!S181&gt;0),"YES","")</f>
        <v/>
      </c>
      <c r="F185" s="19"/>
      <c r="H185" s="233" t="str">
        <f>IF(AND(STATS!C181="BOD",STATS!T181&gt;0),"YES","")</f>
        <v/>
      </c>
      <c r="I185" s="250"/>
      <c r="K185" s="234" t="str">
        <f>IF(AND(STATS!C181="BOF",STATS!T181&gt;0),"YES","")</f>
        <v/>
      </c>
      <c r="L185" s="251"/>
    </row>
    <row r="186" spans="1:12" x14ac:dyDescent="0.25">
      <c r="A186" s="235">
        <f>STATS!E182</f>
        <v>848</v>
      </c>
      <c r="B186" s="235" t="str">
        <f>STATS!H182</f>
        <v>MONDAY</v>
      </c>
      <c r="C186" s="232" t="str">
        <f>IF(AND(STATS!C182="SWS",STATS!R182&gt;0),"YES","")</f>
        <v/>
      </c>
      <c r="D186" s="232"/>
      <c r="E186" s="232" t="str">
        <f>IF(AND(STATS!C182="SWS",STATS!S182&gt;0),"YES","")</f>
        <v/>
      </c>
      <c r="F186" s="19"/>
      <c r="H186" s="233" t="str">
        <f>IF(AND(STATS!C182="BOD",STATS!T182&gt;0),"YES","")</f>
        <v/>
      </c>
      <c r="I186" s="250"/>
      <c r="K186" s="234" t="str">
        <f>IF(AND(STATS!C182="BOF",STATS!T182&gt;0),"YES","")</f>
        <v/>
      </c>
      <c r="L186" s="251"/>
    </row>
    <row r="187" spans="1:12" x14ac:dyDescent="0.25">
      <c r="A187" s="235">
        <f>STATS!E183</f>
        <v>859</v>
      </c>
      <c r="B187" s="235" t="str">
        <f>STATS!H183</f>
        <v>WHISKEY</v>
      </c>
      <c r="C187" s="232" t="str">
        <f>IF(AND(STATS!C183="SWS",STATS!R183&gt;0),"YES","")</f>
        <v/>
      </c>
      <c r="D187" s="232"/>
      <c r="E187" s="232" t="str">
        <f>IF(AND(STATS!C183="SWS",STATS!S183&gt;0),"YES","")</f>
        <v/>
      </c>
      <c r="F187" s="19"/>
      <c r="H187" s="233" t="str">
        <f>IF(AND(STATS!C183="BOD",STATS!T183&gt;0),"YES","")</f>
        <v/>
      </c>
      <c r="I187" s="250"/>
      <c r="K187" s="234" t="str">
        <f>IF(AND(STATS!C183="BOF",STATS!T183&gt;0),"YES","")</f>
        <v/>
      </c>
      <c r="L187" s="251"/>
    </row>
    <row r="188" spans="1:12" x14ac:dyDescent="0.25">
      <c r="A188" s="235">
        <f>STATS!E184</f>
        <v>876</v>
      </c>
      <c r="B188" s="235" t="str">
        <f>STATS!H184</f>
        <v>GABES</v>
      </c>
      <c r="C188" s="232" t="str">
        <f>IF(AND(STATS!C184="SWS",STATS!R184&gt;0),"YES","")</f>
        <v/>
      </c>
      <c r="D188" s="232"/>
      <c r="E188" s="232" t="str">
        <f>IF(AND(STATS!C184="SWS",STATS!S184&gt;0),"YES","")</f>
        <v/>
      </c>
      <c r="F188" s="19"/>
      <c r="H188" s="233" t="str">
        <f>IF(AND(STATS!C184="BOD",STATS!T184&gt;0),"YES","")</f>
        <v/>
      </c>
      <c r="I188" s="250"/>
      <c r="K188" s="234" t="str">
        <f>IF(AND(STATS!C184="BOF",STATS!T184&gt;0),"YES","")</f>
        <v/>
      </c>
      <c r="L188" s="251"/>
    </row>
    <row r="189" spans="1:12" x14ac:dyDescent="0.25">
      <c r="A189" s="235">
        <f>STATS!E185</f>
        <v>878</v>
      </c>
      <c r="B189" s="235" t="str">
        <f>STATS!H185</f>
        <v>TUB</v>
      </c>
      <c r="C189" s="232" t="str">
        <f>IF(AND(STATS!C185="SWS",STATS!R185&gt;0),"YES","")</f>
        <v/>
      </c>
      <c r="D189" s="232"/>
      <c r="E189" s="232" t="str">
        <f>IF(AND(STATS!C185="SWS",STATS!S185&gt;0),"YES","")</f>
        <v/>
      </c>
      <c r="F189" s="19"/>
      <c r="H189" s="233" t="str">
        <f>IF(AND(STATS!C185="BOD",STATS!T185&gt;0),"YES","")</f>
        <v/>
      </c>
      <c r="I189" s="250"/>
      <c r="K189" s="234" t="str">
        <f>IF(AND(STATS!C185="BOF",STATS!T185&gt;0),"YES","")</f>
        <v/>
      </c>
      <c r="L189" s="251"/>
    </row>
    <row r="190" spans="1:12" x14ac:dyDescent="0.25">
      <c r="A190" s="235">
        <f>STATS!E186</f>
        <v>887</v>
      </c>
      <c r="B190" s="235" t="str">
        <f>STATS!H186</f>
        <v>JENNY</v>
      </c>
      <c r="C190" s="232" t="str">
        <f>IF(AND(STATS!C186="SWS",STATS!R186&gt;0),"YES","")</f>
        <v/>
      </c>
      <c r="D190" s="232"/>
      <c r="E190" s="232" t="str">
        <f>IF(AND(STATS!C186="SWS",STATS!S186&gt;0),"YES","")</f>
        <v/>
      </c>
      <c r="F190" s="19"/>
      <c r="H190" s="233" t="str">
        <f>IF(AND(STATS!C186="BOD",STATS!T186&gt;0),"YES","")</f>
        <v/>
      </c>
      <c r="I190" s="250"/>
      <c r="K190" s="234" t="str">
        <f>IF(AND(STATS!C186="BOF",STATS!T186&gt;0),"YES","")</f>
        <v/>
      </c>
      <c r="L190" s="251"/>
    </row>
    <row r="191" spans="1:12" x14ac:dyDescent="0.25">
      <c r="A191" s="235">
        <f>STATS!E187</f>
        <v>896</v>
      </c>
      <c r="B191" s="235" t="str">
        <f>STATS!H187</f>
        <v>TERESA</v>
      </c>
      <c r="C191" s="232" t="str">
        <f>IF(AND(STATS!C187="SWS",STATS!R187&gt;0),"YES","")</f>
        <v/>
      </c>
      <c r="D191" s="232"/>
      <c r="E191" s="232" t="str">
        <f>IF(AND(STATS!C187="SWS",STATS!S187&gt;0),"YES","")</f>
        <v/>
      </c>
      <c r="F191" s="19"/>
      <c r="H191" s="233" t="str">
        <f>IF(AND(STATS!C187="BOD",STATS!T187&gt;0),"YES","")</f>
        <v>YES</v>
      </c>
      <c r="I191" s="250"/>
      <c r="K191" s="234" t="str">
        <f>IF(AND(STATS!C187="BOF",STATS!T187&gt;0),"YES","")</f>
        <v/>
      </c>
      <c r="L191" s="251"/>
    </row>
    <row r="192" spans="1:12" x14ac:dyDescent="0.25">
      <c r="A192" s="235">
        <f>STATS!E188</f>
        <v>897</v>
      </c>
      <c r="B192" s="235" t="str">
        <f>STATS!H188</f>
        <v>PHILLIPS</v>
      </c>
      <c r="C192" s="232" t="str">
        <f>IF(AND(STATS!C188="SWS",STATS!R188&gt;0),"YES","")</f>
        <v/>
      </c>
      <c r="D192" s="232"/>
      <c r="E192" s="232" t="str">
        <f>IF(AND(STATS!C188="SWS",STATS!S188&gt;0),"YES","")</f>
        <v>YES</v>
      </c>
      <c r="F192" s="19"/>
      <c r="H192" s="233" t="str">
        <f>IF(AND(STATS!C188="BOD",STATS!T188&gt;0),"YES","")</f>
        <v/>
      </c>
      <c r="I192" s="250"/>
      <c r="K192" s="234" t="str">
        <f>IF(AND(STATS!C188="BOF",STATS!T188&gt;0),"YES","")</f>
        <v/>
      </c>
      <c r="L192" s="251"/>
    </row>
    <row r="193" spans="1:12" x14ac:dyDescent="0.25">
      <c r="A193" s="235">
        <f>STATS!E189</f>
        <v>937</v>
      </c>
      <c r="B193" s="235" t="str">
        <f>STATS!H189</f>
        <v>BUTTE</v>
      </c>
      <c r="C193" s="232" t="str">
        <f>IF(AND(STATS!C189="SWS",STATS!R189&gt;0),"YES","")</f>
        <v/>
      </c>
      <c r="D193" s="232"/>
      <c r="E193" s="232" t="str">
        <f>IF(AND(STATS!C189="SWS",STATS!S189&gt;0),"YES","")</f>
        <v/>
      </c>
      <c r="F193" s="19"/>
      <c r="H193" s="233" t="str">
        <f>IF(AND(STATS!C189="BOD",STATS!T189&gt;0),"YES","")</f>
        <v/>
      </c>
      <c r="I193" s="250"/>
      <c r="K193" s="234" t="str">
        <f>IF(AND(STATS!C189="BOF",STATS!T189&gt;0),"YES","")</f>
        <v/>
      </c>
      <c r="L193" s="251"/>
    </row>
    <row r="194" spans="1:12" x14ac:dyDescent="0.25">
      <c r="A194" s="235">
        <f>STATS!E190</f>
        <v>943</v>
      </c>
      <c r="B194" s="235" t="str">
        <f>STATS!H190</f>
        <v>SKEIN</v>
      </c>
      <c r="C194" s="232" t="str">
        <f>IF(AND(STATS!C190="SWS",STATS!R190&gt;0),"YES","")</f>
        <v/>
      </c>
      <c r="D194" s="232"/>
      <c r="E194" s="232" t="str">
        <f>IF(AND(STATS!C190="SWS",STATS!S190&gt;0),"YES","")</f>
        <v/>
      </c>
      <c r="F194" s="19"/>
      <c r="H194" s="233" t="str">
        <f>IF(AND(STATS!C190="BOD",STATS!T190&gt;0),"YES","")</f>
        <v/>
      </c>
      <c r="I194" s="250"/>
      <c r="K194" s="234" t="str">
        <f>IF(AND(STATS!C190="BOF",STATS!T190&gt;0),"YES","")</f>
        <v/>
      </c>
      <c r="L194" s="251"/>
    </row>
    <row r="195" spans="1:12" x14ac:dyDescent="0.25">
      <c r="A195" s="235">
        <f>STATS!E191</f>
        <v>946</v>
      </c>
      <c r="B195" s="235" t="str">
        <f>STATS!H191</f>
        <v xml:space="preserve">DEEP </v>
      </c>
      <c r="C195" s="232" t="str">
        <f>IF(AND(STATS!C191="SWS",STATS!R191&gt;0),"YES","")</f>
        <v/>
      </c>
      <c r="D195" s="232"/>
      <c r="E195" s="232" t="str">
        <f>IF(AND(STATS!C191="SWS",STATS!S191&gt;0),"YES","")</f>
        <v/>
      </c>
      <c r="F195" s="19"/>
      <c r="H195" s="233" t="str">
        <f>IF(AND(STATS!C191="BOD",STATS!T191&gt;0),"YES","")</f>
        <v/>
      </c>
      <c r="I195" s="250"/>
      <c r="K195" s="234" t="str">
        <f>IF(AND(STATS!C191="BOF",STATS!T191&gt;0),"YES","")</f>
        <v/>
      </c>
      <c r="L195" s="251"/>
    </row>
    <row r="196" spans="1:12" x14ac:dyDescent="0.25">
      <c r="A196" s="235">
        <f>STATS!E192</f>
        <v>949</v>
      </c>
      <c r="B196" s="235" t="str">
        <f>STATS!H192</f>
        <v>RANGE</v>
      </c>
      <c r="C196" s="232" t="str">
        <f>IF(AND(STATS!C192="SWS",STATS!R192&gt;0),"YES","")</f>
        <v/>
      </c>
      <c r="D196" s="232"/>
      <c r="E196" s="232" t="str">
        <f>IF(AND(STATS!C192="SWS",STATS!S192&gt;0),"YES","")</f>
        <v/>
      </c>
      <c r="F196" s="19"/>
      <c r="H196" s="233" t="str">
        <f>IF(AND(STATS!C192="BOD",STATS!T192&gt;0),"YES","")</f>
        <v/>
      </c>
      <c r="I196" s="250"/>
      <c r="K196" s="234" t="str">
        <f>IF(AND(STATS!C192="BOF",STATS!T192&gt;0),"YES","")</f>
        <v>YES</v>
      </c>
      <c r="L196" s="251"/>
    </row>
    <row r="197" spans="1:12" x14ac:dyDescent="0.25">
      <c r="A197" s="235">
        <f>STATS!E193</f>
        <v>951</v>
      </c>
      <c r="B197" s="235" t="str">
        <f>STATS!H193</f>
        <v>BLACK</v>
      </c>
      <c r="C197" s="232" t="str">
        <f>IF(AND(STATS!C193="SWS",STATS!R193&gt;0),"YES","")</f>
        <v/>
      </c>
      <c r="D197" s="232"/>
      <c r="E197" s="232" t="str">
        <f>IF(AND(STATS!C193="SWS",STATS!S193&gt;0),"YES","")</f>
        <v/>
      </c>
      <c r="F197" s="19"/>
      <c r="H197" s="233" t="str">
        <f>IF(AND(STATS!C193="BOD",STATS!T193&gt;0),"YES","")</f>
        <v/>
      </c>
      <c r="I197" s="250"/>
      <c r="K197" s="234" t="str">
        <f>IF(AND(STATS!C193="BOF",STATS!T193&gt;0),"YES","")</f>
        <v/>
      </c>
      <c r="L197" s="251"/>
    </row>
    <row r="198" spans="1:12" x14ac:dyDescent="0.25">
      <c r="A198" s="235">
        <f>STATS!E194</f>
        <v>952</v>
      </c>
      <c r="B198" s="235" t="str">
        <f>STATS!H194</f>
        <v>HONEY</v>
      </c>
      <c r="C198" s="232" t="str">
        <f>IF(AND(STATS!C194="SWS",STATS!R194&gt;0),"YES","")</f>
        <v/>
      </c>
      <c r="D198" s="232"/>
      <c r="E198" s="232" t="str">
        <f>IF(AND(STATS!C194="SWS",STATS!S194&gt;0),"YES","")</f>
        <v/>
      </c>
      <c r="F198" s="19"/>
      <c r="H198" s="233" t="str">
        <f>IF(AND(STATS!C194="BOD",STATS!T194&gt;0),"YES","")</f>
        <v/>
      </c>
      <c r="I198" s="250"/>
      <c r="K198" s="234" t="str">
        <f>IF(AND(STATS!C194="BOF",STATS!T194&gt;0),"YES","")</f>
        <v/>
      </c>
      <c r="L198" s="251"/>
    </row>
    <row r="199" spans="1:12" x14ac:dyDescent="0.25">
      <c r="A199" s="235">
        <f>STATS!E195</f>
        <v>956</v>
      </c>
      <c r="B199" s="235" t="str">
        <f>STATS!H195</f>
        <v>SILVER</v>
      </c>
      <c r="C199" s="232" t="str">
        <f>IF(AND(STATS!C195="SWS",STATS!R195&gt;0),"YES","")</f>
        <v/>
      </c>
      <c r="D199" s="232"/>
      <c r="E199" s="232" t="str">
        <f>IF(AND(STATS!C195="SWS",STATS!S195&gt;0),"YES","")</f>
        <v/>
      </c>
      <c r="F199" s="19"/>
      <c r="H199" s="233" t="str">
        <f>IF(AND(STATS!C195="BOD",STATS!T195&gt;0),"YES","")</f>
        <v/>
      </c>
      <c r="I199" s="250"/>
      <c r="K199" s="234" t="str">
        <f>IF(AND(STATS!C195="BOF",STATS!T195&gt;0),"YES","")</f>
        <v/>
      </c>
      <c r="L199" s="251"/>
    </row>
    <row r="200" spans="1:12" x14ac:dyDescent="0.25">
      <c r="A200" s="235">
        <f>STATS!E196</f>
        <v>973</v>
      </c>
      <c r="B200" s="235" t="str">
        <f>STATS!H196</f>
        <v>BOULDER</v>
      </c>
      <c r="C200" s="232" t="str">
        <f>IF(AND(STATS!C196="SWS",STATS!R196&gt;0),"YES","")</f>
        <v/>
      </c>
      <c r="D200" s="232"/>
      <c r="E200" s="232" t="str">
        <f>IF(AND(STATS!C196="SWS",STATS!S196&gt;0),"YES","")</f>
        <v/>
      </c>
      <c r="F200" s="19"/>
      <c r="H200" s="233" t="str">
        <f>IF(AND(STATS!C196="BOD",STATS!T196&gt;0),"YES","")</f>
        <v/>
      </c>
      <c r="I200" s="250"/>
      <c r="K200" s="234" t="str">
        <f>IF(AND(STATS!C196="BOF",STATS!T196&gt;0),"YES","")</f>
        <v/>
      </c>
      <c r="L200" s="251"/>
    </row>
    <row r="201" spans="1:12" x14ac:dyDescent="0.25">
      <c r="A201" s="235">
        <f>STATS!E197</f>
        <v>974</v>
      </c>
      <c r="B201" s="235" t="str">
        <f>STATS!H197</f>
        <v>NELLIES</v>
      </c>
      <c r="C201" s="232" t="str">
        <f>IF(AND(STATS!C197="SWS",STATS!R197&gt;0),"YES","")</f>
        <v/>
      </c>
      <c r="D201" s="232"/>
      <c r="E201" s="232" t="str">
        <f>IF(AND(STATS!C197="SWS",STATS!S197&gt;0),"YES","")</f>
        <v/>
      </c>
      <c r="F201" s="19"/>
      <c r="H201" s="233" t="str">
        <f>IF(AND(STATS!C197="BOD",STATS!T197&gt;0),"YES","")</f>
        <v/>
      </c>
      <c r="I201" s="250"/>
      <c r="K201" s="234" t="str">
        <f>IF(AND(STATS!C197="BOF",STATS!T197&gt;0),"YES","")</f>
        <v/>
      </c>
      <c r="L201" s="251"/>
    </row>
    <row r="202" spans="1:12" x14ac:dyDescent="0.25">
      <c r="A202" s="235">
        <f>STATS!E198</f>
        <v>978</v>
      </c>
      <c r="B202" s="235" t="str">
        <f>STATS!H198</f>
        <v>PLEASANT</v>
      </c>
      <c r="C202" s="232" t="str">
        <f>IF(AND(STATS!C198="SWS",STATS!R198&gt;0),"YES","")</f>
        <v/>
      </c>
      <c r="D202" s="232"/>
      <c r="E202" s="232" t="str">
        <f>IF(AND(STATS!C198="SWS",STATS!S198&gt;0),"YES","")</f>
        <v/>
      </c>
      <c r="F202" s="19"/>
      <c r="H202" s="233" t="str">
        <f>IF(AND(STATS!C198="BOD",STATS!T198&gt;0),"YES","")</f>
        <v/>
      </c>
      <c r="I202" s="250"/>
      <c r="K202" s="234" t="str">
        <f>IF(AND(STATS!C198="BOF",STATS!T198&gt;0),"YES","")</f>
        <v/>
      </c>
      <c r="L202" s="251"/>
    </row>
    <row r="203" spans="1:12" x14ac:dyDescent="0.25">
      <c r="A203" s="235">
        <f>STATS!E199</f>
        <v>980</v>
      </c>
      <c r="B203" s="235" t="str">
        <f>STATS!H199</f>
        <v xml:space="preserve">FLYING </v>
      </c>
      <c r="C203" s="232" t="str">
        <f>IF(AND(STATS!C199="SWS",STATS!R199&gt;0),"YES","")</f>
        <v/>
      </c>
      <c r="D203" s="232"/>
      <c r="E203" s="232" t="str">
        <f>IF(AND(STATS!C199="SWS",STATS!S199&gt;0),"YES","")</f>
        <v/>
      </c>
      <c r="F203" s="19"/>
      <c r="H203" s="233" t="str">
        <f>IF(AND(STATS!C199="BOD",STATS!T199&gt;0),"YES","")</f>
        <v/>
      </c>
      <c r="I203" s="250"/>
      <c r="K203" s="234" t="str">
        <f>IF(AND(STATS!C199="BOF",STATS!T199&gt;0),"YES","")</f>
        <v/>
      </c>
      <c r="L203" s="251"/>
    </row>
    <row r="204" spans="1:12" x14ac:dyDescent="0.25">
      <c r="A204" s="235">
        <f>STATS!E200</f>
        <v>981</v>
      </c>
      <c r="B204" s="235" t="str">
        <f>STATS!H200</f>
        <v>EUREKA</v>
      </c>
      <c r="C204" s="232" t="str">
        <f>IF(AND(STATS!C200="SWS",STATS!R200&gt;0),"YES","")</f>
        <v/>
      </c>
      <c r="D204" s="232"/>
      <c r="E204" s="232" t="str">
        <f>IF(AND(STATS!C200="SWS",STATS!S200&gt;0),"YES","")</f>
        <v/>
      </c>
      <c r="F204" s="19"/>
      <c r="H204" s="233" t="str">
        <f>IF(AND(STATS!C200="BOD",STATS!T200&gt;0),"YES","")</f>
        <v/>
      </c>
      <c r="I204" s="250"/>
      <c r="K204" s="234" t="str">
        <f>IF(AND(STATS!C200="BOF",STATS!T200&gt;0),"YES","")</f>
        <v/>
      </c>
      <c r="L204" s="251"/>
    </row>
    <row r="205" spans="1:12" x14ac:dyDescent="0.25">
      <c r="A205" s="235">
        <f>STATS!E201</f>
        <v>983</v>
      </c>
      <c r="B205" s="235" t="str">
        <f>STATS!H201</f>
        <v xml:space="preserve">DITTO </v>
      </c>
      <c r="C205" s="232" t="str">
        <f>IF(AND(STATS!C201="SWS",STATS!R201&gt;0),"YES","")</f>
        <v/>
      </c>
      <c r="D205" s="232"/>
      <c r="E205" s="232" t="str">
        <f>IF(AND(STATS!C201="SWS",STATS!S201&gt;0),"YES","")</f>
        <v/>
      </c>
      <c r="F205" s="19"/>
      <c r="H205" s="233" t="str">
        <f>IF(AND(STATS!C201="BOD",STATS!T201&gt;0),"YES","")</f>
        <v/>
      </c>
      <c r="I205" s="250"/>
      <c r="K205" s="234" t="str">
        <f>IF(AND(STATS!C201="BOF",STATS!T201&gt;0),"YES","")</f>
        <v/>
      </c>
      <c r="L205" s="251"/>
    </row>
    <row r="206" spans="1:12" x14ac:dyDescent="0.25">
      <c r="A206" s="235">
        <f>STATS!E202</f>
        <v>984</v>
      </c>
      <c r="B206" s="235" t="str">
        <f>STATS!H202</f>
        <v>HAM</v>
      </c>
      <c r="C206" s="232" t="str">
        <f>IF(AND(STATS!C202="SWS",STATS!R202&gt;0),"YES","")</f>
        <v/>
      </c>
      <c r="D206" s="232"/>
      <c r="E206" s="232" t="str">
        <f>IF(AND(STATS!C202="SWS",STATS!S202&gt;0),"YES","")</f>
        <v/>
      </c>
      <c r="F206" s="19"/>
      <c r="H206" s="233" t="str">
        <f>IF(AND(STATS!C202="BOD",STATS!T202&gt;0),"YES","")</f>
        <v/>
      </c>
      <c r="I206" s="250"/>
      <c r="K206" s="234" t="str">
        <f>IF(AND(STATS!C202="BOF",STATS!T202&gt;0),"YES","")</f>
        <v/>
      </c>
      <c r="L206" s="251"/>
    </row>
    <row r="207" spans="1:12" x14ac:dyDescent="0.25">
      <c r="A207" s="235">
        <f>STATS!E203</f>
        <v>987</v>
      </c>
      <c r="B207" s="235" t="str">
        <f>STATS!H203</f>
        <v>PLEXI</v>
      </c>
      <c r="C207" s="232" t="str">
        <f>IF(AND(STATS!C203="SWS",STATS!R203&gt;0),"YES","")</f>
        <v/>
      </c>
      <c r="D207" s="232"/>
      <c r="E207" s="232" t="str">
        <f>IF(AND(STATS!C203="SWS",STATS!S203&gt;0),"YES","")</f>
        <v/>
      </c>
      <c r="F207" s="19"/>
      <c r="H207" s="233" t="str">
        <f>IF(AND(STATS!C203="BOD",STATS!T203&gt;0),"YES","")</f>
        <v/>
      </c>
      <c r="I207" s="250"/>
      <c r="K207" s="234" t="str">
        <f>IF(AND(STATS!C203="BOF",STATS!T203&gt;0),"YES","")</f>
        <v/>
      </c>
      <c r="L207" s="251"/>
    </row>
    <row r="208" spans="1:12" x14ac:dyDescent="0.25">
      <c r="A208" s="235">
        <f>STATS!E204</f>
        <v>993</v>
      </c>
      <c r="B208" s="235" t="str">
        <f>STATS!H204</f>
        <v>ROBIE</v>
      </c>
      <c r="C208" s="232" t="str">
        <f>IF(AND(STATS!C204="SWS",STATS!R204&gt;0),"YES","")</f>
        <v/>
      </c>
      <c r="D208" s="232"/>
      <c r="E208" s="232" t="str">
        <f>IF(AND(STATS!C204="SWS",STATS!S204&gt;0),"YES","")</f>
        <v/>
      </c>
      <c r="F208" s="19"/>
      <c r="H208" s="233" t="str">
        <f>IF(AND(STATS!C204="BOD",STATS!T204&gt;0),"YES","")</f>
        <v/>
      </c>
      <c r="I208" s="250"/>
      <c r="K208" s="234" t="str">
        <f>IF(AND(STATS!C204="BOF",STATS!T204&gt;0),"YES","")</f>
        <v/>
      </c>
      <c r="L208" s="251"/>
    </row>
    <row r="209" spans="1:12" x14ac:dyDescent="0.25">
      <c r="A209" s="235">
        <f>STATS!E205</f>
        <v>0</v>
      </c>
      <c r="B209" s="235">
        <f>STATS!H205</f>
        <v>0</v>
      </c>
      <c r="C209" s="232" t="str">
        <f>IF(AND(STATS!C205="SWS",STATS!R205&gt;0),"YES","")</f>
        <v/>
      </c>
      <c r="D209" s="232"/>
      <c r="E209" s="232" t="str">
        <f>IF(AND(STATS!C205="SWS",STATS!S205&gt;0),"YES","")</f>
        <v/>
      </c>
      <c r="F209" s="19"/>
      <c r="H209" s="233" t="str">
        <f>IF(AND(STATS!C205="BOD",STATS!T205&gt;0),"YES","")</f>
        <v/>
      </c>
      <c r="I209" s="250"/>
      <c r="K209" s="234" t="str">
        <f>IF(AND(STATS!C205="BOF",STATS!T205&gt;0),"YES","")</f>
        <v/>
      </c>
      <c r="L209" s="251"/>
    </row>
    <row r="210" spans="1:12" x14ac:dyDescent="0.25">
      <c r="A210" s="235">
        <f>STATS!E206</f>
        <v>0</v>
      </c>
      <c r="B210" s="235">
        <f>STATS!H206</f>
        <v>0</v>
      </c>
      <c r="C210" s="232" t="str">
        <f>IF(AND(STATS!C206="SWS",STATS!R206&gt;0),"YES","")</f>
        <v/>
      </c>
      <c r="D210" s="232"/>
      <c r="E210" s="232" t="str">
        <f>IF(AND(STATS!C206="SWS",STATS!S206&gt;0),"YES","")</f>
        <v/>
      </c>
      <c r="F210" s="19"/>
      <c r="H210" s="233" t="str">
        <f>IF(AND(STATS!C206="BOD",STATS!T206&gt;0),"YES","")</f>
        <v/>
      </c>
      <c r="I210" s="250"/>
      <c r="K210" s="234" t="str">
        <f>IF(AND(STATS!C206="BOF",STATS!T206&gt;0),"YES","")</f>
        <v/>
      </c>
      <c r="L210" s="251"/>
    </row>
    <row r="211" spans="1:12" x14ac:dyDescent="0.25">
      <c r="A211" s="235">
        <f>STATS!E207</f>
        <v>0</v>
      </c>
      <c r="B211" s="235">
        <f>STATS!H207</f>
        <v>0</v>
      </c>
      <c r="C211" s="232" t="str">
        <f>IF(AND(STATS!C207="SWS",STATS!R207&gt;0),"YES","")</f>
        <v/>
      </c>
      <c r="D211" s="232"/>
      <c r="E211" s="232" t="str">
        <f>IF(AND(STATS!C207="SWS",STATS!S207&gt;0),"YES","")</f>
        <v/>
      </c>
      <c r="F211" s="19"/>
      <c r="H211" s="233" t="str">
        <f>IF(AND(STATS!C207="BOD",STATS!T207&gt;0),"YES","")</f>
        <v/>
      </c>
      <c r="I211" s="250"/>
      <c r="K211" s="234" t="str">
        <f>IF(AND(STATS!C207="BOF",STATS!T207&gt;0),"YES","")</f>
        <v/>
      </c>
      <c r="L211" s="251"/>
    </row>
    <row r="212" spans="1:12" x14ac:dyDescent="0.25">
      <c r="A212" s="235">
        <f>STATS!E208</f>
        <v>0</v>
      </c>
      <c r="B212" s="235">
        <f>STATS!H208</f>
        <v>0</v>
      </c>
      <c r="C212" s="232" t="str">
        <f>IF(AND(STATS!C208="SWS",STATS!R208&gt;0),"YES","")</f>
        <v/>
      </c>
      <c r="D212" s="232"/>
      <c r="E212" s="232" t="str">
        <f>IF(AND(STATS!C208="SWS",STATS!S208&gt;0),"YES","")</f>
        <v/>
      </c>
      <c r="F212" s="19"/>
      <c r="H212" s="233" t="str">
        <f>IF(AND(STATS!C208="BOD",STATS!T208&gt;0),"YES","")</f>
        <v/>
      </c>
      <c r="I212" s="250"/>
      <c r="K212" s="234" t="str">
        <f>IF(AND(STATS!C208="BOF",STATS!T208&gt;0),"YES","")</f>
        <v/>
      </c>
      <c r="L212" s="251"/>
    </row>
    <row r="213" spans="1:12" x14ac:dyDescent="0.25">
      <c r="A213" s="235">
        <f>STATS!E209</f>
        <v>0</v>
      </c>
      <c r="B213" s="235">
        <f>STATS!H209</f>
        <v>0</v>
      </c>
      <c r="C213" s="232" t="str">
        <f>IF(AND(STATS!C209="SWS",STATS!R209&gt;0),"YES","")</f>
        <v/>
      </c>
      <c r="D213" s="232"/>
      <c r="E213" s="232" t="str">
        <f>IF(AND(STATS!C209="SWS",STATS!S209&gt;0),"YES","")</f>
        <v/>
      </c>
      <c r="F213" s="19"/>
      <c r="H213" s="233" t="str">
        <f>IF(AND(STATS!C209="BOD",STATS!T209&gt;0),"YES","")</f>
        <v/>
      </c>
      <c r="I213" s="250"/>
      <c r="K213" s="234" t="str">
        <f>IF(AND(STATS!C209="BOF",STATS!T209&gt;0),"YES","")</f>
        <v/>
      </c>
      <c r="L213" s="251"/>
    </row>
    <row r="214" spans="1:12" x14ac:dyDescent="0.25">
      <c r="A214" s="235">
        <f>STATS!E210</f>
        <v>0</v>
      </c>
      <c r="B214" s="235">
        <f>STATS!H210</f>
        <v>0</v>
      </c>
      <c r="C214" s="232" t="str">
        <f>IF(AND(STATS!C210="SWS",STATS!R210&gt;0),"YES","")</f>
        <v/>
      </c>
      <c r="D214" s="232"/>
      <c r="E214" s="232" t="str">
        <f>IF(AND(STATS!C210="SWS",STATS!S210&gt;0),"YES","")</f>
        <v/>
      </c>
      <c r="F214" s="19"/>
      <c r="H214" s="233" t="str">
        <f>IF(AND(STATS!C210="BOD",STATS!T210&gt;0),"YES","")</f>
        <v/>
      </c>
      <c r="I214" s="250"/>
      <c r="K214" s="234" t="str">
        <f>IF(AND(STATS!C210="BOF",STATS!T210&gt;0),"YES","")</f>
        <v/>
      </c>
      <c r="L214" s="251"/>
    </row>
    <row r="215" spans="1:12" x14ac:dyDescent="0.25">
      <c r="A215" s="235">
        <f>STATS!E211</f>
        <v>0</v>
      </c>
      <c r="B215" s="235">
        <f>STATS!H211</f>
        <v>0</v>
      </c>
      <c r="C215" s="232" t="str">
        <f>IF(AND(STATS!C211="SWS",STATS!R211&gt;0),"YES","")</f>
        <v/>
      </c>
      <c r="D215" s="232"/>
      <c r="E215" s="232" t="str">
        <f>IF(AND(STATS!C211="SWS",STATS!S211&gt;0),"YES","")</f>
        <v/>
      </c>
      <c r="F215" s="19"/>
      <c r="H215" s="233" t="str">
        <f>IF(AND(STATS!C211="BOD",STATS!T211&gt;0),"YES","")</f>
        <v/>
      </c>
      <c r="I215" s="250"/>
      <c r="K215" s="234" t="str">
        <f>IF(AND(STATS!C211="BOF",STATS!T211&gt;0),"YES","")</f>
        <v/>
      </c>
      <c r="L215" s="251"/>
    </row>
    <row r="216" spans="1:12" x14ac:dyDescent="0.25">
      <c r="A216" s="235">
        <f>STATS!E212</f>
        <v>0</v>
      </c>
      <c r="B216" s="235">
        <f>STATS!H212</f>
        <v>0</v>
      </c>
      <c r="C216" s="232" t="str">
        <f>IF(AND(STATS!C212="SWS",STATS!R212&gt;0),"YES","")</f>
        <v/>
      </c>
      <c r="D216" s="232"/>
      <c r="E216" s="232" t="str">
        <f>IF(AND(STATS!C212="SWS",STATS!S212&gt;0),"YES","")</f>
        <v/>
      </c>
      <c r="F216" s="19"/>
      <c r="H216" s="233" t="str">
        <f>IF(AND(STATS!C212="BOD",STATS!T212&gt;0),"YES","")</f>
        <v/>
      </c>
      <c r="I216" s="250"/>
      <c r="K216" s="234" t="str">
        <f>IF(AND(STATS!C212="BOF",STATS!T212&gt;0),"YES","")</f>
        <v/>
      </c>
      <c r="L216" s="251"/>
    </row>
    <row r="217" spans="1:12" x14ac:dyDescent="0.25">
      <c r="A217" s="235">
        <f>STATS!E213</f>
        <v>0</v>
      </c>
      <c r="B217" s="235">
        <f>STATS!H213</f>
        <v>0</v>
      </c>
      <c r="C217" s="232" t="str">
        <f>IF(AND(STATS!C213="SWS",STATS!R213&gt;0),"YES","")</f>
        <v/>
      </c>
      <c r="D217" s="232"/>
      <c r="E217" s="232" t="str">
        <f>IF(AND(STATS!C213="SWS",STATS!S213&gt;0),"YES","")</f>
        <v/>
      </c>
      <c r="F217" s="19"/>
      <c r="H217" s="233" t="str">
        <f>IF(AND(STATS!C213="BOD",STATS!T213&gt;0),"YES","")</f>
        <v/>
      </c>
      <c r="I217" s="250"/>
      <c r="K217" s="234" t="str">
        <f>IF(AND(STATS!C213="BOF",STATS!T213&gt;0),"YES","")</f>
        <v/>
      </c>
      <c r="L217" s="251"/>
    </row>
    <row r="218" spans="1:12" x14ac:dyDescent="0.25">
      <c r="A218" s="235">
        <f>STATS!E214</f>
        <v>0</v>
      </c>
      <c r="B218" s="235">
        <f>STATS!H214</f>
        <v>0</v>
      </c>
      <c r="C218" s="232" t="str">
        <f>IF(AND(STATS!C214="SWS",STATS!R214&gt;0),"YES","")</f>
        <v/>
      </c>
      <c r="D218" s="232"/>
      <c r="E218" s="232" t="str">
        <f>IF(AND(STATS!C214="SWS",STATS!S214&gt;0),"YES","")</f>
        <v/>
      </c>
      <c r="F218" s="19"/>
      <c r="H218" s="233" t="str">
        <f>IF(AND(STATS!C214="BOD",STATS!T214&gt;0),"YES","")</f>
        <v/>
      </c>
      <c r="I218" s="250"/>
      <c r="K218" s="234" t="str">
        <f>IF(AND(STATS!C214="BOF",STATS!T214&gt;0),"YES","")</f>
        <v/>
      </c>
      <c r="L218" s="251"/>
    </row>
    <row r="219" spans="1:12" x14ac:dyDescent="0.25">
      <c r="A219" s="235">
        <f>STATS!E215</f>
        <v>0</v>
      </c>
      <c r="B219" s="235">
        <f>STATS!H215</f>
        <v>0</v>
      </c>
      <c r="C219" s="232" t="str">
        <f>IF(AND(STATS!C215="SWS",STATS!R215&gt;0),"YES","")</f>
        <v/>
      </c>
      <c r="D219" s="232"/>
      <c r="E219" s="232" t="str">
        <f>IF(AND(STATS!C215="SWS",STATS!S215&gt;0),"YES","")</f>
        <v/>
      </c>
      <c r="F219" s="19"/>
      <c r="H219" s="233" t="str">
        <f>IF(AND(STATS!C215="BOD",STATS!T215&gt;0),"YES","")</f>
        <v/>
      </c>
      <c r="I219" s="250"/>
      <c r="K219" s="234" t="str">
        <f>IF(AND(STATS!C215="BOF",STATS!T215&gt;0),"YES","")</f>
        <v/>
      </c>
      <c r="L219" s="251"/>
    </row>
    <row r="220" spans="1:12" x14ac:dyDescent="0.25">
      <c r="A220" s="235">
        <f>STATS!E216</f>
        <v>0</v>
      </c>
      <c r="B220" s="235">
        <f>STATS!H216</f>
        <v>0</v>
      </c>
      <c r="C220" s="232" t="str">
        <f>IF(AND(STATS!C216="SWS",STATS!R216&gt;0),"YES","")</f>
        <v/>
      </c>
      <c r="D220" s="232"/>
      <c r="E220" s="232" t="str">
        <f>IF(AND(STATS!C216="SWS",STATS!S216&gt;0),"YES","")</f>
        <v/>
      </c>
      <c r="F220" s="19"/>
      <c r="H220" s="233" t="str">
        <f>IF(AND(STATS!C216="BOD",STATS!T216&gt;0),"YES","")</f>
        <v/>
      </c>
      <c r="I220" s="250"/>
      <c r="K220" s="234" t="str">
        <f>IF(AND(STATS!C216="BOF",STATS!T216&gt;0),"YES","")</f>
        <v/>
      </c>
      <c r="L220" s="251"/>
    </row>
    <row r="221" spans="1:12" x14ac:dyDescent="0.25">
      <c r="A221" s="235">
        <f>STATS!E217</f>
        <v>0</v>
      </c>
      <c r="B221" s="235">
        <f>STATS!H217</f>
        <v>0</v>
      </c>
      <c r="C221" s="232" t="str">
        <f>IF(AND(STATS!C217="SWS",STATS!R217&gt;0),"YES","")</f>
        <v/>
      </c>
      <c r="D221" s="232"/>
      <c r="E221" s="232" t="str">
        <f>IF(AND(STATS!C217="SWS",STATS!S217&gt;0),"YES","")</f>
        <v/>
      </c>
      <c r="F221" s="19"/>
      <c r="H221" s="233" t="str">
        <f>IF(AND(STATS!C217="BOD",STATS!T217&gt;0),"YES","")</f>
        <v/>
      </c>
      <c r="I221" s="250"/>
      <c r="K221" s="234" t="str">
        <f>IF(AND(STATS!C217="BOF",STATS!T217&gt;0),"YES","")</f>
        <v/>
      </c>
      <c r="L221" s="251"/>
    </row>
    <row r="222" spans="1:12" x14ac:dyDescent="0.25">
      <c r="A222" s="235">
        <f>STATS!E218</f>
        <v>0</v>
      </c>
      <c r="B222" s="235">
        <f>STATS!H218</f>
        <v>0</v>
      </c>
      <c r="C222" s="232" t="str">
        <f>IF(AND(STATS!C218="SWS",STATS!R218&gt;0),"YES","")</f>
        <v/>
      </c>
      <c r="D222" s="232"/>
      <c r="E222" s="232" t="str">
        <f>IF(AND(STATS!C218="SWS",STATS!S218&gt;0),"YES","")</f>
        <v/>
      </c>
      <c r="F222" s="19"/>
      <c r="H222" s="233" t="str">
        <f>IF(AND(STATS!C218="BOD",STATS!T218&gt;0),"YES","")</f>
        <v/>
      </c>
      <c r="I222" s="250"/>
      <c r="K222" s="234" t="str">
        <f>IF(AND(STATS!C218="BOF",STATS!T218&gt;0),"YES","")</f>
        <v/>
      </c>
      <c r="L222" s="251"/>
    </row>
    <row r="223" spans="1:12" x14ac:dyDescent="0.25">
      <c r="A223" s="235">
        <f>STATS!E219</f>
        <v>0</v>
      </c>
      <c r="B223" s="235">
        <f>STATS!H219</f>
        <v>0</v>
      </c>
      <c r="C223" s="232" t="str">
        <f>IF(AND(STATS!C219="SWS",STATS!R219&gt;0),"YES","")</f>
        <v/>
      </c>
      <c r="D223" s="232"/>
      <c r="E223" s="232" t="str">
        <f>IF(AND(STATS!C219="SWS",STATS!S219&gt;0),"YES","")</f>
        <v/>
      </c>
      <c r="F223" s="19"/>
      <c r="H223" s="233" t="str">
        <f>IF(AND(STATS!C219="BOD",STATS!T219&gt;0),"YES","")</f>
        <v/>
      </c>
      <c r="I223" s="250"/>
      <c r="K223" s="234" t="str">
        <f>IF(AND(STATS!C219="BOF",STATS!T219&gt;0),"YES","")</f>
        <v/>
      </c>
      <c r="L223" s="251"/>
    </row>
    <row r="224" spans="1:12" x14ac:dyDescent="0.25">
      <c r="A224" s="235">
        <f>STATS!E220</f>
        <v>0</v>
      </c>
      <c r="B224" s="235">
        <f>STATS!H220</f>
        <v>0</v>
      </c>
      <c r="C224" s="232" t="str">
        <f>IF(AND(STATS!C220="SWS",STATS!R220&gt;0),"YES","")</f>
        <v/>
      </c>
      <c r="D224" s="232"/>
      <c r="E224" s="232" t="str">
        <f>IF(AND(STATS!C220="SWS",STATS!S220&gt;0),"YES","")</f>
        <v/>
      </c>
      <c r="F224" s="19"/>
      <c r="H224" s="233" t="str">
        <f>IF(AND(STATS!C220="BOD",STATS!T220&gt;0),"YES","")</f>
        <v/>
      </c>
      <c r="I224" s="250"/>
      <c r="K224" s="234" t="str">
        <f>IF(AND(STATS!C220="BOF",STATS!T220&gt;0),"YES","")</f>
        <v/>
      </c>
      <c r="L224" s="251"/>
    </row>
    <row r="225" spans="1:12" x14ac:dyDescent="0.25">
      <c r="A225" s="235">
        <f>STATS!E221</f>
        <v>0</v>
      </c>
      <c r="B225" s="235">
        <f>STATS!H221</f>
        <v>0</v>
      </c>
      <c r="C225" s="232" t="str">
        <f>IF(AND(STATS!C221="SWS",STATS!R221&gt;0),"YES","")</f>
        <v/>
      </c>
      <c r="D225" s="232"/>
      <c r="E225" s="232" t="str">
        <f>IF(AND(STATS!C221="SWS",STATS!S221&gt;0),"YES","")</f>
        <v/>
      </c>
      <c r="F225" s="19"/>
      <c r="H225" s="233" t="str">
        <f>IF(AND(STATS!C221="BOD",STATS!T221&gt;0),"YES","")</f>
        <v/>
      </c>
      <c r="I225" s="250"/>
      <c r="K225" s="234" t="str">
        <f>IF(AND(STATS!C221="BOF",STATS!T221&gt;0),"YES","")</f>
        <v/>
      </c>
      <c r="L225" s="251"/>
    </row>
    <row r="226" spans="1:12" x14ac:dyDescent="0.25">
      <c r="A226" s="235">
        <f>STATS!E222</f>
        <v>0</v>
      </c>
      <c r="B226" s="235">
        <f>STATS!H222</f>
        <v>0</v>
      </c>
      <c r="C226" s="232" t="str">
        <f>IF(AND(STATS!C222="SWS",STATS!R222&gt;0),"YES","")</f>
        <v/>
      </c>
      <c r="D226" s="232"/>
      <c r="E226" s="232" t="str">
        <f>IF(AND(STATS!C222="SWS",STATS!S222&gt;0),"YES","")</f>
        <v/>
      </c>
      <c r="F226" s="19"/>
      <c r="H226" s="233" t="str">
        <f>IF(AND(STATS!C222="BOD",STATS!T222&gt;0),"YES","")</f>
        <v/>
      </c>
      <c r="I226" s="250"/>
      <c r="K226" s="234" t="str">
        <f>IF(AND(STATS!C222="BOF",STATS!T222&gt;0),"YES","")</f>
        <v/>
      </c>
      <c r="L226" s="251"/>
    </row>
    <row r="227" spans="1:12" x14ac:dyDescent="0.25">
      <c r="A227" s="235">
        <f>STATS!E223</f>
        <v>0</v>
      </c>
      <c r="B227" s="235">
        <f>STATS!H223</f>
        <v>0</v>
      </c>
      <c r="C227" s="232" t="str">
        <f>IF(AND(STATS!C223="SWS",STATS!R223&gt;0),"YES","")</f>
        <v/>
      </c>
      <c r="D227" s="232"/>
      <c r="E227" s="232" t="str">
        <f>IF(AND(STATS!C223="SWS",STATS!S223&gt;0),"YES","")</f>
        <v/>
      </c>
      <c r="F227" s="19"/>
      <c r="H227" s="233" t="str">
        <f>IF(AND(STATS!C223="BOD",STATS!T223&gt;0),"YES","")</f>
        <v/>
      </c>
      <c r="I227" s="250"/>
      <c r="K227" s="234" t="str">
        <f>IF(AND(STATS!C223="BOF",STATS!T223&gt;0),"YES","")</f>
        <v/>
      </c>
      <c r="L227" s="251"/>
    </row>
    <row r="228" spans="1:12" x14ac:dyDescent="0.25">
      <c r="A228" s="235">
        <f>STATS!E224</f>
        <v>0</v>
      </c>
      <c r="B228" s="235">
        <f>STATS!H224</f>
        <v>0</v>
      </c>
      <c r="C228" s="232" t="str">
        <f>IF(AND(STATS!C224="SWS",STATS!R224&gt;0),"YES","")</f>
        <v/>
      </c>
      <c r="D228" s="232"/>
      <c r="E228" s="232" t="str">
        <f>IF(AND(STATS!C224="SWS",STATS!S224&gt;0),"YES","")</f>
        <v/>
      </c>
      <c r="F228" s="19"/>
      <c r="H228" s="233" t="str">
        <f>IF(AND(STATS!C224="BOD",STATS!T224&gt;0),"YES","")</f>
        <v/>
      </c>
      <c r="I228" s="250"/>
      <c r="K228" s="234" t="str">
        <f>IF(AND(STATS!C224="BOF",STATS!T224&gt;0),"YES","")</f>
        <v/>
      </c>
      <c r="L228" s="251"/>
    </row>
    <row r="229" spans="1:12" x14ac:dyDescent="0.25">
      <c r="A229" s="235">
        <f>STATS!E225</f>
        <v>0</v>
      </c>
      <c r="B229" s="235">
        <f>STATS!H225</f>
        <v>0</v>
      </c>
      <c r="C229" s="232" t="str">
        <f>IF(AND(STATS!C225="SWS",STATS!R225&gt;0),"YES","")</f>
        <v/>
      </c>
      <c r="D229" s="232"/>
      <c r="E229" s="232" t="str">
        <f>IF(AND(STATS!C225="SWS",STATS!S225&gt;0),"YES","")</f>
        <v/>
      </c>
      <c r="F229" s="19"/>
      <c r="H229" s="233" t="str">
        <f>IF(AND(STATS!C225="BOD",STATS!T225&gt;0),"YES","")</f>
        <v/>
      </c>
      <c r="I229" s="250"/>
      <c r="K229" s="234" t="str">
        <f>IF(AND(STATS!C225="BOF",STATS!T225&gt;0),"YES","")</f>
        <v/>
      </c>
      <c r="L229" s="251"/>
    </row>
    <row r="230" spans="1:12" x14ac:dyDescent="0.25">
      <c r="A230" s="235">
        <f>STATS!E226</f>
        <v>0</v>
      </c>
      <c r="B230" s="235">
        <f>STATS!H226</f>
        <v>0</v>
      </c>
      <c r="C230" s="232" t="str">
        <f>IF(AND(STATS!C226="SWS",STATS!R226&gt;0),"YES","")</f>
        <v/>
      </c>
      <c r="D230" s="232"/>
      <c r="E230" s="232" t="str">
        <f>IF(AND(STATS!C226="SWS",STATS!S226&gt;0),"YES","")</f>
        <v/>
      </c>
      <c r="F230" s="19"/>
      <c r="H230" s="233" t="str">
        <f>IF(AND(STATS!C226="BOD",STATS!T226&gt;0),"YES","")</f>
        <v/>
      </c>
      <c r="I230" s="250"/>
      <c r="K230" s="234" t="str">
        <f>IF(AND(STATS!C226="BOF",STATS!T226&gt;0),"YES","")</f>
        <v/>
      </c>
      <c r="L230" s="251"/>
    </row>
    <row r="231" spans="1:12" x14ac:dyDescent="0.25">
      <c r="A231" s="235">
        <f>STATS!E227</f>
        <v>0</v>
      </c>
      <c r="B231" s="235">
        <f>STATS!H227</f>
        <v>0</v>
      </c>
      <c r="C231" s="232" t="str">
        <f>IF(AND(STATS!C227="SWS",STATS!R227&gt;0),"YES","")</f>
        <v/>
      </c>
      <c r="D231" s="232"/>
      <c r="E231" s="232" t="str">
        <f>IF(AND(STATS!C227="SWS",STATS!S227&gt;0),"YES","")</f>
        <v/>
      </c>
      <c r="F231" s="19"/>
      <c r="H231" s="233" t="str">
        <f>IF(AND(STATS!C227="BOD",STATS!T227&gt;0),"YES","")</f>
        <v/>
      </c>
      <c r="I231" s="250"/>
      <c r="K231" s="234" t="str">
        <f>IF(AND(STATS!C227="BOF",STATS!T227&gt;0),"YES","")</f>
        <v/>
      </c>
      <c r="L231" s="251"/>
    </row>
    <row r="232" spans="1:12" x14ac:dyDescent="0.25">
      <c r="A232" s="235">
        <f>STATS!E228</f>
        <v>0</v>
      </c>
      <c r="B232" s="235">
        <f>STATS!H228</f>
        <v>0</v>
      </c>
      <c r="C232" s="232" t="str">
        <f>IF(AND(STATS!C228="SWS",STATS!R228&gt;0),"YES","")</f>
        <v/>
      </c>
      <c r="D232" s="232"/>
      <c r="E232" s="232" t="str">
        <f>IF(AND(STATS!C228="SWS",STATS!S228&gt;0),"YES","")</f>
        <v/>
      </c>
      <c r="F232" s="19"/>
      <c r="H232" s="233" t="str">
        <f>IF(AND(STATS!C228="BOD",STATS!T228&gt;0),"YES","")</f>
        <v/>
      </c>
      <c r="I232" s="250"/>
      <c r="K232" s="234" t="str">
        <f>IF(AND(STATS!C228="BOF",STATS!T228&gt;0),"YES","")</f>
        <v/>
      </c>
      <c r="L232" s="251"/>
    </row>
    <row r="233" spans="1:12" x14ac:dyDescent="0.25">
      <c r="A233" s="235">
        <f>STATS!E229</f>
        <v>0</v>
      </c>
      <c r="B233" s="235">
        <f>STATS!H229</f>
        <v>0</v>
      </c>
      <c r="C233" s="232" t="str">
        <f>IF(AND(STATS!C229="SWS",STATS!R229&gt;0),"YES","")</f>
        <v/>
      </c>
      <c r="D233" s="232"/>
      <c r="E233" s="232" t="str">
        <f>IF(AND(STATS!C229="SWS",STATS!S229&gt;0),"YES","")</f>
        <v/>
      </c>
      <c r="F233" s="19"/>
      <c r="H233" s="233" t="str">
        <f>IF(AND(STATS!C229="BOD",STATS!T229&gt;0),"YES","")</f>
        <v/>
      </c>
      <c r="I233" s="250"/>
      <c r="K233" s="234" t="str">
        <f>IF(AND(STATS!C229="BOF",STATS!T229&gt;0),"YES","")</f>
        <v/>
      </c>
      <c r="L233" s="251"/>
    </row>
    <row r="234" spans="1:12" x14ac:dyDescent="0.25">
      <c r="A234" s="235">
        <f>STATS!E230</f>
        <v>0</v>
      </c>
      <c r="B234" s="235">
        <f>STATS!H230</f>
        <v>0</v>
      </c>
      <c r="C234" s="232" t="str">
        <f>IF(AND(STATS!C230="SWS",STATS!R230&gt;0),"YES","")</f>
        <v/>
      </c>
      <c r="D234" s="232"/>
      <c r="E234" s="232" t="str">
        <f>IF(AND(STATS!C230="SWS",STATS!S230&gt;0),"YES","")</f>
        <v/>
      </c>
      <c r="F234" s="19"/>
      <c r="H234" s="233" t="str">
        <f>IF(AND(STATS!C230="BOD",STATS!T230&gt;0),"YES","")</f>
        <v/>
      </c>
      <c r="I234" s="250"/>
      <c r="K234" s="234" t="str">
        <f>IF(AND(STATS!C230="BOF",STATS!T230&gt;0),"YES","")</f>
        <v/>
      </c>
      <c r="L234" s="251"/>
    </row>
    <row r="235" spans="1:12" x14ac:dyDescent="0.25">
      <c r="A235" s="235">
        <f>STATS!E231</f>
        <v>0</v>
      </c>
      <c r="B235" s="235">
        <f>STATS!H231</f>
        <v>0</v>
      </c>
      <c r="C235" s="232" t="str">
        <f>IF(AND(STATS!C231="SWS",STATS!R231&gt;0),"YES","")</f>
        <v/>
      </c>
      <c r="D235" s="232"/>
      <c r="E235" s="232" t="str">
        <f>IF(AND(STATS!C231="SWS",STATS!S231&gt;0),"YES","")</f>
        <v/>
      </c>
      <c r="F235" s="19"/>
      <c r="H235" s="233" t="str">
        <f>IF(AND(STATS!C231="BOD",STATS!T231&gt;0),"YES","")</f>
        <v/>
      </c>
      <c r="I235" s="250"/>
      <c r="K235" s="234" t="str">
        <f>IF(AND(STATS!C231="BOF",STATS!T231&gt;0),"YES","")</f>
        <v/>
      </c>
      <c r="L235" s="251"/>
    </row>
    <row r="236" spans="1:12" x14ac:dyDescent="0.25">
      <c r="A236" s="235">
        <f>STATS!E232</f>
        <v>0</v>
      </c>
      <c r="B236" s="235">
        <f>STATS!H232</f>
        <v>0</v>
      </c>
      <c r="C236" s="232" t="str">
        <f>IF(AND(STATS!C232="SWS",STATS!R232&gt;0),"YES","")</f>
        <v/>
      </c>
      <c r="D236" s="232"/>
      <c r="E236" s="232" t="str">
        <f>IF(AND(STATS!C232="SWS",STATS!S232&gt;0),"YES","")</f>
        <v/>
      </c>
      <c r="F236" s="19"/>
      <c r="H236" s="233" t="str">
        <f>IF(AND(STATS!C232="BOD",STATS!T232&gt;0),"YES","")</f>
        <v/>
      </c>
      <c r="I236" s="250"/>
      <c r="K236" s="234" t="str">
        <f>IF(AND(STATS!C232="BOF",STATS!T232&gt;0),"YES","")</f>
        <v/>
      </c>
      <c r="L236" s="251"/>
    </row>
    <row r="237" spans="1:12" x14ac:dyDescent="0.25">
      <c r="A237" s="235">
        <f>STATS!E233</f>
        <v>0</v>
      </c>
      <c r="B237" s="235">
        <f>STATS!H233</f>
        <v>0</v>
      </c>
      <c r="C237" s="232" t="str">
        <f>IF(AND(STATS!C233="SWS",STATS!R233&gt;0),"YES","")</f>
        <v/>
      </c>
      <c r="D237" s="232"/>
      <c r="E237" s="232" t="str">
        <f>IF(AND(STATS!C233="SWS",STATS!S233&gt;0),"YES","")</f>
        <v/>
      </c>
      <c r="F237" s="19"/>
      <c r="H237" s="233" t="str">
        <f>IF(AND(STATS!C233="BOD",STATS!T233&gt;0),"YES","")</f>
        <v/>
      </c>
      <c r="I237" s="250"/>
      <c r="K237" s="234" t="str">
        <f>IF(AND(STATS!C233="BOF",STATS!T233&gt;0),"YES","")</f>
        <v/>
      </c>
      <c r="L237" s="251"/>
    </row>
    <row r="238" spans="1:12" x14ac:dyDescent="0.25">
      <c r="A238" s="235">
        <f>STATS!E234</f>
        <v>0</v>
      </c>
      <c r="B238" s="235">
        <f>STATS!H234</f>
        <v>0</v>
      </c>
      <c r="C238" s="232" t="str">
        <f>IF(AND(STATS!C234="SWS",STATS!R234&gt;0),"YES","")</f>
        <v/>
      </c>
      <c r="D238" s="232"/>
      <c r="E238" s="232" t="str">
        <f>IF(AND(STATS!C234="SWS",STATS!S234&gt;0),"YES","")</f>
        <v/>
      </c>
      <c r="F238" s="19"/>
      <c r="H238" s="233" t="str">
        <f>IF(AND(STATS!C234="BOD",STATS!T234&gt;0),"YES","")</f>
        <v/>
      </c>
      <c r="I238" s="250"/>
      <c r="K238" s="234" t="str">
        <f>IF(AND(STATS!C234="BOF",STATS!T234&gt;0),"YES","")</f>
        <v/>
      </c>
      <c r="L238" s="251"/>
    </row>
    <row r="239" spans="1:12" x14ac:dyDescent="0.25">
      <c r="A239" s="235">
        <f>STATS!E235</f>
        <v>0</v>
      </c>
      <c r="B239" s="235">
        <f>STATS!H235</f>
        <v>0</v>
      </c>
      <c r="C239" s="232" t="str">
        <f>IF(AND(STATS!C235="SWS",STATS!R235&gt;0),"YES","")</f>
        <v/>
      </c>
      <c r="D239" s="232"/>
      <c r="E239" s="232" t="str">
        <f>IF(AND(STATS!C235="SWS",STATS!S235&gt;0),"YES","")</f>
        <v/>
      </c>
      <c r="F239" s="19"/>
      <c r="H239" s="233" t="str">
        <f>IF(AND(STATS!C235="BOD",STATS!T235&gt;0),"YES","")</f>
        <v/>
      </c>
      <c r="I239" s="250"/>
      <c r="K239" s="234" t="str">
        <f>IF(AND(STATS!C235="BOF",STATS!T235&gt;0),"YES","")</f>
        <v/>
      </c>
      <c r="L239" s="251"/>
    </row>
    <row r="240" spans="1:12" x14ac:dyDescent="0.25">
      <c r="A240" s="235">
        <f>STATS!E236</f>
        <v>0</v>
      </c>
      <c r="B240" s="235">
        <f>STATS!H236</f>
        <v>0</v>
      </c>
      <c r="C240" s="232" t="str">
        <f>IF(AND(STATS!C236="SWS",STATS!R236&gt;0),"YES","")</f>
        <v/>
      </c>
      <c r="D240" s="232"/>
      <c r="E240" s="232" t="str">
        <f>IF(AND(STATS!C236="SWS",STATS!S236&gt;0),"YES","")</f>
        <v/>
      </c>
      <c r="F240" s="19"/>
      <c r="H240" s="233" t="str">
        <f>IF(AND(STATS!C236="BOD",STATS!T236&gt;0),"YES","")</f>
        <v/>
      </c>
      <c r="I240" s="250"/>
      <c r="K240" s="234" t="str">
        <f>IF(AND(STATS!C236="BOF",STATS!T236&gt;0),"YES","")</f>
        <v/>
      </c>
      <c r="L240" s="251"/>
    </row>
    <row r="241" spans="1:12" x14ac:dyDescent="0.25">
      <c r="A241" s="235">
        <f>STATS!E237</f>
        <v>0</v>
      </c>
      <c r="B241" s="235">
        <f>STATS!H237</f>
        <v>0</v>
      </c>
      <c r="C241" s="232" t="str">
        <f>IF(AND(STATS!C237="SWS",STATS!R237&gt;0),"YES","")</f>
        <v/>
      </c>
      <c r="D241" s="232"/>
      <c r="E241" s="232" t="str">
        <f>IF(AND(STATS!C237="SWS",STATS!S237&gt;0),"YES","")</f>
        <v/>
      </c>
      <c r="F241" s="19"/>
      <c r="H241" s="233" t="str">
        <f>IF(AND(STATS!C237="BOD",STATS!T237&gt;0),"YES","")</f>
        <v/>
      </c>
      <c r="I241" s="250"/>
      <c r="K241" s="234" t="str">
        <f>IF(AND(STATS!C237="BOF",STATS!T237&gt;0),"YES","")</f>
        <v/>
      </c>
      <c r="L241" s="251"/>
    </row>
    <row r="242" spans="1:12" x14ac:dyDescent="0.25">
      <c r="A242" s="235">
        <f>STATS!E238</f>
        <v>0</v>
      </c>
      <c r="B242" s="235">
        <f>STATS!H238</f>
        <v>0</v>
      </c>
      <c r="C242" s="232" t="str">
        <f>IF(AND(STATS!C238="SWS",STATS!R238&gt;0),"YES","")</f>
        <v/>
      </c>
      <c r="D242" s="232"/>
      <c r="E242" s="232" t="str">
        <f>IF(AND(STATS!C238="SWS",STATS!S238&gt;0),"YES","")</f>
        <v/>
      </c>
      <c r="F242" s="19"/>
      <c r="H242" s="233" t="str">
        <f>IF(AND(STATS!C238="BOD",STATS!T238&gt;0),"YES","")</f>
        <v/>
      </c>
      <c r="I242" s="250"/>
      <c r="K242" s="234" t="str">
        <f>IF(AND(STATS!C238="BOF",STATS!T238&gt;0),"YES","")</f>
        <v/>
      </c>
      <c r="L242" s="251"/>
    </row>
    <row r="243" spans="1:12" x14ac:dyDescent="0.25">
      <c r="A243" s="235">
        <f>STATS!E239</f>
        <v>0</v>
      </c>
      <c r="B243" s="235">
        <f>STATS!H239</f>
        <v>0</v>
      </c>
      <c r="C243" s="232" t="str">
        <f>IF(AND(STATS!C239="SWS",STATS!R239&gt;0),"YES","")</f>
        <v/>
      </c>
      <c r="D243" s="232"/>
      <c r="E243" s="232" t="str">
        <f>IF(AND(STATS!C239="SWS",STATS!S239&gt;0),"YES","")</f>
        <v/>
      </c>
      <c r="F243" s="19"/>
      <c r="H243" s="233" t="str">
        <f>IF(AND(STATS!C239="BOD",STATS!T239&gt;0),"YES","")</f>
        <v/>
      </c>
      <c r="I243" s="250"/>
      <c r="K243" s="234" t="str">
        <f>IF(AND(STATS!C239="BOF",STATS!T239&gt;0),"YES","")</f>
        <v/>
      </c>
      <c r="L243" s="251"/>
    </row>
    <row r="244" spans="1:12" x14ac:dyDescent="0.25">
      <c r="A244" s="235">
        <f>STATS!E240</f>
        <v>0</v>
      </c>
      <c r="B244" s="235">
        <f>STATS!H240</f>
        <v>0</v>
      </c>
      <c r="C244" s="232" t="str">
        <f>IF(AND(STATS!C240="SWS",STATS!R240&gt;0),"YES","")</f>
        <v/>
      </c>
      <c r="D244" s="232"/>
      <c r="E244" s="232" t="str">
        <f>IF(AND(STATS!C240="SWS",STATS!S240&gt;0),"YES","")</f>
        <v/>
      </c>
      <c r="F244" s="19"/>
      <c r="H244" s="233" t="str">
        <f>IF(AND(STATS!C240="BOD",STATS!T240&gt;0),"YES","")</f>
        <v/>
      </c>
      <c r="I244" s="250"/>
      <c r="K244" s="234" t="str">
        <f>IF(AND(STATS!C240="BOF",STATS!T240&gt;0),"YES","")</f>
        <v/>
      </c>
      <c r="L244" s="251"/>
    </row>
    <row r="245" spans="1:12" x14ac:dyDescent="0.25">
      <c r="A245" s="235">
        <f>STATS!E241</f>
        <v>0</v>
      </c>
      <c r="B245" s="235">
        <f>STATS!H241</f>
        <v>0</v>
      </c>
      <c r="C245" s="232" t="str">
        <f>IF(AND(STATS!C241="SWS",STATS!R241&gt;0),"YES","")</f>
        <v/>
      </c>
      <c r="D245" s="232"/>
      <c r="E245" s="232" t="str">
        <f>IF(AND(STATS!C241="SWS",STATS!S241&gt;0),"YES","")</f>
        <v/>
      </c>
      <c r="F245" s="19"/>
      <c r="H245" s="233" t="str">
        <f>IF(AND(STATS!C241="BOD",STATS!T241&gt;0),"YES","")</f>
        <v/>
      </c>
      <c r="I245" s="250"/>
      <c r="K245" s="234" t="str">
        <f>IF(AND(STATS!C241="BOF",STATS!T241&gt;0),"YES","")</f>
        <v/>
      </c>
      <c r="L245" s="251"/>
    </row>
    <row r="246" spans="1:12" x14ac:dyDescent="0.25">
      <c r="A246" s="235">
        <f>STATS!E242</f>
        <v>0</v>
      </c>
      <c r="B246" s="235">
        <f>STATS!H242</f>
        <v>0</v>
      </c>
      <c r="C246" s="232" t="str">
        <f>IF(AND(STATS!C242="SWS",STATS!R242&gt;0),"YES","")</f>
        <v/>
      </c>
      <c r="D246" s="232"/>
      <c r="E246" s="232" t="str">
        <f>IF(AND(STATS!C242="SWS",STATS!S242&gt;0),"YES","")</f>
        <v/>
      </c>
      <c r="F246" s="19"/>
      <c r="H246" s="233" t="str">
        <f>IF(AND(STATS!C242="BOD",STATS!T242&gt;0),"YES","")</f>
        <v/>
      </c>
      <c r="I246" s="250"/>
      <c r="K246" s="234" t="str">
        <f>IF(AND(STATS!C242="BOF",STATS!T242&gt;0),"YES","")</f>
        <v/>
      </c>
      <c r="L246" s="251"/>
    </row>
    <row r="247" spans="1:12" x14ac:dyDescent="0.25">
      <c r="A247" s="235">
        <f>STATS!E243</f>
        <v>0</v>
      </c>
      <c r="B247" s="235">
        <f>STATS!H243</f>
        <v>0</v>
      </c>
      <c r="C247" s="232" t="str">
        <f>IF(AND(STATS!C243="SWS",STATS!R243&gt;0),"YES","")</f>
        <v/>
      </c>
      <c r="D247" s="232"/>
      <c r="E247" s="232" t="str">
        <f>IF(AND(STATS!C243="SWS",STATS!S243&gt;0),"YES","")</f>
        <v/>
      </c>
      <c r="F247" s="19"/>
      <c r="H247" s="233" t="str">
        <f>IF(AND(STATS!C243="BOD",STATS!T243&gt;0),"YES","")</f>
        <v/>
      </c>
      <c r="I247" s="250"/>
      <c r="K247" s="234" t="str">
        <f>IF(AND(STATS!C243="BOF",STATS!T243&gt;0),"YES","")</f>
        <v/>
      </c>
      <c r="L247" s="251"/>
    </row>
    <row r="248" spans="1:12" x14ac:dyDescent="0.25">
      <c r="A248" s="235">
        <f>STATS!E244</f>
        <v>0</v>
      </c>
      <c r="B248" s="235">
        <f>STATS!H244</f>
        <v>0</v>
      </c>
      <c r="C248" s="232" t="str">
        <f>IF(AND(STATS!C244="SWS",STATS!R244&gt;0),"YES","")</f>
        <v/>
      </c>
      <c r="D248" s="232"/>
      <c r="E248" s="232" t="str">
        <f>IF(AND(STATS!C244="SWS",STATS!S244&gt;0),"YES","")</f>
        <v/>
      </c>
      <c r="F248" s="19"/>
      <c r="H248" s="233" t="str">
        <f>IF(AND(STATS!C244="BOD",STATS!T244&gt;0),"YES","")</f>
        <v/>
      </c>
      <c r="I248" s="250"/>
      <c r="K248" s="234" t="str">
        <f>IF(AND(STATS!C244="BOF",STATS!T244&gt;0),"YES","")</f>
        <v/>
      </c>
      <c r="L248" s="251"/>
    </row>
    <row r="249" spans="1:12" x14ac:dyDescent="0.25">
      <c r="A249" s="235">
        <f>STATS!E245</f>
        <v>0</v>
      </c>
      <c r="B249" s="235">
        <f>STATS!H245</f>
        <v>0</v>
      </c>
      <c r="C249" s="232" t="str">
        <f>IF(AND(STATS!C245="SWS",STATS!R245&gt;0),"YES","")</f>
        <v/>
      </c>
      <c r="D249" s="232"/>
      <c r="E249" s="232" t="str">
        <f>IF(AND(STATS!C245="SWS",STATS!S245&gt;0),"YES","")</f>
        <v/>
      </c>
      <c r="F249" s="19"/>
      <c r="H249" s="233" t="str">
        <f>IF(AND(STATS!C245="BOD",STATS!T245&gt;0),"YES","")</f>
        <v/>
      </c>
      <c r="I249" s="250"/>
      <c r="K249" s="234" t="str">
        <f>IF(AND(STATS!C245="BOF",STATS!T245&gt;0),"YES","")</f>
        <v/>
      </c>
      <c r="L249" s="251"/>
    </row>
  </sheetData>
  <autoFilter ref="C1:L249"/>
  <dataValidations count="1">
    <dataValidation type="list" allowBlank="1" showInputMessage="1" showErrorMessage="1" sqref="F9:F249 I9:I249 L9:L249">
      <formula1>"Y, N"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BF467"/>
  <sheetViews>
    <sheetView zoomScale="90" zoomScaleNormal="90" workbookViewId="0">
      <pane xSplit="8" ySplit="4" topLeftCell="I191" activePane="bottomRight" state="frozen"/>
      <selection pane="topRight" activeCell="I1" sqref="I1"/>
      <selection pane="bottomLeft" activeCell="A5" sqref="A5"/>
      <selection pane="bottomRight" activeCell="H209" sqref="H209"/>
    </sheetView>
  </sheetViews>
  <sheetFormatPr defaultColWidth="8.5703125" defaultRowHeight="15" customHeight="1" x14ac:dyDescent="0.25"/>
  <cols>
    <col min="1" max="1" width="8.42578125" style="62" bestFit="1" customWidth="1"/>
    <col min="2" max="4" width="7.7109375" style="62" customWidth="1"/>
    <col min="5" max="6" width="7.7109375" style="63" customWidth="1"/>
    <col min="7" max="7" width="7.28515625" style="62" customWidth="1"/>
    <col min="8" max="8" width="35.42578125" style="62" customWidth="1"/>
    <col min="9" max="9" width="16.28515625" style="62" bestFit="1" customWidth="1"/>
    <col min="10" max="10" width="12.7109375" style="62" customWidth="1"/>
    <col min="11" max="11" width="6.7109375" style="62" customWidth="1"/>
    <col min="12" max="12" width="9" style="62" customWidth="1"/>
    <col min="13" max="13" width="8.28515625" style="62" bestFit="1" customWidth="1"/>
    <col min="14" max="14" width="8.42578125" style="62" customWidth="1"/>
    <col min="15" max="16" width="8.28515625" style="62" customWidth="1"/>
    <col min="17" max="19" width="8.5703125" style="2"/>
    <col min="20" max="20" width="8.5703125" style="2" customWidth="1"/>
    <col min="21" max="21" width="8.5703125" style="2"/>
    <col min="22" max="30" width="8.5703125" style="42"/>
    <col min="31" max="32" width="8.5703125" style="2"/>
    <col min="33" max="33" width="8.5703125" style="42"/>
    <col min="34" max="34" width="8.5703125" style="2"/>
    <col min="35" max="37" width="8.5703125" style="42"/>
    <col min="38" max="38" width="8.5703125" style="2"/>
    <col min="39" max="39" width="8.7109375" style="62" customWidth="1"/>
    <col min="40" max="40" width="11.5703125" style="62" customWidth="1"/>
    <col min="41" max="41" width="7.85546875" style="62" customWidth="1"/>
    <col min="42" max="42" width="5.5703125" style="62" customWidth="1"/>
    <col min="43" max="43" width="9.28515625" style="62" customWidth="1"/>
    <col min="44" max="45" width="8.7109375" style="62" customWidth="1"/>
    <col min="46" max="46" width="7" style="214" customWidth="1"/>
    <col min="47" max="47" width="10.140625" style="62" customWidth="1"/>
    <col min="48" max="48" width="12.7109375" style="62" customWidth="1"/>
    <col min="49" max="49" width="11" style="22" customWidth="1"/>
    <col min="50" max="53" width="8.5703125" style="2"/>
    <col min="54" max="54" width="10.42578125" style="2" customWidth="1"/>
    <col min="55" max="16384" width="8.5703125" style="2"/>
  </cols>
  <sheetData>
    <row r="1" spans="1:58" ht="15" customHeight="1" x14ac:dyDescent="0.25">
      <c r="A1" s="283" t="s">
        <v>89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AM1" s="62" t="s">
        <v>5</v>
      </c>
    </row>
    <row r="2" spans="1:58" ht="16.5" customHeight="1" x14ac:dyDescent="0.25">
      <c r="A2" s="284" t="s">
        <v>0</v>
      </c>
      <c r="B2" s="284" t="s">
        <v>10</v>
      </c>
      <c r="C2" s="295" t="s">
        <v>90</v>
      </c>
      <c r="D2" s="290" t="s">
        <v>13</v>
      </c>
      <c r="E2" s="292" t="s">
        <v>1</v>
      </c>
      <c r="F2" s="305" t="s">
        <v>91</v>
      </c>
      <c r="G2" s="284" t="s">
        <v>52</v>
      </c>
      <c r="H2" s="284" t="s">
        <v>6</v>
      </c>
      <c r="I2" s="284" t="s">
        <v>223</v>
      </c>
      <c r="J2" s="290" t="s">
        <v>31</v>
      </c>
      <c r="K2" s="284" t="s">
        <v>12</v>
      </c>
      <c r="L2" s="286" t="s">
        <v>9</v>
      </c>
      <c r="M2" s="286"/>
      <c r="N2" s="286"/>
      <c r="O2" s="286"/>
      <c r="P2" s="286"/>
      <c r="Q2" s="287" t="s">
        <v>2</v>
      </c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9"/>
      <c r="AM2" s="297" t="s">
        <v>14</v>
      </c>
      <c r="AN2" s="284" t="s">
        <v>15</v>
      </c>
      <c r="AO2" s="284" t="s">
        <v>64</v>
      </c>
      <c r="AP2" s="284" t="s">
        <v>16</v>
      </c>
      <c r="AQ2" s="299" t="s">
        <v>97</v>
      </c>
      <c r="AR2" s="299" t="s">
        <v>151</v>
      </c>
      <c r="AS2" s="299" t="s">
        <v>96</v>
      </c>
      <c r="AT2" s="303" t="s">
        <v>55</v>
      </c>
      <c r="AU2" s="299" t="s">
        <v>56</v>
      </c>
      <c r="AV2" s="299" t="s">
        <v>71</v>
      </c>
    </row>
    <row r="3" spans="1:58" s="3" customFormat="1" ht="29.25" customHeight="1" x14ac:dyDescent="0.25">
      <c r="A3" s="285"/>
      <c r="B3" s="285"/>
      <c r="C3" s="296"/>
      <c r="D3" s="294"/>
      <c r="E3" s="293"/>
      <c r="F3" s="306"/>
      <c r="G3" s="285"/>
      <c r="H3" s="285"/>
      <c r="I3" s="285"/>
      <c r="J3" s="291"/>
      <c r="K3" s="285"/>
      <c r="L3" s="74" t="s">
        <v>11</v>
      </c>
      <c r="M3" s="74" t="s">
        <v>17</v>
      </c>
      <c r="N3" s="74" t="s">
        <v>18</v>
      </c>
      <c r="O3" s="74" t="s">
        <v>19</v>
      </c>
      <c r="P3" s="171" t="s">
        <v>20</v>
      </c>
      <c r="Q3" s="15" t="s">
        <v>4</v>
      </c>
      <c r="R3" s="12" t="s">
        <v>27</v>
      </c>
      <c r="S3" s="10" t="s">
        <v>28</v>
      </c>
      <c r="T3" s="11" t="s">
        <v>30</v>
      </c>
      <c r="U3" s="9" t="s">
        <v>83</v>
      </c>
      <c r="V3" s="47" t="s">
        <v>84</v>
      </c>
      <c r="W3" s="128" t="s">
        <v>86</v>
      </c>
      <c r="X3" s="47" t="s">
        <v>80</v>
      </c>
      <c r="Y3" s="128" t="s">
        <v>87</v>
      </c>
      <c r="Z3" s="47" t="s">
        <v>81</v>
      </c>
      <c r="AA3" s="128" t="s">
        <v>82</v>
      </c>
      <c r="AB3" s="47" t="s">
        <v>88</v>
      </c>
      <c r="AC3" s="128" t="s">
        <v>79</v>
      </c>
      <c r="AD3" s="47" t="s">
        <v>85</v>
      </c>
      <c r="AE3" s="73" t="s">
        <v>68</v>
      </c>
      <c r="AF3" s="13" t="s">
        <v>69</v>
      </c>
      <c r="AG3" s="16" t="s">
        <v>70</v>
      </c>
      <c r="AH3" s="39" t="s">
        <v>72</v>
      </c>
      <c r="AI3" s="135" t="s">
        <v>92</v>
      </c>
      <c r="AJ3" s="130" t="s">
        <v>93</v>
      </c>
      <c r="AK3" s="130" t="s">
        <v>552</v>
      </c>
      <c r="AL3" s="130" t="s">
        <v>95</v>
      </c>
      <c r="AM3" s="298"/>
      <c r="AN3" s="285"/>
      <c r="AO3" s="285"/>
      <c r="AP3" s="285"/>
      <c r="AQ3" s="302"/>
      <c r="AR3" s="307"/>
      <c r="AS3" s="302"/>
      <c r="AT3" s="304"/>
      <c r="AU3" s="300"/>
      <c r="AV3" s="302"/>
      <c r="AW3" s="40"/>
      <c r="AX3" s="12" t="s">
        <v>36</v>
      </c>
      <c r="AY3" s="14" t="s">
        <v>37</v>
      </c>
      <c r="AZ3" s="10" t="s">
        <v>38</v>
      </c>
      <c r="BA3" s="16" t="s">
        <v>2</v>
      </c>
    </row>
    <row r="4" spans="1:58" s="3" customFormat="1" ht="15" customHeight="1" x14ac:dyDescent="0.25">
      <c r="A4" s="308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10"/>
      <c r="Q4" s="15">
        <f t="shared" ref="Q4:AI4" si="0">SUM(Q5:Q265)</f>
        <v>8739.060000000025</v>
      </c>
      <c r="R4" s="15">
        <f t="shared" si="0"/>
        <v>3631.0499999999997</v>
      </c>
      <c r="S4" s="15">
        <f t="shared" si="0"/>
        <v>364.26000000000101</v>
      </c>
      <c r="T4" s="15">
        <f t="shared" si="0"/>
        <v>365.03999999999996</v>
      </c>
      <c r="U4" s="15">
        <f t="shared" si="0"/>
        <v>490.4</v>
      </c>
      <c r="V4" s="15">
        <f t="shared" si="0"/>
        <v>0</v>
      </c>
      <c r="W4" s="15">
        <f t="shared" si="0"/>
        <v>1619</v>
      </c>
      <c r="X4" s="15">
        <f t="shared" si="0"/>
        <v>0</v>
      </c>
      <c r="Y4" s="15">
        <f t="shared" si="0"/>
        <v>6</v>
      </c>
      <c r="Z4" s="15">
        <f t="shared" si="0"/>
        <v>0</v>
      </c>
      <c r="AA4" s="15">
        <f t="shared" si="0"/>
        <v>17.399999999999999</v>
      </c>
      <c r="AB4" s="15">
        <f t="shared" si="0"/>
        <v>0</v>
      </c>
      <c r="AC4" s="15">
        <f t="shared" si="0"/>
        <v>1603.0099999999998</v>
      </c>
      <c r="AD4" s="15">
        <f t="shared" si="0"/>
        <v>115</v>
      </c>
      <c r="AE4" s="15">
        <f t="shared" si="0"/>
        <v>0.65</v>
      </c>
      <c r="AF4" s="15">
        <f t="shared" si="0"/>
        <v>0</v>
      </c>
      <c r="AG4" s="15">
        <f t="shared" si="0"/>
        <v>49.4</v>
      </c>
      <c r="AH4" s="15">
        <f t="shared" si="0"/>
        <v>469.85</v>
      </c>
      <c r="AI4" s="15">
        <f t="shared" si="0"/>
        <v>8</v>
      </c>
      <c r="AJ4" s="15">
        <f>SUMPRODUCT(LEN(AJ5:AJ265))</f>
        <v>10</v>
      </c>
      <c r="AK4" s="15">
        <f>SUMPRODUCT(LEN(AK5:AK265))</f>
        <v>32</v>
      </c>
      <c r="AL4" s="15">
        <f>SUMPRODUCT(LEN(AL5:AL265))</f>
        <v>4</v>
      </c>
      <c r="AM4" s="21"/>
      <c r="AN4" s="21">
        <f t="shared" ref="AN4:AU4" si="1">COUNTIF(AN5:AN265,"Y")</f>
        <v>12</v>
      </c>
      <c r="AO4" s="21">
        <f t="shared" si="1"/>
        <v>25</v>
      </c>
      <c r="AP4" s="21">
        <f t="shared" si="1"/>
        <v>3</v>
      </c>
      <c r="AQ4" s="21">
        <f t="shared" si="1"/>
        <v>5</v>
      </c>
      <c r="AR4" s="21">
        <f t="shared" si="1"/>
        <v>69</v>
      </c>
      <c r="AS4" s="133">
        <f t="shared" si="1"/>
        <v>14</v>
      </c>
      <c r="AT4" s="215">
        <f t="shared" si="1"/>
        <v>26</v>
      </c>
      <c r="AU4" s="21">
        <f t="shared" si="1"/>
        <v>22</v>
      </c>
      <c r="AV4" s="21"/>
      <c r="AW4" s="23" t="s">
        <v>190</v>
      </c>
      <c r="AX4" s="12">
        <f t="shared" ref="AX4:AX15" si="2">COUNTIFS(A:A,"&gt;="&amp;BE4,A:A,"&lt;="&amp;BF4)</f>
        <v>1</v>
      </c>
      <c r="AY4" s="14">
        <f t="shared" ref="AY4:AY15" si="3">COUNTIFS(A:A,"&gt;="&amp;BE4,A:A,"&lt;="&amp;BF4,K:K,"H")</f>
        <v>1</v>
      </c>
      <c r="AZ4" s="5">
        <f t="shared" ref="AZ4:AZ15" si="4">COUNTIFS(A:A,"&gt;="&amp;BE4,A:A,"&lt;="&amp;BF4,K:K,"L")</f>
        <v>0</v>
      </c>
      <c r="BA4" s="16">
        <f t="shared" ref="BA4:BA15" si="5">SUMIFS(Q:Q,A:A,"&gt;="&amp;BE4,A:A,"&lt;="&amp;BF4)</f>
        <v>5</v>
      </c>
      <c r="BE4" s="167">
        <v>43466</v>
      </c>
      <c r="BF4" s="167">
        <v>43496</v>
      </c>
    </row>
    <row r="5" spans="1:58" ht="15" customHeight="1" x14ac:dyDescent="0.25">
      <c r="A5" s="59">
        <v>43471</v>
      </c>
      <c r="B5" s="59" t="s">
        <v>174</v>
      </c>
      <c r="C5" s="59" t="s">
        <v>27</v>
      </c>
      <c r="D5" s="110" t="s">
        <v>27</v>
      </c>
      <c r="E5" s="60">
        <v>8</v>
      </c>
      <c r="F5" s="172"/>
      <c r="G5" s="110" t="s">
        <v>8</v>
      </c>
      <c r="H5" s="110" t="s">
        <v>175</v>
      </c>
      <c r="I5" s="110" t="s">
        <v>176</v>
      </c>
      <c r="J5" s="110"/>
      <c r="K5" s="110" t="s">
        <v>7</v>
      </c>
      <c r="L5" s="110" t="s">
        <v>177</v>
      </c>
      <c r="M5" s="110" t="s">
        <v>178</v>
      </c>
      <c r="N5" s="110" t="s">
        <v>233</v>
      </c>
      <c r="O5" s="110">
        <v>516503</v>
      </c>
      <c r="P5" s="110">
        <v>4852668</v>
      </c>
      <c r="Q5" s="169">
        <f t="shared" ref="Q5:Q74" si="6">SUM(R5:AI5)</f>
        <v>5</v>
      </c>
      <c r="R5" s="36">
        <v>5</v>
      </c>
      <c r="S5" s="5"/>
      <c r="T5" s="6"/>
      <c r="U5" s="50"/>
      <c r="V5" s="20"/>
      <c r="W5" s="129"/>
      <c r="X5" s="20"/>
      <c r="Y5" s="129"/>
      <c r="Z5" s="20"/>
      <c r="AA5" s="129"/>
      <c r="AB5" s="20"/>
      <c r="AC5" s="129"/>
      <c r="AD5" s="20"/>
      <c r="AE5" s="19"/>
      <c r="AF5" s="8"/>
      <c r="AG5" s="17"/>
      <c r="AH5" s="38"/>
      <c r="AI5" s="18"/>
      <c r="AJ5" s="131"/>
      <c r="AK5" s="131"/>
      <c r="AL5" s="37"/>
      <c r="AM5" s="110" t="s">
        <v>161</v>
      </c>
      <c r="AN5" s="110" t="s">
        <v>179</v>
      </c>
      <c r="AO5" s="110" t="s">
        <v>179</v>
      </c>
      <c r="AP5" s="110" t="s">
        <v>179</v>
      </c>
      <c r="AQ5" s="110" t="s">
        <v>179</v>
      </c>
      <c r="AR5" s="110" t="s">
        <v>162</v>
      </c>
      <c r="AS5" s="131" t="s">
        <v>179</v>
      </c>
      <c r="AT5" s="215" t="s">
        <v>180</v>
      </c>
      <c r="AU5" s="215" t="s">
        <v>180</v>
      </c>
      <c r="AV5" s="170" t="str">
        <f>IF(Q5&gt;4999.9,"G",IF(Q5&gt;999.9,"F",IF(Q5&gt;299.9,"E",IF(Q5&gt;99.9,"D",IF(Q5&gt;9.9,"C",IF(Q5&gt;0.25,"B",IF(Q5&gt;0,"A","")))))))</f>
        <v>B</v>
      </c>
      <c r="AW5" s="52" t="s">
        <v>53</v>
      </c>
      <c r="AX5" s="12">
        <f t="shared" si="2"/>
        <v>0</v>
      </c>
      <c r="AY5" s="14">
        <f t="shared" si="3"/>
        <v>0</v>
      </c>
      <c r="AZ5" s="5">
        <f t="shared" si="4"/>
        <v>0</v>
      </c>
      <c r="BA5" s="16">
        <f t="shared" si="5"/>
        <v>0</v>
      </c>
      <c r="BE5" s="168">
        <v>43497</v>
      </c>
      <c r="BF5" s="168">
        <v>43524</v>
      </c>
    </row>
    <row r="6" spans="1:58" ht="15" customHeight="1" x14ac:dyDescent="0.25">
      <c r="A6" s="59">
        <v>43528</v>
      </c>
      <c r="B6" s="59" t="s">
        <v>184</v>
      </c>
      <c r="C6" s="59" t="s">
        <v>27</v>
      </c>
      <c r="D6" s="110" t="s">
        <v>27</v>
      </c>
      <c r="E6" s="60">
        <v>22</v>
      </c>
      <c r="F6" s="172"/>
      <c r="G6" s="156" t="s">
        <v>8</v>
      </c>
      <c r="H6" s="133" t="s">
        <v>185</v>
      </c>
      <c r="I6" s="110" t="s">
        <v>186</v>
      </c>
      <c r="J6" s="110"/>
      <c r="K6" s="110" t="s">
        <v>7</v>
      </c>
      <c r="L6" s="110" t="s">
        <v>187</v>
      </c>
      <c r="M6" s="110" t="s">
        <v>188</v>
      </c>
      <c r="N6" s="110" t="s">
        <v>189</v>
      </c>
      <c r="O6" s="110">
        <v>514770</v>
      </c>
      <c r="P6" s="110">
        <v>4853857</v>
      </c>
      <c r="Q6" s="173">
        <f t="shared" si="6"/>
        <v>0.5</v>
      </c>
      <c r="R6" s="36">
        <v>0.5</v>
      </c>
      <c r="S6" s="5"/>
      <c r="T6" s="6"/>
      <c r="U6" s="54"/>
      <c r="V6" s="20"/>
      <c r="W6" s="129"/>
      <c r="X6" s="20"/>
      <c r="Y6" s="129"/>
      <c r="Z6" s="20"/>
      <c r="AA6" s="129"/>
      <c r="AB6" s="20"/>
      <c r="AC6" s="129"/>
      <c r="AD6" s="20"/>
      <c r="AE6" s="19"/>
      <c r="AF6" s="8"/>
      <c r="AG6" s="17"/>
      <c r="AH6" s="38"/>
      <c r="AI6" s="18"/>
      <c r="AJ6" s="131"/>
      <c r="AK6" s="131"/>
      <c r="AL6" s="37"/>
      <c r="AM6" s="110" t="s">
        <v>161</v>
      </c>
      <c r="AN6" s="110" t="s">
        <v>179</v>
      </c>
      <c r="AO6" s="110" t="s">
        <v>179</v>
      </c>
      <c r="AP6" s="110" t="s">
        <v>179</v>
      </c>
      <c r="AQ6" s="110" t="s">
        <v>179</v>
      </c>
      <c r="AR6" s="110" t="s">
        <v>162</v>
      </c>
      <c r="AS6" s="131" t="s">
        <v>179</v>
      </c>
      <c r="AT6" s="215" t="s">
        <v>180</v>
      </c>
      <c r="AU6" s="215" t="s">
        <v>180</v>
      </c>
      <c r="AV6" s="170" t="str">
        <f t="shared" ref="AV6:AV73" si="7">IF(Q6&gt;4999.9,"G",IF(Q6&gt;999.9,"F",IF(Q6&gt;299.9,"E",IF(Q6&gt;99.9,"D",IF(Q6&gt;9.9,"C",IF(Q6&gt;0.25,"B",IF(Q6&gt;0,"A","")))))))</f>
        <v>B</v>
      </c>
      <c r="AW6" s="52" t="s">
        <v>39</v>
      </c>
      <c r="AX6" s="12">
        <f t="shared" si="2"/>
        <v>1</v>
      </c>
      <c r="AY6" s="14">
        <f t="shared" si="3"/>
        <v>1</v>
      </c>
      <c r="AZ6" s="5">
        <f t="shared" si="4"/>
        <v>0</v>
      </c>
      <c r="BA6" s="16">
        <f t="shared" si="5"/>
        <v>0.5</v>
      </c>
      <c r="BE6" s="168">
        <v>43525</v>
      </c>
      <c r="BF6" s="168">
        <v>43555</v>
      </c>
    </row>
    <row r="7" spans="1:58" ht="15" customHeight="1" x14ac:dyDescent="0.25">
      <c r="A7" s="59">
        <v>43574</v>
      </c>
      <c r="B7" s="59" t="s">
        <v>203</v>
      </c>
      <c r="C7" s="59" t="s">
        <v>30</v>
      </c>
      <c r="D7" s="110" t="s">
        <v>82</v>
      </c>
      <c r="E7" s="60">
        <v>78</v>
      </c>
      <c r="F7" s="172"/>
      <c r="G7" s="156" t="s">
        <v>30</v>
      </c>
      <c r="H7" s="133" t="s">
        <v>204</v>
      </c>
      <c r="I7" s="110" t="s">
        <v>207</v>
      </c>
      <c r="J7" s="110"/>
      <c r="K7" s="110" t="s">
        <v>7</v>
      </c>
      <c r="L7" s="110" t="s">
        <v>205</v>
      </c>
      <c r="M7" s="110" t="s">
        <v>206</v>
      </c>
      <c r="N7" s="110" t="s">
        <v>566</v>
      </c>
      <c r="O7" s="208"/>
      <c r="P7" s="208"/>
      <c r="Q7" s="173">
        <f t="shared" si="6"/>
        <v>0.1</v>
      </c>
      <c r="R7" s="36"/>
      <c r="S7" s="5"/>
      <c r="T7" s="6"/>
      <c r="U7" s="50"/>
      <c r="V7" s="20"/>
      <c r="W7" s="129"/>
      <c r="X7" s="20"/>
      <c r="Y7" s="129"/>
      <c r="Z7" s="20"/>
      <c r="AA7" s="129">
        <v>0.1</v>
      </c>
      <c r="AB7" s="20"/>
      <c r="AC7" s="129"/>
      <c r="AD7" s="20"/>
      <c r="AE7" s="19"/>
      <c r="AF7" s="8"/>
      <c r="AG7" s="17"/>
      <c r="AH7" s="38"/>
      <c r="AI7" s="18"/>
      <c r="AJ7" s="131"/>
      <c r="AK7" s="131" t="s">
        <v>301</v>
      </c>
      <c r="AL7" s="37"/>
      <c r="AM7" s="110" t="s">
        <v>161</v>
      </c>
      <c r="AN7" s="110" t="s">
        <v>179</v>
      </c>
      <c r="AO7" s="110" t="s">
        <v>179</v>
      </c>
      <c r="AP7" s="110" t="s">
        <v>179</v>
      </c>
      <c r="AQ7" s="110" t="s">
        <v>179</v>
      </c>
      <c r="AR7" s="110" t="s">
        <v>162</v>
      </c>
      <c r="AS7" s="131" t="s">
        <v>179</v>
      </c>
      <c r="AT7" s="215" t="s">
        <v>180</v>
      </c>
      <c r="AU7" s="215" t="s">
        <v>180</v>
      </c>
      <c r="AV7" s="170" t="str">
        <f t="shared" si="7"/>
        <v>A</v>
      </c>
      <c r="AW7" s="52" t="s">
        <v>40</v>
      </c>
      <c r="AX7" s="12">
        <f t="shared" si="2"/>
        <v>1</v>
      </c>
      <c r="AY7" s="14">
        <f t="shared" si="3"/>
        <v>1</v>
      </c>
      <c r="AZ7" s="5">
        <f t="shared" si="4"/>
        <v>0</v>
      </c>
      <c r="BA7" s="16">
        <f t="shared" si="5"/>
        <v>0.1</v>
      </c>
      <c r="BE7" s="168">
        <v>43556</v>
      </c>
      <c r="BF7" s="168">
        <v>43585</v>
      </c>
    </row>
    <row r="8" spans="1:58" ht="15" customHeight="1" x14ac:dyDescent="0.25">
      <c r="A8" s="59">
        <v>43588</v>
      </c>
      <c r="B8" s="59" t="s">
        <v>222</v>
      </c>
      <c r="C8" s="59" t="s">
        <v>30</v>
      </c>
      <c r="D8" s="110" t="s">
        <v>82</v>
      </c>
      <c r="E8" s="60">
        <v>122</v>
      </c>
      <c r="F8" s="172"/>
      <c r="G8" s="156" t="s">
        <v>30</v>
      </c>
      <c r="H8" s="133" t="s">
        <v>224</v>
      </c>
      <c r="I8" s="110" t="s">
        <v>225</v>
      </c>
      <c r="J8" s="110"/>
      <c r="K8" s="110" t="s">
        <v>7</v>
      </c>
      <c r="L8" s="110" t="s">
        <v>227</v>
      </c>
      <c r="M8" s="110" t="s">
        <v>228</v>
      </c>
      <c r="N8" s="110" t="s">
        <v>645</v>
      </c>
      <c r="O8" s="208"/>
      <c r="P8" s="208"/>
      <c r="Q8" s="204">
        <f t="shared" si="6"/>
        <v>0.2</v>
      </c>
      <c r="R8" s="36"/>
      <c r="S8" s="5"/>
      <c r="T8" s="6"/>
      <c r="U8" s="50"/>
      <c r="V8" s="20"/>
      <c r="W8" s="129"/>
      <c r="X8" s="20"/>
      <c r="Y8" s="129"/>
      <c r="Z8" s="20"/>
      <c r="AA8" s="129">
        <v>0.2</v>
      </c>
      <c r="AB8" s="20"/>
      <c r="AC8" s="129"/>
      <c r="AD8" s="20"/>
      <c r="AE8" s="19"/>
      <c r="AF8" s="8"/>
      <c r="AG8" s="17"/>
      <c r="AH8" s="38"/>
      <c r="AI8" s="18"/>
      <c r="AJ8" s="131"/>
      <c r="AK8" s="131"/>
      <c r="AL8" s="37"/>
      <c r="AM8" s="110" t="s">
        <v>226</v>
      </c>
      <c r="AN8" s="110" t="s">
        <v>162</v>
      </c>
      <c r="AO8" s="110" t="s">
        <v>179</v>
      </c>
      <c r="AP8" s="110" t="s">
        <v>179</v>
      </c>
      <c r="AQ8" s="110" t="s">
        <v>179</v>
      </c>
      <c r="AR8" s="110" t="s">
        <v>162</v>
      </c>
      <c r="AS8" s="131" t="s">
        <v>179</v>
      </c>
      <c r="AT8" s="215" t="s">
        <v>180</v>
      </c>
      <c r="AU8" s="215" t="s">
        <v>180</v>
      </c>
      <c r="AV8" s="170" t="str">
        <f t="shared" si="7"/>
        <v>A</v>
      </c>
      <c r="AW8" s="52" t="s">
        <v>41</v>
      </c>
      <c r="AX8" s="12">
        <f t="shared" si="2"/>
        <v>5</v>
      </c>
      <c r="AY8" s="14">
        <f t="shared" si="3"/>
        <v>4</v>
      </c>
      <c r="AZ8" s="5">
        <f t="shared" si="4"/>
        <v>1</v>
      </c>
      <c r="BA8" s="16">
        <f t="shared" si="5"/>
        <v>0.79999999999999993</v>
      </c>
      <c r="BE8" s="168">
        <v>43586</v>
      </c>
      <c r="BF8" s="168">
        <v>43616</v>
      </c>
    </row>
    <row r="9" spans="1:58" s="42" customFormat="1" ht="15" customHeight="1" x14ac:dyDescent="0.25">
      <c r="A9" s="59">
        <v>43597</v>
      </c>
      <c r="B9" s="59" t="s">
        <v>229</v>
      </c>
      <c r="C9" s="59" t="s">
        <v>27</v>
      </c>
      <c r="D9" s="110" t="s">
        <v>70</v>
      </c>
      <c r="E9" s="60">
        <v>153</v>
      </c>
      <c r="F9" s="172"/>
      <c r="G9" s="156" t="s">
        <v>8</v>
      </c>
      <c r="H9" s="133" t="s">
        <v>230</v>
      </c>
      <c r="I9" s="110" t="s">
        <v>355</v>
      </c>
      <c r="J9" s="110"/>
      <c r="K9" s="110" t="s">
        <v>7</v>
      </c>
      <c r="L9" s="110" t="s">
        <v>231</v>
      </c>
      <c r="M9" s="110" t="s">
        <v>232</v>
      </c>
      <c r="N9" s="110" t="s">
        <v>356</v>
      </c>
      <c r="O9" s="110">
        <v>577273</v>
      </c>
      <c r="P9" s="110">
        <v>4820054</v>
      </c>
      <c r="Q9" s="204">
        <f t="shared" si="6"/>
        <v>0.3</v>
      </c>
      <c r="R9" s="36"/>
      <c r="S9" s="5"/>
      <c r="T9" s="6"/>
      <c r="U9" s="66"/>
      <c r="V9" s="20"/>
      <c r="W9" s="129"/>
      <c r="X9" s="20"/>
      <c r="Y9" s="129"/>
      <c r="Z9" s="20"/>
      <c r="AA9" s="129"/>
      <c r="AB9" s="20"/>
      <c r="AC9" s="129"/>
      <c r="AD9" s="20"/>
      <c r="AE9" s="19"/>
      <c r="AF9" s="8"/>
      <c r="AG9" s="17">
        <v>0.3</v>
      </c>
      <c r="AH9" s="38"/>
      <c r="AI9" s="18"/>
      <c r="AJ9" s="131"/>
      <c r="AK9" s="131"/>
      <c r="AL9" s="37"/>
      <c r="AM9" s="111" t="s">
        <v>161</v>
      </c>
      <c r="AN9" s="111" t="s">
        <v>179</v>
      </c>
      <c r="AO9" s="111" t="s">
        <v>179</v>
      </c>
      <c r="AP9" s="111" t="s">
        <v>179</v>
      </c>
      <c r="AQ9" s="111" t="s">
        <v>179</v>
      </c>
      <c r="AR9" s="111" t="s">
        <v>179</v>
      </c>
      <c r="AS9" s="132" t="s">
        <v>179</v>
      </c>
      <c r="AT9" s="216" t="s">
        <v>180</v>
      </c>
      <c r="AU9" s="215" t="s">
        <v>180</v>
      </c>
      <c r="AV9" s="170" t="str">
        <f t="shared" si="7"/>
        <v>B</v>
      </c>
      <c r="AW9" s="52" t="s">
        <v>191</v>
      </c>
      <c r="AX9" s="12">
        <f t="shared" si="2"/>
        <v>16</v>
      </c>
      <c r="AY9" s="14">
        <f t="shared" si="3"/>
        <v>11</v>
      </c>
      <c r="AZ9" s="5">
        <f t="shared" si="4"/>
        <v>5</v>
      </c>
      <c r="BA9" s="16">
        <f t="shared" si="5"/>
        <v>430.26</v>
      </c>
      <c r="BE9" s="168">
        <v>43617</v>
      </c>
      <c r="BF9" s="168">
        <v>43646</v>
      </c>
    </row>
    <row r="10" spans="1:58" ht="15" customHeight="1" x14ac:dyDescent="0.25">
      <c r="A10" s="59">
        <v>43611</v>
      </c>
      <c r="B10" s="59" t="s">
        <v>236</v>
      </c>
      <c r="C10" s="59" t="s">
        <v>28</v>
      </c>
      <c r="D10" s="110" t="s">
        <v>30</v>
      </c>
      <c r="E10" s="60">
        <v>193</v>
      </c>
      <c r="F10" s="60">
        <v>1</v>
      </c>
      <c r="G10" s="156" t="s">
        <v>237</v>
      </c>
      <c r="H10" s="133" t="s">
        <v>238</v>
      </c>
      <c r="I10" s="110" t="s">
        <v>239</v>
      </c>
      <c r="J10" s="110"/>
      <c r="K10" s="110" t="s">
        <v>7</v>
      </c>
      <c r="L10" s="110" t="s">
        <v>240</v>
      </c>
      <c r="M10" s="110" t="s">
        <v>249</v>
      </c>
      <c r="N10" s="110" t="s">
        <v>250</v>
      </c>
      <c r="O10" s="208"/>
      <c r="P10" s="208"/>
      <c r="Q10" s="204">
        <f t="shared" si="6"/>
        <v>0.1</v>
      </c>
      <c r="R10" s="36"/>
      <c r="S10" s="5"/>
      <c r="T10" s="6">
        <v>0.1</v>
      </c>
      <c r="U10" s="50"/>
      <c r="V10" s="20"/>
      <c r="W10" s="129"/>
      <c r="X10" s="20"/>
      <c r="Y10" s="129"/>
      <c r="Z10" s="20"/>
      <c r="AA10" s="129"/>
      <c r="AB10" s="20"/>
      <c r="AC10" s="129"/>
      <c r="AD10" s="20"/>
      <c r="AE10" s="19"/>
      <c r="AF10" s="8"/>
      <c r="AG10" s="17"/>
      <c r="AH10" s="38"/>
      <c r="AI10" s="18"/>
      <c r="AJ10" s="131"/>
      <c r="AK10" s="131"/>
      <c r="AL10" s="37"/>
      <c r="AM10" s="110" t="s">
        <v>161</v>
      </c>
      <c r="AN10" s="110" t="s">
        <v>179</v>
      </c>
      <c r="AO10" s="110" t="s">
        <v>179</v>
      </c>
      <c r="AP10" s="110" t="s">
        <v>179</v>
      </c>
      <c r="AQ10" s="110" t="s">
        <v>179</v>
      </c>
      <c r="AR10" s="110" t="s">
        <v>162</v>
      </c>
      <c r="AS10" s="131" t="s">
        <v>179</v>
      </c>
      <c r="AT10" s="215" t="s">
        <v>180</v>
      </c>
      <c r="AU10" s="215" t="s">
        <v>180</v>
      </c>
      <c r="AV10" s="170" t="str">
        <f t="shared" si="7"/>
        <v>A</v>
      </c>
      <c r="AW10" s="52" t="s">
        <v>192</v>
      </c>
      <c r="AX10" s="12">
        <f t="shared" si="2"/>
        <v>59</v>
      </c>
      <c r="AY10" s="14">
        <f t="shared" si="3"/>
        <v>22</v>
      </c>
      <c r="AZ10" s="5">
        <f t="shared" si="4"/>
        <v>37</v>
      </c>
      <c r="BA10" s="16">
        <f t="shared" si="5"/>
        <v>4830.5000000000027</v>
      </c>
      <c r="BE10" s="168">
        <v>43647</v>
      </c>
      <c r="BF10" s="168">
        <v>43677</v>
      </c>
    </row>
    <row r="11" spans="1:58" ht="15" customHeight="1" x14ac:dyDescent="0.25">
      <c r="A11" s="59">
        <v>43612</v>
      </c>
      <c r="B11" s="59" t="s">
        <v>241</v>
      </c>
      <c r="C11" s="59" t="s">
        <v>28</v>
      </c>
      <c r="D11" s="110" t="s">
        <v>28</v>
      </c>
      <c r="E11" s="60">
        <v>194</v>
      </c>
      <c r="F11" s="60">
        <v>2</v>
      </c>
      <c r="G11" s="156" t="s">
        <v>237</v>
      </c>
      <c r="H11" s="133" t="s">
        <v>242</v>
      </c>
      <c r="I11" s="110" t="s">
        <v>243</v>
      </c>
      <c r="J11" s="110" t="s">
        <v>245</v>
      </c>
      <c r="K11" s="110" t="s">
        <v>7</v>
      </c>
      <c r="L11" s="110" t="s">
        <v>244</v>
      </c>
      <c r="M11" s="110" t="s">
        <v>248</v>
      </c>
      <c r="N11" s="110" t="s">
        <v>565</v>
      </c>
      <c r="O11" s="207"/>
      <c r="P11" s="207"/>
      <c r="Q11" s="204">
        <f t="shared" si="6"/>
        <v>0.1</v>
      </c>
      <c r="R11" s="36"/>
      <c r="S11" s="5">
        <v>0.1</v>
      </c>
      <c r="T11" s="6"/>
      <c r="U11" s="50"/>
      <c r="V11" s="20"/>
      <c r="W11" s="129"/>
      <c r="X11" s="20"/>
      <c r="Y11" s="129"/>
      <c r="Z11" s="20"/>
      <c r="AA11" s="129"/>
      <c r="AB11" s="20"/>
      <c r="AC11" s="129"/>
      <c r="AD11" s="20"/>
      <c r="AE11" s="19"/>
      <c r="AF11" s="8"/>
      <c r="AG11" s="17"/>
      <c r="AH11" s="38"/>
      <c r="AI11" s="18"/>
      <c r="AJ11" s="131"/>
      <c r="AK11" s="131"/>
      <c r="AL11" s="37"/>
      <c r="AM11" s="110" t="s">
        <v>29</v>
      </c>
      <c r="AN11" s="110" t="s">
        <v>179</v>
      </c>
      <c r="AO11" s="110" t="s">
        <v>179</v>
      </c>
      <c r="AP11" s="110" t="s">
        <v>179</v>
      </c>
      <c r="AQ11" s="110" t="s">
        <v>179</v>
      </c>
      <c r="AR11" s="110" t="s">
        <v>179</v>
      </c>
      <c r="AS11" s="131" t="s">
        <v>179</v>
      </c>
      <c r="AT11" s="215" t="s">
        <v>180</v>
      </c>
      <c r="AU11" s="215" t="s">
        <v>180</v>
      </c>
      <c r="AV11" s="170" t="str">
        <f>IF(Q11&gt;4999.9,"G",IF(Q11&gt;999.9,"F",IF(Q11&gt;299.9,"E",IF(Q11&gt;99.9,"D",IF(Q11&gt;9.9,"C",IF(Q11&gt;0.25,"B",IF(Q11&gt;0,"A","")))))))</f>
        <v>A</v>
      </c>
      <c r="AW11" s="52" t="s">
        <v>42</v>
      </c>
      <c r="AX11" s="12">
        <f t="shared" si="2"/>
        <v>65</v>
      </c>
      <c r="AY11" s="14">
        <f t="shared" si="3"/>
        <v>32</v>
      </c>
      <c r="AZ11" s="5">
        <f t="shared" si="4"/>
        <v>33</v>
      </c>
      <c r="BA11" s="16">
        <f t="shared" si="5"/>
        <v>2561.0500000000002</v>
      </c>
      <c r="BE11" s="168">
        <v>43678</v>
      </c>
      <c r="BF11" s="168">
        <v>43708</v>
      </c>
    </row>
    <row r="12" spans="1:58" s="42" customFormat="1" ht="15" customHeight="1" x14ac:dyDescent="0.25">
      <c r="A12" s="59">
        <v>43614</v>
      </c>
      <c r="B12" s="59" t="s">
        <v>255</v>
      </c>
      <c r="C12" s="59" t="s">
        <v>28</v>
      </c>
      <c r="D12" s="110" t="s">
        <v>30</v>
      </c>
      <c r="E12" s="60">
        <v>198</v>
      </c>
      <c r="F12" s="60">
        <v>3</v>
      </c>
      <c r="G12" s="156" t="s">
        <v>30</v>
      </c>
      <c r="H12" s="133" t="s">
        <v>247</v>
      </c>
      <c r="I12" s="110" t="s">
        <v>332</v>
      </c>
      <c r="J12" s="110" t="s">
        <v>251</v>
      </c>
      <c r="K12" s="110" t="s">
        <v>252</v>
      </c>
      <c r="L12" s="110" t="s">
        <v>253</v>
      </c>
      <c r="M12" s="110" t="s">
        <v>254</v>
      </c>
      <c r="N12" s="110" t="s">
        <v>380</v>
      </c>
      <c r="O12" s="207"/>
      <c r="P12" s="207"/>
      <c r="Q12" s="204">
        <f t="shared" si="6"/>
        <v>0.1</v>
      </c>
      <c r="R12" s="36"/>
      <c r="S12" s="5" t="s">
        <v>5</v>
      </c>
      <c r="T12" s="6">
        <v>0.1</v>
      </c>
      <c r="U12" s="66"/>
      <c r="V12" s="20"/>
      <c r="W12" s="129"/>
      <c r="X12" s="20"/>
      <c r="Y12" s="129"/>
      <c r="Z12" s="20"/>
      <c r="AA12" s="129"/>
      <c r="AB12" s="20"/>
      <c r="AC12" s="129"/>
      <c r="AD12" s="20"/>
      <c r="AE12" s="19"/>
      <c r="AF12" s="8"/>
      <c r="AG12" s="17"/>
      <c r="AH12" s="38"/>
      <c r="AI12" s="18"/>
      <c r="AJ12" s="131" t="s">
        <v>301</v>
      </c>
      <c r="AK12" s="131"/>
      <c r="AL12" s="37"/>
      <c r="AM12" s="111" t="s">
        <v>161</v>
      </c>
      <c r="AN12" s="111" t="s">
        <v>179</v>
      </c>
      <c r="AO12" s="111" t="s">
        <v>179</v>
      </c>
      <c r="AP12" s="111" t="s">
        <v>179</v>
      </c>
      <c r="AQ12" s="111" t="s">
        <v>179</v>
      </c>
      <c r="AR12" s="111" t="s">
        <v>179</v>
      </c>
      <c r="AS12" s="132" t="s">
        <v>179</v>
      </c>
      <c r="AT12" s="216" t="s">
        <v>180</v>
      </c>
      <c r="AU12" s="215" t="s">
        <v>180</v>
      </c>
      <c r="AV12" s="170" t="str">
        <f>IF(Q12&gt;4999.9,"G",IF(Q12&gt;999.9,"F",IF(Q12&gt;299.9,"E",IF(Q12&gt;99.9,"D",IF(Q12&gt;9.9,"C",IF(Q12&gt;0.25,"B",IF(Q12&gt;0,"A","")))))))</f>
        <v>A</v>
      </c>
      <c r="AW12" s="52" t="s">
        <v>43</v>
      </c>
      <c r="AX12" s="12">
        <f t="shared" si="2"/>
        <v>34</v>
      </c>
      <c r="AY12" s="14">
        <f t="shared" si="3"/>
        <v>15</v>
      </c>
      <c r="AZ12" s="5">
        <f t="shared" si="4"/>
        <v>19</v>
      </c>
      <c r="BA12" s="16">
        <f t="shared" si="5"/>
        <v>111.49999999999993</v>
      </c>
      <c r="BE12" s="168">
        <v>43709</v>
      </c>
      <c r="BF12" s="168">
        <v>43738</v>
      </c>
    </row>
    <row r="13" spans="1:58" s="42" customFormat="1" ht="15" customHeight="1" x14ac:dyDescent="0.25">
      <c r="A13" s="59">
        <v>43618</v>
      </c>
      <c r="B13" s="59" t="s">
        <v>256</v>
      </c>
      <c r="C13" s="59" t="s">
        <v>28</v>
      </c>
      <c r="D13" s="110" t="s">
        <v>28</v>
      </c>
      <c r="E13" s="60">
        <v>214</v>
      </c>
      <c r="F13" s="60">
        <v>4</v>
      </c>
      <c r="G13" s="156" t="s">
        <v>221</v>
      </c>
      <c r="H13" s="133" t="s">
        <v>257</v>
      </c>
      <c r="I13" s="110" t="s">
        <v>258</v>
      </c>
      <c r="J13" s="110" t="s">
        <v>259</v>
      </c>
      <c r="K13" s="110" t="s">
        <v>252</v>
      </c>
      <c r="L13" s="110" t="s">
        <v>260</v>
      </c>
      <c r="M13" s="110" t="s">
        <v>261</v>
      </c>
      <c r="N13" s="110" t="s">
        <v>262</v>
      </c>
      <c r="O13" s="208"/>
      <c r="P13" s="208"/>
      <c r="Q13" s="204">
        <f t="shared" si="6"/>
        <v>0.1</v>
      </c>
      <c r="R13" s="36"/>
      <c r="S13" s="5">
        <v>0.1</v>
      </c>
      <c r="T13" s="6"/>
      <c r="U13" s="66"/>
      <c r="V13" s="20"/>
      <c r="W13" s="129"/>
      <c r="X13" s="20"/>
      <c r="Y13" s="129"/>
      <c r="Z13" s="20"/>
      <c r="AA13" s="129"/>
      <c r="AB13" s="20"/>
      <c r="AC13" s="129"/>
      <c r="AD13" s="20"/>
      <c r="AE13" s="19"/>
      <c r="AF13" s="8"/>
      <c r="AG13" s="17"/>
      <c r="AH13" s="38"/>
      <c r="AI13" s="18"/>
      <c r="AJ13" s="131"/>
      <c r="AK13" s="131"/>
      <c r="AL13" s="37"/>
      <c r="AM13" s="111" t="s">
        <v>161</v>
      </c>
      <c r="AN13" s="111" t="s">
        <v>179</v>
      </c>
      <c r="AO13" s="111" t="s">
        <v>179</v>
      </c>
      <c r="AP13" s="111" t="s">
        <v>179</v>
      </c>
      <c r="AQ13" s="111" t="s">
        <v>179</v>
      </c>
      <c r="AR13" s="111" t="s">
        <v>179</v>
      </c>
      <c r="AS13" s="132" t="s">
        <v>179</v>
      </c>
      <c r="AT13" s="216" t="s">
        <v>180</v>
      </c>
      <c r="AU13" s="215" t="s">
        <v>180</v>
      </c>
      <c r="AV13" s="170" t="str">
        <f t="shared" si="7"/>
        <v>A</v>
      </c>
      <c r="AW13" s="52" t="s">
        <v>44</v>
      </c>
      <c r="AX13" s="12">
        <f t="shared" si="2"/>
        <v>11</v>
      </c>
      <c r="AY13" s="14">
        <f t="shared" si="3"/>
        <v>10</v>
      </c>
      <c r="AZ13" s="5">
        <f t="shared" si="4"/>
        <v>1</v>
      </c>
      <c r="BA13" s="16">
        <f t="shared" si="5"/>
        <v>392.65000000000009</v>
      </c>
      <c r="BE13" s="168">
        <v>43739</v>
      </c>
      <c r="BF13" s="168">
        <v>43769</v>
      </c>
    </row>
    <row r="14" spans="1:58" s="42" customFormat="1" ht="15" customHeight="1" x14ac:dyDescent="0.25">
      <c r="A14" s="59">
        <v>43618</v>
      </c>
      <c r="B14" s="59" t="s">
        <v>263</v>
      </c>
      <c r="C14" s="59" t="s">
        <v>30</v>
      </c>
      <c r="D14" s="110" t="s">
        <v>28</v>
      </c>
      <c r="E14" s="60">
        <v>215</v>
      </c>
      <c r="F14" s="60">
        <v>5</v>
      </c>
      <c r="G14" s="156" t="s">
        <v>246</v>
      </c>
      <c r="H14" s="133" t="s">
        <v>264</v>
      </c>
      <c r="I14" s="110" t="s">
        <v>265</v>
      </c>
      <c r="J14" s="110" t="s">
        <v>266</v>
      </c>
      <c r="K14" s="110" t="s">
        <v>252</v>
      </c>
      <c r="L14" s="110" t="s">
        <v>267</v>
      </c>
      <c r="M14" s="110" t="s">
        <v>268</v>
      </c>
      <c r="N14" s="110" t="s">
        <v>646</v>
      </c>
      <c r="O14" s="208"/>
      <c r="P14" s="208"/>
      <c r="Q14" s="204">
        <f t="shared" si="6"/>
        <v>0.1</v>
      </c>
      <c r="R14" s="36"/>
      <c r="S14" s="5">
        <v>0.1</v>
      </c>
      <c r="T14" s="6"/>
      <c r="U14" s="85"/>
      <c r="V14" s="20"/>
      <c r="W14" s="129"/>
      <c r="X14" s="20"/>
      <c r="Y14" s="129"/>
      <c r="Z14" s="20"/>
      <c r="AA14" s="129"/>
      <c r="AB14" s="20"/>
      <c r="AC14" s="129"/>
      <c r="AD14" s="20"/>
      <c r="AE14" s="19"/>
      <c r="AF14" s="8"/>
      <c r="AG14" s="17"/>
      <c r="AH14" s="38"/>
      <c r="AI14" s="18"/>
      <c r="AJ14" s="131"/>
      <c r="AK14" s="131"/>
      <c r="AL14" s="37"/>
      <c r="AM14" s="205" t="s">
        <v>226</v>
      </c>
      <c r="AN14" s="205" t="s">
        <v>179</v>
      </c>
      <c r="AO14" s="205" t="s">
        <v>179</v>
      </c>
      <c r="AP14" s="205" t="s">
        <v>179</v>
      </c>
      <c r="AQ14" s="205" t="s">
        <v>179</v>
      </c>
      <c r="AR14" s="205" t="s">
        <v>179</v>
      </c>
      <c r="AS14" s="205" t="s">
        <v>179</v>
      </c>
      <c r="AT14" s="217" t="s">
        <v>180</v>
      </c>
      <c r="AU14" s="215" t="s">
        <v>180</v>
      </c>
      <c r="AV14" s="170" t="str">
        <f t="shared" si="7"/>
        <v>A</v>
      </c>
      <c r="AW14" s="52" t="s">
        <v>45</v>
      </c>
      <c r="AX14" s="12">
        <f t="shared" si="2"/>
        <v>7</v>
      </c>
      <c r="AY14" s="14">
        <f t="shared" si="3"/>
        <v>7</v>
      </c>
      <c r="AZ14" s="5">
        <f t="shared" si="4"/>
        <v>0</v>
      </c>
      <c r="BA14" s="16">
        <f t="shared" si="5"/>
        <v>406.7</v>
      </c>
      <c r="BE14" s="168">
        <v>43770</v>
      </c>
      <c r="BF14" s="168">
        <v>43799</v>
      </c>
    </row>
    <row r="15" spans="1:58" s="42" customFormat="1" ht="15" customHeight="1" x14ac:dyDescent="0.25">
      <c r="A15" s="59">
        <v>43622</v>
      </c>
      <c r="B15" s="59" t="s">
        <v>256</v>
      </c>
      <c r="C15" s="59" t="s">
        <v>28</v>
      </c>
      <c r="D15" s="110" t="s">
        <v>28</v>
      </c>
      <c r="E15" s="60">
        <v>234</v>
      </c>
      <c r="F15" s="60">
        <v>6</v>
      </c>
      <c r="G15" s="156" t="s">
        <v>221</v>
      </c>
      <c r="H15" s="133" t="s">
        <v>273</v>
      </c>
      <c r="I15" s="110" t="s">
        <v>274</v>
      </c>
      <c r="J15" s="110" t="s">
        <v>275</v>
      </c>
      <c r="K15" s="110" t="s">
        <v>252</v>
      </c>
      <c r="L15" s="110" t="s">
        <v>439</v>
      </c>
      <c r="M15" s="110" t="s">
        <v>440</v>
      </c>
      <c r="N15" s="110" t="s">
        <v>441</v>
      </c>
      <c r="O15" s="208"/>
      <c r="P15" s="208"/>
      <c r="Q15" s="204">
        <f t="shared" si="6"/>
        <v>0.4</v>
      </c>
      <c r="R15" s="36"/>
      <c r="S15" s="5">
        <v>0.4</v>
      </c>
      <c r="T15" s="6"/>
      <c r="U15" s="50"/>
      <c r="V15" s="20"/>
      <c r="W15" s="129"/>
      <c r="X15" s="20"/>
      <c r="Y15" s="129"/>
      <c r="Z15" s="20"/>
      <c r="AA15" s="129"/>
      <c r="AB15" s="20"/>
      <c r="AC15" s="129"/>
      <c r="AD15" s="20"/>
      <c r="AE15" s="19"/>
      <c r="AF15" s="8"/>
      <c r="AG15" s="17"/>
      <c r="AH15" s="38"/>
      <c r="AI15" s="18"/>
      <c r="AJ15" s="131"/>
      <c r="AK15" s="131"/>
      <c r="AL15" s="37"/>
      <c r="AM15" s="110" t="s">
        <v>161</v>
      </c>
      <c r="AN15" s="110" t="s">
        <v>179</v>
      </c>
      <c r="AO15" s="110" t="s">
        <v>179</v>
      </c>
      <c r="AP15" s="110" t="s">
        <v>179</v>
      </c>
      <c r="AQ15" s="110" t="s">
        <v>179</v>
      </c>
      <c r="AR15" s="110" t="s">
        <v>179</v>
      </c>
      <c r="AS15" s="131" t="s">
        <v>179</v>
      </c>
      <c r="AT15" s="215" t="s">
        <v>180</v>
      </c>
      <c r="AU15" s="215" t="s">
        <v>180</v>
      </c>
      <c r="AV15" s="170" t="str">
        <f t="shared" si="7"/>
        <v>B</v>
      </c>
      <c r="AW15" s="52" t="s">
        <v>46</v>
      </c>
      <c r="AX15" s="12">
        <f t="shared" si="2"/>
        <v>0</v>
      </c>
      <c r="AY15" s="14">
        <f t="shared" si="3"/>
        <v>0</v>
      </c>
      <c r="AZ15" s="5">
        <f t="shared" si="4"/>
        <v>0</v>
      </c>
      <c r="BA15" s="16">
        <f t="shared" si="5"/>
        <v>0</v>
      </c>
      <c r="BE15" s="168">
        <v>43800</v>
      </c>
      <c r="BF15" s="168">
        <v>43830</v>
      </c>
    </row>
    <row r="16" spans="1:58" ht="15" customHeight="1" x14ac:dyDescent="0.25">
      <c r="A16" s="59">
        <v>43622</v>
      </c>
      <c r="B16" s="59" t="s">
        <v>276</v>
      </c>
      <c r="C16" s="59" t="s">
        <v>28</v>
      </c>
      <c r="D16" s="110" t="s">
        <v>28</v>
      </c>
      <c r="E16" s="60">
        <v>236</v>
      </c>
      <c r="F16" s="60">
        <v>7</v>
      </c>
      <c r="G16" s="156" t="s">
        <v>277</v>
      </c>
      <c r="H16" s="133" t="s">
        <v>278</v>
      </c>
      <c r="I16" s="110" t="s">
        <v>442</v>
      </c>
      <c r="J16" s="110" t="s">
        <v>281</v>
      </c>
      <c r="K16" s="110" t="s">
        <v>7</v>
      </c>
      <c r="L16" s="110" t="s">
        <v>279</v>
      </c>
      <c r="M16" s="110" t="s">
        <v>280</v>
      </c>
      <c r="N16" s="110" t="s">
        <v>458</v>
      </c>
      <c r="O16" s="208"/>
      <c r="P16" s="208"/>
      <c r="Q16" s="204">
        <f t="shared" si="6"/>
        <v>0.25</v>
      </c>
      <c r="R16" s="36"/>
      <c r="S16" s="5">
        <v>0.25</v>
      </c>
      <c r="T16" s="6"/>
      <c r="U16" s="50"/>
      <c r="V16" s="20"/>
      <c r="W16" s="129"/>
      <c r="X16" s="20"/>
      <c r="Y16" s="129"/>
      <c r="Z16" s="20"/>
      <c r="AA16" s="129"/>
      <c r="AB16" s="20"/>
      <c r="AC16" s="129"/>
      <c r="AD16" s="20"/>
      <c r="AE16" s="19"/>
      <c r="AF16" s="8"/>
      <c r="AG16" s="17"/>
      <c r="AH16" s="38"/>
      <c r="AI16" s="18"/>
      <c r="AJ16" s="131"/>
      <c r="AK16" s="131"/>
      <c r="AL16" s="37"/>
      <c r="AM16" s="110" t="s">
        <v>29</v>
      </c>
      <c r="AN16" s="110" t="s">
        <v>162</v>
      </c>
      <c r="AO16" s="110" t="s">
        <v>179</v>
      </c>
      <c r="AP16" s="110" t="s">
        <v>179</v>
      </c>
      <c r="AQ16" s="110" t="s">
        <v>179</v>
      </c>
      <c r="AR16" s="110" t="s">
        <v>179</v>
      </c>
      <c r="AS16" s="131" t="s">
        <v>179</v>
      </c>
      <c r="AT16" s="215" t="s">
        <v>180</v>
      </c>
      <c r="AU16" s="215" t="s">
        <v>180</v>
      </c>
      <c r="AV16" s="170" t="str">
        <f t="shared" si="7"/>
        <v>A</v>
      </c>
      <c r="AW16" s="52" t="s">
        <v>4</v>
      </c>
      <c r="AX16" s="7">
        <f>SUM(AX4:AX15)</f>
        <v>200</v>
      </c>
      <c r="AY16" s="14">
        <f>SUM(AY4:AY15)</f>
        <v>104</v>
      </c>
      <c r="AZ16" s="5">
        <f>SUM(AZ4:AZ15)</f>
        <v>96</v>
      </c>
      <c r="BA16" s="16">
        <f>SUM(BA4:BA15)</f>
        <v>8739.0600000000031</v>
      </c>
    </row>
    <row r="17" spans="1:58" ht="15" customHeight="1" x14ac:dyDescent="0.25">
      <c r="A17" s="59">
        <v>43624</v>
      </c>
      <c r="B17" s="59" t="s">
        <v>282</v>
      </c>
      <c r="C17" s="59" t="s">
        <v>27</v>
      </c>
      <c r="D17" s="110" t="s">
        <v>27</v>
      </c>
      <c r="E17" s="60">
        <v>240</v>
      </c>
      <c r="F17" s="172"/>
      <c r="G17" s="156" t="s">
        <v>216</v>
      </c>
      <c r="H17" s="133" t="s">
        <v>283</v>
      </c>
      <c r="I17" s="110" t="s">
        <v>357</v>
      </c>
      <c r="J17" s="110" t="s">
        <v>289</v>
      </c>
      <c r="K17" s="110" t="s">
        <v>7</v>
      </c>
      <c r="L17" s="110" t="s">
        <v>284</v>
      </c>
      <c r="M17" s="110" t="s">
        <v>358</v>
      </c>
      <c r="N17" s="110" t="s">
        <v>359</v>
      </c>
      <c r="O17" s="112">
        <v>550954</v>
      </c>
      <c r="P17" s="110">
        <v>4797172</v>
      </c>
      <c r="Q17" s="204">
        <f t="shared" si="6"/>
        <v>7.5</v>
      </c>
      <c r="R17" s="36">
        <v>7.5</v>
      </c>
      <c r="S17" s="5"/>
      <c r="T17" s="6"/>
      <c r="U17" s="50"/>
      <c r="V17" s="20"/>
      <c r="W17" s="129"/>
      <c r="X17" s="20"/>
      <c r="Y17" s="129"/>
      <c r="Z17" s="20"/>
      <c r="AA17" s="129"/>
      <c r="AB17" s="20"/>
      <c r="AC17" s="129"/>
      <c r="AD17" s="20"/>
      <c r="AE17" s="19"/>
      <c r="AF17" s="8"/>
      <c r="AG17" s="17"/>
      <c r="AH17" s="38"/>
      <c r="AI17" s="18"/>
      <c r="AJ17" s="131"/>
      <c r="AK17" s="131"/>
      <c r="AL17" s="37"/>
      <c r="AM17" s="110" t="s">
        <v>161</v>
      </c>
      <c r="AN17" s="110" t="s">
        <v>179</v>
      </c>
      <c r="AO17" s="110" t="s">
        <v>179</v>
      </c>
      <c r="AP17" s="110" t="s">
        <v>179</v>
      </c>
      <c r="AQ17" s="110" t="s">
        <v>179</v>
      </c>
      <c r="AR17" s="110" t="s">
        <v>162</v>
      </c>
      <c r="AS17" s="131" t="s">
        <v>179</v>
      </c>
      <c r="AT17" s="215" t="s">
        <v>180</v>
      </c>
      <c r="AU17" s="215" t="s">
        <v>180</v>
      </c>
      <c r="AV17" s="170" t="str">
        <f t="shared" si="7"/>
        <v>B</v>
      </c>
      <c r="BC17" s="2" t="s">
        <v>5</v>
      </c>
    </row>
    <row r="18" spans="1:58" s="42" customFormat="1" ht="15" customHeight="1" x14ac:dyDescent="0.25">
      <c r="A18" s="59">
        <v>43626</v>
      </c>
      <c r="B18" s="59" t="s">
        <v>285</v>
      </c>
      <c r="C18" s="59" t="s">
        <v>27</v>
      </c>
      <c r="D18" s="110" t="s">
        <v>27</v>
      </c>
      <c r="E18" s="60">
        <v>244</v>
      </c>
      <c r="F18" s="172"/>
      <c r="G18" s="156" t="s">
        <v>8</v>
      </c>
      <c r="H18" s="133" t="s">
        <v>286</v>
      </c>
      <c r="I18" s="110" t="s">
        <v>287</v>
      </c>
      <c r="J18" s="110" t="s">
        <v>288</v>
      </c>
      <c r="K18" s="110" t="s">
        <v>7</v>
      </c>
      <c r="L18" s="110" t="s">
        <v>454</v>
      </c>
      <c r="M18" s="110" t="s">
        <v>463</v>
      </c>
      <c r="N18" s="110" t="s">
        <v>464</v>
      </c>
      <c r="O18" s="110">
        <v>567612</v>
      </c>
      <c r="P18" s="110">
        <v>4811564</v>
      </c>
      <c r="Q18" s="204">
        <f t="shared" si="6"/>
        <v>0.1</v>
      </c>
      <c r="R18" s="36">
        <v>0.1</v>
      </c>
      <c r="S18" s="5"/>
      <c r="T18" s="6"/>
      <c r="U18" s="50"/>
      <c r="V18" s="20"/>
      <c r="W18" s="129"/>
      <c r="X18" s="20"/>
      <c r="Y18" s="129"/>
      <c r="Z18" s="20"/>
      <c r="AA18" s="129"/>
      <c r="AB18" s="20"/>
      <c r="AC18" s="129"/>
      <c r="AD18" s="20"/>
      <c r="AE18" s="19"/>
      <c r="AF18" s="8"/>
      <c r="AG18" s="17"/>
      <c r="AH18" s="38"/>
      <c r="AI18" s="18"/>
      <c r="AJ18" s="131"/>
      <c r="AK18" s="131"/>
      <c r="AL18" s="37"/>
      <c r="AM18" s="110" t="s">
        <v>226</v>
      </c>
      <c r="AN18" s="110" t="s">
        <v>179</v>
      </c>
      <c r="AO18" s="110" t="s">
        <v>179</v>
      </c>
      <c r="AP18" s="110" t="s">
        <v>179</v>
      </c>
      <c r="AQ18" s="110" t="s">
        <v>179</v>
      </c>
      <c r="AR18" s="110" t="s">
        <v>179</v>
      </c>
      <c r="AS18" s="131" t="s">
        <v>179</v>
      </c>
      <c r="AT18" s="215" t="s">
        <v>180</v>
      </c>
      <c r="AU18" s="215" t="s">
        <v>180</v>
      </c>
      <c r="AV18" s="170" t="str">
        <f t="shared" si="7"/>
        <v>A</v>
      </c>
      <c r="AW18" s="22"/>
      <c r="AX18" s="2"/>
      <c r="AY18" s="2"/>
      <c r="AZ18" s="2"/>
      <c r="BA18" s="2"/>
      <c r="BB18" s="2"/>
    </row>
    <row r="19" spans="1:58" ht="15" customHeight="1" x14ac:dyDescent="0.25">
      <c r="A19" s="59">
        <v>43628</v>
      </c>
      <c r="B19" s="59" t="s">
        <v>290</v>
      </c>
      <c r="C19" s="59" t="s">
        <v>27</v>
      </c>
      <c r="D19" s="110" t="s">
        <v>27</v>
      </c>
      <c r="E19" s="60">
        <v>256</v>
      </c>
      <c r="F19" s="172"/>
      <c r="G19" s="156" t="s">
        <v>217</v>
      </c>
      <c r="H19" s="133" t="s">
        <v>291</v>
      </c>
      <c r="I19" s="110" t="s">
        <v>292</v>
      </c>
      <c r="J19" s="110"/>
      <c r="K19" s="110" t="s">
        <v>252</v>
      </c>
      <c r="L19" s="110" t="s">
        <v>465</v>
      </c>
      <c r="M19" s="110" t="s">
        <v>466</v>
      </c>
      <c r="N19" s="110" t="s">
        <v>472</v>
      </c>
      <c r="O19" s="110">
        <v>523406</v>
      </c>
      <c r="P19" s="110">
        <v>4790124</v>
      </c>
      <c r="Q19" s="204">
        <f t="shared" si="6"/>
        <v>0.25</v>
      </c>
      <c r="R19" s="36">
        <v>0.25</v>
      </c>
      <c r="S19" s="5"/>
      <c r="T19" s="6"/>
      <c r="U19" s="50"/>
      <c r="V19" s="20"/>
      <c r="W19" s="129"/>
      <c r="X19" s="20"/>
      <c r="Y19" s="129"/>
      <c r="Z19" s="20"/>
      <c r="AA19" s="129"/>
      <c r="AB19" s="20"/>
      <c r="AC19" s="129"/>
      <c r="AD19" s="20"/>
      <c r="AE19" s="19"/>
      <c r="AF19" s="8"/>
      <c r="AG19" s="17"/>
      <c r="AH19" s="38"/>
      <c r="AI19" s="18"/>
      <c r="AJ19" s="131"/>
      <c r="AK19" s="131"/>
      <c r="AL19" s="37"/>
      <c r="AM19" s="110" t="s">
        <v>161</v>
      </c>
      <c r="AN19" s="110" t="s">
        <v>179</v>
      </c>
      <c r="AO19" s="110" t="s">
        <v>162</v>
      </c>
      <c r="AP19" s="110" t="s">
        <v>179</v>
      </c>
      <c r="AQ19" s="110" t="s">
        <v>179</v>
      </c>
      <c r="AR19" s="110" t="s">
        <v>162</v>
      </c>
      <c r="AS19" s="131" t="s">
        <v>179</v>
      </c>
      <c r="AT19" s="215" t="s">
        <v>180</v>
      </c>
      <c r="AU19" s="215" t="s">
        <v>180</v>
      </c>
      <c r="AV19" s="170" t="str">
        <f t="shared" si="7"/>
        <v>A</v>
      </c>
      <c r="AX19" s="42"/>
      <c r="AY19" s="42"/>
      <c r="AZ19" s="42"/>
      <c r="BA19" s="42"/>
      <c r="BB19" s="42"/>
    </row>
    <row r="20" spans="1:58" ht="15" customHeight="1" x14ac:dyDescent="0.25">
      <c r="A20" s="59">
        <v>43631</v>
      </c>
      <c r="B20" s="59" t="s">
        <v>294</v>
      </c>
      <c r="C20" s="59" t="s">
        <v>27</v>
      </c>
      <c r="D20" s="110" t="s">
        <v>27</v>
      </c>
      <c r="E20" s="60">
        <v>267</v>
      </c>
      <c r="F20" s="172"/>
      <c r="G20" s="156" t="s">
        <v>295</v>
      </c>
      <c r="H20" s="133" t="s">
        <v>296</v>
      </c>
      <c r="I20" s="110" t="s">
        <v>297</v>
      </c>
      <c r="J20" s="110" t="s">
        <v>302</v>
      </c>
      <c r="K20" s="110" t="s">
        <v>252</v>
      </c>
      <c r="L20" s="110" t="s">
        <v>298</v>
      </c>
      <c r="M20" s="110" t="s">
        <v>299</v>
      </c>
      <c r="N20" s="110" t="s">
        <v>300</v>
      </c>
      <c r="O20" s="110">
        <v>604744</v>
      </c>
      <c r="P20" s="110">
        <v>4701485</v>
      </c>
      <c r="Q20" s="204">
        <f t="shared" si="6"/>
        <v>313</v>
      </c>
      <c r="R20" s="36">
        <v>313</v>
      </c>
      <c r="S20" s="5"/>
      <c r="T20" s="6"/>
      <c r="U20" s="50"/>
      <c r="V20" s="20"/>
      <c r="W20" s="129"/>
      <c r="X20" s="20"/>
      <c r="Y20" s="129"/>
      <c r="Z20" s="20"/>
      <c r="AA20" s="129"/>
      <c r="AB20" s="20"/>
      <c r="AC20" s="129"/>
      <c r="AD20" s="20"/>
      <c r="AE20" s="19"/>
      <c r="AF20" s="8"/>
      <c r="AG20" s="17"/>
      <c r="AH20" s="38"/>
      <c r="AI20" s="18"/>
      <c r="AJ20" s="131"/>
      <c r="AK20" s="131" t="s">
        <v>301</v>
      </c>
      <c r="AL20" s="37"/>
      <c r="AM20" s="110" t="s">
        <v>226</v>
      </c>
      <c r="AN20" s="110" t="s">
        <v>179</v>
      </c>
      <c r="AO20" s="110" t="s">
        <v>162</v>
      </c>
      <c r="AP20" s="110" t="s">
        <v>179</v>
      </c>
      <c r="AQ20" s="110" t="s">
        <v>162</v>
      </c>
      <c r="AR20" s="110" t="s">
        <v>179</v>
      </c>
      <c r="AS20" s="131" t="s">
        <v>179</v>
      </c>
      <c r="AT20" s="215" t="s">
        <v>162</v>
      </c>
      <c r="AU20" s="215" t="s">
        <v>180</v>
      </c>
      <c r="AV20" s="170" t="str">
        <f t="shared" si="7"/>
        <v>E</v>
      </c>
    </row>
    <row r="21" spans="1:58" ht="15" customHeight="1" x14ac:dyDescent="0.25">
      <c r="A21" s="59">
        <v>43633</v>
      </c>
      <c r="B21" s="59" t="s">
        <v>303</v>
      </c>
      <c r="C21" s="59" t="s">
        <v>27</v>
      </c>
      <c r="D21" s="110" t="s">
        <v>27</v>
      </c>
      <c r="E21" s="60">
        <v>275</v>
      </c>
      <c r="F21" s="172"/>
      <c r="G21" s="156" t="s">
        <v>295</v>
      </c>
      <c r="H21" s="133" t="s">
        <v>304</v>
      </c>
      <c r="I21" s="110" t="s">
        <v>302</v>
      </c>
      <c r="J21" s="110"/>
      <c r="K21" s="110" t="s">
        <v>7</v>
      </c>
      <c r="L21" s="110" t="s">
        <v>453</v>
      </c>
      <c r="M21" s="110" t="s">
        <v>305</v>
      </c>
      <c r="N21" s="110" t="s">
        <v>306</v>
      </c>
      <c r="O21" s="110">
        <v>589763</v>
      </c>
      <c r="P21" s="110">
        <v>4723079</v>
      </c>
      <c r="Q21" s="204">
        <f t="shared" si="6"/>
        <v>1</v>
      </c>
      <c r="R21" s="36">
        <v>1</v>
      </c>
      <c r="S21" s="5"/>
      <c r="T21" s="6"/>
      <c r="U21" s="50"/>
      <c r="V21" s="20"/>
      <c r="W21" s="129"/>
      <c r="X21" s="20"/>
      <c r="Y21" s="129"/>
      <c r="Z21" s="20"/>
      <c r="AA21" s="129"/>
      <c r="AB21" s="20"/>
      <c r="AC21" s="129"/>
      <c r="AD21" s="20"/>
      <c r="AE21" s="19"/>
      <c r="AF21" s="8"/>
      <c r="AG21" s="17"/>
      <c r="AH21" s="38"/>
      <c r="AI21" s="18"/>
      <c r="AJ21" s="131"/>
      <c r="AK21" s="131"/>
      <c r="AL21" s="37"/>
      <c r="AM21" s="110" t="s">
        <v>161</v>
      </c>
      <c r="AN21" s="110" t="s">
        <v>179</v>
      </c>
      <c r="AO21" s="110" t="s">
        <v>179</v>
      </c>
      <c r="AP21" s="110" t="s">
        <v>179</v>
      </c>
      <c r="AQ21" s="110" t="s">
        <v>179</v>
      </c>
      <c r="AR21" s="110" t="s">
        <v>162</v>
      </c>
      <c r="AS21" s="131" t="s">
        <v>179</v>
      </c>
      <c r="AT21" s="215" t="s">
        <v>180</v>
      </c>
      <c r="AU21" s="215" t="s">
        <v>180</v>
      </c>
      <c r="AV21" s="170" t="str">
        <f t="shared" si="7"/>
        <v>B</v>
      </c>
      <c r="AX21" s="42"/>
      <c r="AY21" s="42"/>
      <c r="AZ21" s="42"/>
      <c r="BA21" s="42"/>
    </row>
    <row r="22" spans="1:58" s="42" customFormat="1" ht="15" customHeight="1" x14ac:dyDescent="0.25">
      <c r="A22" s="59">
        <v>43635</v>
      </c>
      <c r="B22" s="59" t="s">
        <v>308</v>
      </c>
      <c r="C22" s="59" t="s">
        <v>27</v>
      </c>
      <c r="D22" s="110" t="s">
        <v>30</v>
      </c>
      <c r="E22" s="60">
        <v>284</v>
      </c>
      <c r="F22" s="172"/>
      <c r="G22" s="156" t="s">
        <v>216</v>
      </c>
      <c r="H22" s="133" t="s">
        <v>309</v>
      </c>
      <c r="I22" s="62" t="s">
        <v>311</v>
      </c>
      <c r="J22" s="110" t="s">
        <v>312</v>
      </c>
      <c r="K22" s="110" t="s">
        <v>7</v>
      </c>
      <c r="L22" s="110" t="s">
        <v>313</v>
      </c>
      <c r="M22" s="110" t="s">
        <v>470</v>
      </c>
      <c r="N22" s="110" t="s">
        <v>471</v>
      </c>
      <c r="O22" s="110">
        <v>577590</v>
      </c>
      <c r="P22" s="62">
        <v>4764603</v>
      </c>
      <c r="Q22" s="204">
        <f t="shared" si="6"/>
        <v>0.25</v>
      </c>
      <c r="R22" s="36"/>
      <c r="S22" s="5"/>
      <c r="T22" s="6">
        <v>0.25</v>
      </c>
      <c r="U22" s="66"/>
      <c r="V22" s="20"/>
      <c r="W22" s="129"/>
      <c r="X22" s="20"/>
      <c r="Y22" s="129"/>
      <c r="Z22" s="20"/>
      <c r="AA22" s="129"/>
      <c r="AB22" s="20"/>
      <c r="AC22" s="129"/>
      <c r="AD22" s="20"/>
      <c r="AE22" s="19"/>
      <c r="AF22" s="8"/>
      <c r="AG22" s="17"/>
      <c r="AH22" s="38"/>
      <c r="AI22" s="18"/>
      <c r="AJ22" s="131"/>
      <c r="AK22" s="131"/>
      <c r="AL22" s="37"/>
      <c r="AM22" s="111" t="s">
        <v>161</v>
      </c>
      <c r="AN22" s="111" t="s">
        <v>179</v>
      </c>
      <c r="AO22" s="111" t="s">
        <v>179</v>
      </c>
      <c r="AP22" s="111" t="s">
        <v>179</v>
      </c>
      <c r="AQ22" s="111" t="s">
        <v>179</v>
      </c>
      <c r="AR22" s="111" t="s">
        <v>162</v>
      </c>
      <c r="AS22" s="132" t="s">
        <v>179</v>
      </c>
      <c r="AT22" s="216" t="s">
        <v>180</v>
      </c>
      <c r="AU22" s="215" t="s">
        <v>180</v>
      </c>
      <c r="AV22" s="170" t="str">
        <f t="shared" si="7"/>
        <v>A</v>
      </c>
      <c r="AW22" s="56" t="s">
        <v>61</v>
      </c>
      <c r="AX22" s="209" t="s">
        <v>60</v>
      </c>
      <c r="AY22" s="210"/>
      <c r="AZ22" s="311"/>
      <c r="BA22" s="312"/>
      <c r="BB22" s="2"/>
      <c r="BC22" s="2"/>
    </row>
    <row r="23" spans="1:58" ht="15" customHeight="1" x14ac:dyDescent="0.25">
      <c r="A23" s="59">
        <v>43635</v>
      </c>
      <c r="B23" s="59" t="s">
        <v>314</v>
      </c>
      <c r="C23" s="59" t="s">
        <v>27</v>
      </c>
      <c r="D23" s="110" t="s">
        <v>27</v>
      </c>
      <c r="E23" s="60">
        <v>285</v>
      </c>
      <c r="F23" s="172"/>
      <c r="G23" s="156" t="s">
        <v>216</v>
      </c>
      <c r="H23" s="133" t="s">
        <v>310</v>
      </c>
      <c r="I23" s="110" t="s">
        <v>297</v>
      </c>
      <c r="J23" s="110" t="s">
        <v>317</v>
      </c>
      <c r="K23" s="110" t="s">
        <v>7</v>
      </c>
      <c r="L23" s="110" t="s">
        <v>315</v>
      </c>
      <c r="M23" s="110" t="s">
        <v>316</v>
      </c>
      <c r="N23" s="110" t="s">
        <v>547</v>
      </c>
      <c r="O23" s="110">
        <v>598750</v>
      </c>
      <c r="P23" s="110">
        <v>4750703</v>
      </c>
      <c r="Q23" s="204">
        <f t="shared" si="6"/>
        <v>1</v>
      </c>
      <c r="R23" s="36">
        <v>1</v>
      </c>
      <c r="S23" s="5"/>
      <c r="T23" s="6"/>
      <c r="U23" s="50"/>
      <c r="V23" s="20"/>
      <c r="W23" s="129"/>
      <c r="X23" s="20"/>
      <c r="Y23" s="129"/>
      <c r="Z23" s="20"/>
      <c r="AA23" s="129"/>
      <c r="AB23" s="20"/>
      <c r="AC23" s="129"/>
      <c r="AD23" s="20"/>
      <c r="AE23" s="19"/>
      <c r="AF23" s="8"/>
      <c r="AG23" s="17"/>
      <c r="AH23" s="38"/>
      <c r="AI23" s="18"/>
      <c r="AJ23" s="131"/>
      <c r="AK23" s="131"/>
      <c r="AL23" s="37"/>
      <c r="AM23" s="110" t="s">
        <v>29</v>
      </c>
      <c r="AN23" s="110" t="s">
        <v>179</v>
      </c>
      <c r="AO23" s="110" t="s">
        <v>179</v>
      </c>
      <c r="AP23" s="110" t="s">
        <v>179</v>
      </c>
      <c r="AQ23" s="110" t="s">
        <v>179</v>
      </c>
      <c r="AR23" s="110" t="s">
        <v>162</v>
      </c>
      <c r="AS23" s="131" t="s">
        <v>179</v>
      </c>
      <c r="AT23" s="215" t="s">
        <v>180</v>
      </c>
      <c r="AU23" s="215" t="s">
        <v>180</v>
      </c>
      <c r="AV23" s="170" t="str">
        <f t="shared" si="7"/>
        <v>B</v>
      </c>
      <c r="AW23" s="150" t="s">
        <v>57</v>
      </c>
      <c r="AX23" s="20">
        <f>COUNTIF(STATS!AV:AV,"A")</f>
        <v>103</v>
      </c>
      <c r="AY23" s="211"/>
      <c r="AZ23" s="301"/>
      <c r="BA23" s="313"/>
      <c r="BF23" s="42"/>
    </row>
    <row r="24" spans="1:58" ht="15" customHeight="1" x14ac:dyDescent="0.25">
      <c r="A24" s="59">
        <v>43638</v>
      </c>
      <c r="B24" s="59" t="s">
        <v>320</v>
      </c>
      <c r="C24" s="59" t="s">
        <v>27</v>
      </c>
      <c r="D24" s="110" t="s">
        <v>27</v>
      </c>
      <c r="E24" s="60">
        <v>302</v>
      </c>
      <c r="F24" s="172"/>
      <c r="G24" s="156" t="s">
        <v>8</v>
      </c>
      <c r="H24" s="133" t="s">
        <v>318</v>
      </c>
      <c r="I24" s="110" t="s">
        <v>319</v>
      </c>
      <c r="J24" s="110" t="s">
        <v>289</v>
      </c>
      <c r="K24" s="110" t="s">
        <v>7</v>
      </c>
      <c r="L24" s="110" t="s">
        <v>177</v>
      </c>
      <c r="M24" s="110" t="s">
        <v>480</v>
      </c>
      <c r="N24" s="110" t="s">
        <v>548</v>
      </c>
      <c r="O24" s="110">
        <v>515776</v>
      </c>
      <c r="P24" s="110">
        <v>4852954</v>
      </c>
      <c r="Q24" s="204">
        <f t="shared" si="6"/>
        <v>4</v>
      </c>
      <c r="R24" s="36">
        <v>4</v>
      </c>
      <c r="S24" s="5"/>
      <c r="T24" s="6"/>
      <c r="U24" s="50"/>
      <c r="V24" s="20"/>
      <c r="W24" s="129"/>
      <c r="X24" s="20"/>
      <c r="Y24" s="129"/>
      <c r="Z24" s="20"/>
      <c r="AA24" s="129"/>
      <c r="AB24" s="20"/>
      <c r="AC24" s="129"/>
      <c r="AD24" s="20"/>
      <c r="AE24" s="19"/>
      <c r="AF24" s="8"/>
      <c r="AG24" s="17"/>
      <c r="AH24" s="38"/>
      <c r="AI24" s="18"/>
      <c r="AJ24" s="131"/>
      <c r="AK24" s="131"/>
      <c r="AL24" s="37"/>
      <c r="AM24" s="110" t="s">
        <v>161</v>
      </c>
      <c r="AN24" s="110" t="s">
        <v>179</v>
      </c>
      <c r="AO24" s="110" t="s">
        <v>179</v>
      </c>
      <c r="AP24" s="110" t="s">
        <v>179</v>
      </c>
      <c r="AQ24" s="110" t="s">
        <v>179</v>
      </c>
      <c r="AR24" s="110" t="s">
        <v>162</v>
      </c>
      <c r="AS24" s="131" t="s">
        <v>179</v>
      </c>
      <c r="AT24" s="215" t="s">
        <v>180</v>
      </c>
      <c r="AU24" s="215" t="s">
        <v>180</v>
      </c>
      <c r="AV24" s="170" t="str">
        <f t="shared" si="7"/>
        <v>B</v>
      </c>
      <c r="AW24" s="56" t="s">
        <v>62</v>
      </c>
      <c r="AX24" s="209">
        <f>COUNTIF(STATS!AV:AV,"B")</f>
        <v>58</v>
      </c>
      <c r="AY24" s="211"/>
      <c r="AZ24" s="301"/>
      <c r="BA24" s="313"/>
    </row>
    <row r="25" spans="1:58" ht="15" customHeight="1" x14ac:dyDescent="0.25">
      <c r="A25" s="59">
        <v>43638</v>
      </c>
      <c r="B25" s="110" t="s">
        <v>325</v>
      </c>
      <c r="C25" s="131" t="s">
        <v>27</v>
      </c>
      <c r="D25" s="110" t="s">
        <v>86</v>
      </c>
      <c r="E25" s="110">
        <v>304</v>
      </c>
      <c r="F25" s="172"/>
      <c r="G25" s="156" t="s">
        <v>8</v>
      </c>
      <c r="H25" s="133" t="s">
        <v>326</v>
      </c>
      <c r="I25" s="110" t="s">
        <v>292</v>
      </c>
      <c r="J25" s="110"/>
      <c r="K25" s="110" t="s">
        <v>7</v>
      </c>
      <c r="L25" s="110" t="s">
        <v>329</v>
      </c>
      <c r="M25" s="110" t="s">
        <v>549</v>
      </c>
      <c r="N25" s="110" t="s">
        <v>550</v>
      </c>
      <c r="O25" s="110">
        <v>521531</v>
      </c>
      <c r="P25" s="110">
        <v>48060282</v>
      </c>
      <c r="Q25" s="204">
        <f t="shared" si="6"/>
        <v>99</v>
      </c>
      <c r="R25" s="36">
        <v>89</v>
      </c>
      <c r="S25" s="5"/>
      <c r="T25" s="6"/>
      <c r="U25" s="50"/>
      <c r="V25" s="20"/>
      <c r="W25" s="129">
        <v>10</v>
      </c>
      <c r="X25" s="20"/>
      <c r="Y25" s="129"/>
      <c r="Z25" s="20"/>
      <c r="AA25" s="129"/>
      <c r="AB25" s="20"/>
      <c r="AC25" s="129"/>
      <c r="AD25" s="20"/>
      <c r="AE25" s="19"/>
      <c r="AF25" s="8"/>
      <c r="AG25" s="17"/>
      <c r="AH25" s="38"/>
      <c r="AI25" s="18"/>
      <c r="AJ25" s="131"/>
      <c r="AK25" s="131"/>
      <c r="AL25" s="37"/>
      <c r="AM25" s="59" t="s">
        <v>29</v>
      </c>
      <c r="AN25" s="59" t="s">
        <v>162</v>
      </c>
      <c r="AO25" s="59" t="s">
        <v>179</v>
      </c>
      <c r="AP25" s="59" t="s">
        <v>179</v>
      </c>
      <c r="AQ25" s="59" t="s">
        <v>179</v>
      </c>
      <c r="AR25" s="59" t="s">
        <v>162</v>
      </c>
      <c r="AS25" s="59" t="s">
        <v>179</v>
      </c>
      <c r="AT25" s="218" t="s">
        <v>162</v>
      </c>
      <c r="AU25" s="215" t="s">
        <v>180</v>
      </c>
      <c r="AV25" s="170" t="str">
        <f t="shared" si="7"/>
        <v>C</v>
      </c>
      <c r="AW25" s="150" t="s">
        <v>58</v>
      </c>
      <c r="AX25" s="20">
        <f>COUNTIF(STATS!AV:AV,"C")</f>
        <v>22</v>
      </c>
      <c r="AY25" s="211"/>
      <c r="AZ25" s="301"/>
      <c r="BA25" s="301"/>
      <c r="BB25" s="42"/>
    </row>
    <row r="26" spans="1:58" ht="15" customHeight="1" x14ac:dyDescent="0.25">
      <c r="A26" s="59">
        <v>43638</v>
      </c>
      <c r="B26" s="59" t="s">
        <v>327</v>
      </c>
      <c r="C26" s="59" t="s">
        <v>27</v>
      </c>
      <c r="D26" s="110" t="s">
        <v>27</v>
      </c>
      <c r="E26" s="60">
        <v>305</v>
      </c>
      <c r="F26" s="172"/>
      <c r="G26" s="156" t="s">
        <v>217</v>
      </c>
      <c r="H26" s="133" t="s">
        <v>328</v>
      </c>
      <c r="I26" s="206" t="s">
        <v>317</v>
      </c>
      <c r="J26" s="110"/>
      <c r="K26" s="110" t="s">
        <v>7</v>
      </c>
      <c r="L26" s="110" t="s">
        <v>455</v>
      </c>
      <c r="M26" s="110" t="s">
        <v>330</v>
      </c>
      <c r="N26" s="110" t="s">
        <v>331</v>
      </c>
      <c r="O26" s="110">
        <v>502156</v>
      </c>
      <c r="P26" s="110">
        <v>4818837</v>
      </c>
      <c r="Q26" s="204">
        <f t="shared" si="6"/>
        <v>1</v>
      </c>
      <c r="R26" s="36">
        <v>1</v>
      </c>
      <c r="S26" s="5"/>
      <c r="T26" s="6"/>
      <c r="U26" s="50"/>
      <c r="V26" s="20"/>
      <c r="W26" s="129"/>
      <c r="X26" s="20"/>
      <c r="Y26" s="129"/>
      <c r="Z26" s="20"/>
      <c r="AA26" s="129"/>
      <c r="AB26" s="20"/>
      <c r="AC26" s="129"/>
      <c r="AD26" s="20"/>
      <c r="AE26" s="19"/>
      <c r="AF26" s="8"/>
      <c r="AG26" s="17"/>
      <c r="AH26" s="38"/>
      <c r="AI26" s="18"/>
      <c r="AJ26" s="131"/>
      <c r="AK26" s="131" t="s">
        <v>5</v>
      </c>
      <c r="AL26" s="37"/>
      <c r="AM26" s="110" t="s">
        <v>161</v>
      </c>
      <c r="AN26" s="110" t="s">
        <v>179</v>
      </c>
      <c r="AO26" s="110" t="s">
        <v>162</v>
      </c>
      <c r="AP26" s="110" t="s">
        <v>179</v>
      </c>
      <c r="AQ26" s="110" t="s">
        <v>179</v>
      </c>
      <c r="AR26" s="110" t="s">
        <v>162</v>
      </c>
      <c r="AS26" s="131" t="s">
        <v>179</v>
      </c>
      <c r="AT26" s="215" t="s">
        <v>180</v>
      </c>
      <c r="AU26" s="215" t="s">
        <v>180</v>
      </c>
      <c r="AV26" s="170" t="str">
        <f t="shared" si="7"/>
        <v>B</v>
      </c>
      <c r="AW26" s="67" t="s">
        <v>59</v>
      </c>
      <c r="AX26" s="209">
        <f>COUNTIF(STATS!AV:AV,"D")</f>
        <v>7</v>
      </c>
      <c r="AY26" s="211"/>
      <c r="AZ26" s="301"/>
      <c r="BA26" s="301"/>
      <c r="BB26" s="42"/>
    </row>
    <row r="27" spans="1:58" ht="15" customHeight="1" x14ac:dyDescent="0.25">
      <c r="A27" s="59">
        <v>43639</v>
      </c>
      <c r="B27" s="110" t="s">
        <v>336</v>
      </c>
      <c r="C27" s="131" t="s">
        <v>28</v>
      </c>
      <c r="D27" s="110" t="s">
        <v>28</v>
      </c>
      <c r="E27" s="110">
        <v>308</v>
      </c>
      <c r="F27" s="131">
        <v>8</v>
      </c>
      <c r="G27" s="156" t="s">
        <v>246</v>
      </c>
      <c r="H27" s="133" t="s">
        <v>337</v>
      </c>
      <c r="I27" s="110" t="s">
        <v>338</v>
      </c>
      <c r="J27" s="110"/>
      <c r="K27" s="110" t="s">
        <v>7</v>
      </c>
      <c r="L27" s="110" t="s">
        <v>339</v>
      </c>
      <c r="M27" s="110" t="s">
        <v>664</v>
      </c>
      <c r="N27" s="110" t="s">
        <v>665</v>
      </c>
      <c r="O27" s="208"/>
      <c r="P27" s="208"/>
      <c r="Q27" s="204">
        <f t="shared" si="6"/>
        <v>2.0599999999999996</v>
      </c>
      <c r="R27" s="36"/>
      <c r="S27" s="5">
        <v>2.0499999999999998</v>
      </c>
      <c r="T27" s="6"/>
      <c r="U27" s="50"/>
      <c r="V27" s="20"/>
      <c r="W27" s="129"/>
      <c r="X27" s="20"/>
      <c r="Y27" s="129"/>
      <c r="Z27" s="20"/>
      <c r="AA27" s="129"/>
      <c r="AB27" s="20"/>
      <c r="AC27" s="129">
        <v>0.01</v>
      </c>
      <c r="AD27" s="20"/>
      <c r="AE27" s="19"/>
      <c r="AF27" s="8"/>
      <c r="AG27" s="17"/>
      <c r="AH27" s="38"/>
      <c r="AI27" s="18"/>
      <c r="AJ27" s="131" t="s">
        <v>301</v>
      </c>
      <c r="AK27" s="131"/>
      <c r="AL27" s="37"/>
      <c r="AM27" s="59" t="s">
        <v>226</v>
      </c>
      <c r="AN27" s="59" t="s">
        <v>179</v>
      </c>
      <c r="AO27" s="59" t="s">
        <v>162</v>
      </c>
      <c r="AP27" s="59" t="s">
        <v>179</v>
      </c>
      <c r="AQ27" s="59" t="s">
        <v>179</v>
      </c>
      <c r="AR27" s="59" t="s">
        <v>179</v>
      </c>
      <c r="AS27" s="59" t="s">
        <v>179</v>
      </c>
      <c r="AT27" s="218" t="s">
        <v>180</v>
      </c>
      <c r="AU27" s="215" t="s">
        <v>180</v>
      </c>
      <c r="AV27" s="170" t="str">
        <f t="shared" si="7"/>
        <v>B</v>
      </c>
      <c r="AW27" s="150" t="s">
        <v>54</v>
      </c>
      <c r="AX27" s="20">
        <f>COUNTIF(STATS!AV:AV,"E")</f>
        <v>7</v>
      </c>
      <c r="AY27" s="211"/>
      <c r="AZ27" s="211"/>
      <c r="BA27" s="211"/>
      <c r="BB27" s="42"/>
      <c r="BC27" s="42"/>
    </row>
    <row r="28" spans="1:58" ht="15" customHeight="1" x14ac:dyDescent="0.25">
      <c r="A28" s="59">
        <v>43642</v>
      </c>
      <c r="B28" s="59" t="s">
        <v>347</v>
      </c>
      <c r="C28" s="59" t="s">
        <v>28</v>
      </c>
      <c r="D28" s="110" t="s">
        <v>348</v>
      </c>
      <c r="E28" s="60">
        <v>329</v>
      </c>
      <c r="F28" s="60">
        <v>9</v>
      </c>
      <c r="G28" s="156" t="s">
        <v>277</v>
      </c>
      <c r="H28" s="133" t="s">
        <v>349</v>
      </c>
      <c r="I28" s="37" t="s">
        <v>442</v>
      </c>
      <c r="J28" s="37" t="s">
        <v>443</v>
      </c>
      <c r="K28" s="37" t="s">
        <v>7</v>
      </c>
      <c r="L28" s="37" t="s">
        <v>350</v>
      </c>
      <c r="M28" s="37" t="s">
        <v>351</v>
      </c>
      <c r="N28" s="37" t="s">
        <v>269</v>
      </c>
      <c r="O28" s="213"/>
      <c r="P28" s="213"/>
      <c r="Q28" s="204">
        <f t="shared" si="6"/>
        <v>0.25</v>
      </c>
      <c r="R28" s="36"/>
      <c r="S28" s="5"/>
      <c r="T28" s="6"/>
      <c r="U28" s="50"/>
      <c r="V28" s="20"/>
      <c r="W28" s="129"/>
      <c r="X28" s="20"/>
      <c r="Y28" s="129"/>
      <c r="Z28" s="20"/>
      <c r="AA28" s="129"/>
      <c r="AB28" s="20"/>
      <c r="AC28" s="129"/>
      <c r="AD28" s="20"/>
      <c r="AE28" s="19"/>
      <c r="AF28" s="8"/>
      <c r="AG28" s="17"/>
      <c r="AH28" s="38">
        <v>0.25</v>
      </c>
      <c r="AI28" s="18"/>
      <c r="AJ28" s="131"/>
      <c r="AK28" s="131"/>
      <c r="AL28" s="37"/>
      <c r="AM28" s="59" t="s">
        <v>29</v>
      </c>
      <c r="AN28" s="59" t="s">
        <v>162</v>
      </c>
      <c r="AO28" s="59" t="s">
        <v>179</v>
      </c>
      <c r="AP28" s="59" t="s">
        <v>179</v>
      </c>
      <c r="AQ28" s="59" t="s">
        <v>179</v>
      </c>
      <c r="AR28" s="59" t="s">
        <v>162</v>
      </c>
      <c r="AS28" s="59" t="s">
        <v>179</v>
      </c>
      <c r="AT28" s="218" t="s">
        <v>180</v>
      </c>
      <c r="AU28" s="215" t="s">
        <v>180</v>
      </c>
      <c r="AV28" s="170" t="str">
        <f t="shared" si="7"/>
        <v>A</v>
      </c>
      <c r="AW28" s="67" t="s">
        <v>66</v>
      </c>
      <c r="AX28" s="209">
        <f>COUNTIF(STATS!AV:AV,"F")</f>
        <v>3</v>
      </c>
      <c r="AY28" s="211"/>
      <c r="AZ28" s="301"/>
      <c r="BA28" s="301"/>
      <c r="BB28" s="42"/>
    </row>
    <row r="29" spans="1:58" ht="15" customHeight="1" x14ac:dyDescent="0.25">
      <c r="A29" s="59">
        <v>43647</v>
      </c>
      <c r="B29" s="59" t="s">
        <v>360</v>
      </c>
      <c r="C29" s="59" t="s">
        <v>27</v>
      </c>
      <c r="D29" s="110" t="s">
        <v>27</v>
      </c>
      <c r="E29" s="60">
        <v>350</v>
      </c>
      <c r="F29" s="172"/>
      <c r="G29" s="156" t="s">
        <v>295</v>
      </c>
      <c r="H29" s="133" t="s">
        <v>361</v>
      </c>
      <c r="I29" s="37" t="s">
        <v>362</v>
      </c>
      <c r="J29" s="37" t="s">
        <v>302</v>
      </c>
      <c r="K29" s="37" t="s">
        <v>7</v>
      </c>
      <c r="L29" s="37" t="s">
        <v>452</v>
      </c>
      <c r="M29" s="37" t="s">
        <v>363</v>
      </c>
      <c r="N29" s="37" t="s">
        <v>672</v>
      </c>
      <c r="O29" s="37">
        <v>580911</v>
      </c>
      <c r="P29" s="37">
        <v>4753999</v>
      </c>
      <c r="Q29" s="204">
        <f t="shared" si="6"/>
        <v>28</v>
      </c>
      <c r="R29" s="36">
        <v>8</v>
      </c>
      <c r="S29" s="5"/>
      <c r="T29" s="6"/>
      <c r="U29" s="50"/>
      <c r="V29" s="20"/>
      <c r="W29" s="129"/>
      <c r="X29" s="20"/>
      <c r="Y29" s="129"/>
      <c r="Z29" s="20"/>
      <c r="AA29" s="129"/>
      <c r="AB29" s="20"/>
      <c r="AC29" s="129"/>
      <c r="AD29" s="20">
        <v>20</v>
      </c>
      <c r="AE29" s="19"/>
      <c r="AF29" s="8"/>
      <c r="AG29" s="17"/>
      <c r="AH29" s="38"/>
      <c r="AI29" s="18"/>
      <c r="AJ29" s="131"/>
      <c r="AK29" s="131"/>
      <c r="AL29" s="37"/>
      <c r="AM29" s="59" t="s">
        <v>29</v>
      </c>
      <c r="AN29" s="59" t="s">
        <v>179</v>
      </c>
      <c r="AO29" s="59" t="s">
        <v>179</v>
      </c>
      <c r="AP29" s="59" t="s">
        <v>179</v>
      </c>
      <c r="AQ29" s="59" t="s">
        <v>179</v>
      </c>
      <c r="AR29" s="59" t="s">
        <v>162</v>
      </c>
      <c r="AS29" s="59" t="s">
        <v>179</v>
      </c>
      <c r="AT29" s="218" t="s">
        <v>162</v>
      </c>
      <c r="AU29" s="215" t="s">
        <v>180</v>
      </c>
      <c r="AV29" s="170" t="str">
        <f t="shared" si="7"/>
        <v>C</v>
      </c>
      <c r="AW29" s="150" t="s">
        <v>63</v>
      </c>
      <c r="AX29" s="20">
        <f>COUNTIF(STATS!AV:AV,"G")</f>
        <v>0</v>
      </c>
      <c r="AY29" s="211"/>
      <c r="AZ29" s="301"/>
      <c r="BA29" s="301"/>
      <c r="BB29" s="42"/>
    </row>
    <row r="30" spans="1:58" s="42" customFormat="1" ht="15" customHeight="1" x14ac:dyDescent="0.25">
      <c r="A30" s="59">
        <v>43648</v>
      </c>
      <c r="B30" s="110" t="s">
        <v>364</v>
      </c>
      <c r="C30" s="131" t="s">
        <v>27</v>
      </c>
      <c r="D30" s="110" t="s">
        <v>27</v>
      </c>
      <c r="E30" s="110">
        <v>353</v>
      </c>
      <c r="F30" s="172"/>
      <c r="G30" s="156" t="s">
        <v>295</v>
      </c>
      <c r="H30" s="133" t="s">
        <v>365</v>
      </c>
      <c r="I30" s="110" t="s">
        <v>297</v>
      </c>
      <c r="J30" s="110" t="s">
        <v>302</v>
      </c>
      <c r="K30" s="110" t="s">
        <v>7</v>
      </c>
      <c r="L30" s="110" t="s">
        <v>674</v>
      </c>
      <c r="M30" s="110" t="s">
        <v>369</v>
      </c>
      <c r="N30" s="110" t="s">
        <v>675</v>
      </c>
      <c r="O30" s="110">
        <v>610231</v>
      </c>
      <c r="P30" s="110">
        <v>4687851</v>
      </c>
      <c r="Q30" s="204">
        <f t="shared" si="6"/>
        <v>521</v>
      </c>
      <c r="R30" s="36">
        <v>521</v>
      </c>
      <c r="S30" s="5"/>
      <c r="T30" s="6"/>
      <c r="U30" s="66"/>
      <c r="V30" s="20"/>
      <c r="W30" s="129"/>
      <c r="X30" s="20"/>
      <c r="Y30" s="129"/>
      <c r="Z30" s="20"/>
      <c r="AA30" s="129"/>
      <c r="AB30" s="20"/>
      <c r="AC30" s="129"/>
      <c r="AD30" s="20"/>
      <c r="AE30" s="19"/>
      <c r="AF30" s="8"/>
      <c r="AG30" s="17"/>
      <c r="AH30" s="38"/>
      <c r="AI30" s="18"/>
      <c r="AJ30" s="131"/>
      <c r="AK30" s="131" t="s">
        <v>301</v>
      </c>
      <c r="AL30" s="37"/>
      <c r="AM30" s="111" t="s">
        <v>29</v>
      </c>
      <c r="AN30" s="111" t="s">
        <v>179</v>
      </c>
      <c r="AO30" s="111" t="s">
        <v>162</v>
      </c>
      <c r="AP30" s="111" t="s">
        <v>179</v>
      </c>
      <c r="AQ30" s="111" t="s">
        <v>162</v>
      </c>
      <c r="AR30" s="111" t="s">
        <v>179</v>
      </c>
      <c r="AS30" s="132" t="s">
        <v>179</v>
      </c>
      <c r="AT30" s="216" t="s">
        <v>180</v>
      </c>
      <c r="AU30" s="215" t="s">
        <v>162</v>
      </c>
      <c r="AV30" s="170" t="str">
        <f t="shared" si="7"/>
        <v>E</v>
      </c>
      <c r="AW30" s="56"/>
      <c r="AX30" s="209"/>
      <c r="AY30" s="210"/>
      <c r="AZ30" s="311"/>
      <c r="BA30" s="312"/>
      <c r="BB30" s="2"/>
    </row>
    <row r="31" spans="1:58" ht="15" customHeight="1" x14ac:dyDescent="0.25">
      <c r="A31" s="59">
        <v>43649</v>
      </c>
      <c r="B31" s="59" t="s">
        <v>370</v>
      </c>
      <c r="C31" s="59" t="s">
        <v>27</v>
      </c>
      <c r="D31" s="110" t="s">
        <v>27</v>
      </c>
      <c r="E31" s="60">
        <v>363</v>
      </c>
      <c r="F31" s="172"/>
      <c r="G31" s="156" t="s">
        <v>8</v>
      </c>
      <c r="H31" s="133" t="s">
        <v>371</v>
      </c>
      <c r="I31" s="110" t="s">
        <v>319</v>
      </c>
      <c r="J31" s="110" t="s">
        <v>374</v>
      </c>
      <c r="K31" s="110" t="s">
        <v>7</v>
      </c>
      <c r="L31" s="110" t="s">
        <v>372</v>
      </c>
      <c r="M31" s="110" t="s">
        <v>373</v>
      </c>
      <c r="N31" s="110" t="s">
        <v>772</v>
      </c>
      <c r="O31" s="110">
        <v>562793</v>
      </c>
      <c r="P31" s="110">
        <v>4805606</v>
      </c>
      <c r="Q31" s="204">
        <f t="shared" si="6"/>
        <v>0.1</v>
      </c>
      <c r="R31" s="36">
        <v>0.1</v>
      </c>
      <c r="S31" s="5"/>
      <c r="T31" s="6"/>
      <c r="U31" s="50"/>
      <c r="V31" s="20"/>
      <c r="W31" s="129"/>
      <c r="X31" s="20"/>
      <c r="Y31" s="129"/>
      <c r="Z31" s="20"/>
      <c r="AA31" s="129"/>
      <c r="AB31" s="20"/>
      <c r="AC31" s="129"/>
      <c r="AD31" s="20"/>
      <c r="AE31" s="19"/>
      <c r="AF31" s="8"/>
      <c r="AG31" s="17"/>
      <c r="AH31" s="38"/>
      <c r="AI31" s="18"/>
      <c r="AJ31" s="131"/>
      <c r="AK31" s="131"/>
      <c r="AL31" s="37"/>
      <c r="AM31" s="110" t="s">
        <v>161</v>
      </c>
      <c r="AN31" s="110" t="s">
        <v>179</v>
      </c>
      <c r="AO31" s="110" t="s">
        <v>179</v>
      </c>
      <c r="AP31" s="110" t="s">
        <v>179</v>
      </c>
      <c r="AQ31" s="110" t="s">
        <v>179</v>
      </c>
      <c r="AR31" s="110" t="s">
        <v>162</v>
      </c>
      <c r="AS31" s="131" t="s">
        <v>179</v>
      </c>
      <c r="AT31" s="215" t="s">
        <v>180</v>
      </c>
      <c r="AU31" s="215" t="s">
        <v>180</v>
      </c>
      <c r="AV31" s="170" t="str">
        <f t="shared" si="7"/>
        <v>A</v>
      </c>
      <c r="AW31" s="139" t="s">
        <v>4</v>
      </c>
      <c r="AX31" s="208">
        <f>SUM(AX23:AX30)</f>
        <v>200</v>
      </c>
      <c r="AY31" s="211"/>
      <c r="AZ31" s="301"/>
      <c r="BA31" s="313"/>
      <c r="BB31" s="42"/>
    </row>
    <row r="32" spans="1:58" ht="15" customHeight="1" x14ac:dyDescent="0.25">
      <c r="A32" s="59">
        <v>43648</v>
      </c>
      <c r="B32" s="59" t="s">
        <v>375</v>
      </c>
      <c r="C32" s="59" t="s">
        <v>27</v>
      </c>
      <c r="D32" s="110" t="s">
        <v>68</v>
      </c>
      <c r="E32" s="60">
        <v>365</v>
      </c>
      <c r="F32" s="172"/>
      <c r="G32" s="156" t="s">
        <v>8</v>
      </c>
      <c r="H32" s="133" t="s">
        <v>376</v>
      </c>
      <c r="I32" s="110" t="s">
        <v>377</v>
      </c>
      <c r="J32" s="110"/>
      <c r="K32" s="110" t="s">
        <v>7</v>
      </c>
      <c r="L32" s="110" t="s">
        <v>378</v>
      </c>
      <c r="M32" s="110" t="s">
        <v>773</v>
      </c>
      <c r="N32" s="110" t="s">
        <v>379</v>
      </c>
      <c r="O32" s="208"/>
      <c r="P32" s="208"/>
      <c r="Q32" s="204">
        <f t="shared" si="6"/>
        <v>0.2</v>
      </c>
      <c r="R32" s="36"/>
      <c r="S32" s="5"/>
      <c r="T32" s="6"/>
      <c r="U32" s="50"/>
      <c r="V32" s="20"/>
      <c r="W32" s="129"/>
      <c r="X32" s="20"/>
      <c r="Y32" s="129"/>
      <c r="Z32" s="20"/>
      <c r="AA32" s="129"/>
      <c r="AB32" s="20"/>
      <c r="AC32" s="129"/>
      <c r="AD32" s="20"/>
      <c r="AE32" s="19">
        <v>0.2</v>
      </c>
      <c r="AF32" s="8"/>
      <c r="AG32" s="17"/>
      <c r="AH32" s="38"/>
      <c r="AI32" s="18"/>
      <c r="AJ32" s="131"/>
      <c r="AK32" s="131"/>
      <c r="AL32" s="37"/>
      <c r="AM32" s="110" t="s">
        <v>29</v>
      </c>
      <c r="AN32" s="110" t="s">
        <v>179</v>
      </c>
      <c r="AO32" s="110" t="s">
        <v>179</v>
      </c>
      <c r="AP32" s="110" t="s">
        <v>179</v>
      </c>
      <c r="AQ32" s="110" t="s">
        <v>179</v>
      </c>
      <c r="AR32" s="110" t="s">
        <v>179</v>
      </c>
      <c r="AS32" s="131" t="s">
        <v>179</v>
      </c>
      <c r="AT32" s="215" t="s">
        <v>180</v>
      </c>
      <c r="AU32" s="215" t="s">
        <v>180</v>
      </c>
      <c r="AV32" s="170" t="str">
        <f t="shared" si="7"/>
        <v>A</v>
      </c>
    </row>
    <row r="33" spans="1:55" ht="15" customHeight="1" x14ac:dyDescent="0.25">
      <c r="A33" s="59">
        <v>43650</v>
      </c>
      <c r="B33" s="59" t="s">
        <v>381</v>
      </c>
      <c r="C33" s="59" t="s">
        <v>27</v>
      </c>
      <c r="D33" s="110" t="s">
        <v>27</v>
      </c>
      <c r="E33" s="60">
        <v>369</v>
      </c>
      <c r="F33" s="172"/>
      <c r="G33" s="156" t="s">
        <v>216</v>
      </c>
      <c r="H33" s="133" t="s">
        <v>382</v>
      </c>
      <c r="I33" s="110" t="s">
        <v>362</v>
      </c>
      <c r="J33" s="110"/>
      <c r="K33" s="110" t="s">
        <v>7</v>
      </c>
      <c r="L33" s="110" t="s">
        <v>383</v>
      </c>
      <c r="M33" s="110" t="s">
        <v>384</v>
      </c>
      <c r="N33" s="110" t="s">
        <v>774</v>
      </c>
      <c r="O33" s="110">
        <v>584149</v>
      </c>
      <c r="P33" s="110">
        <v>4756464</v>
      </c>
      <c r="Q33" s="204">
        <f t="shared" si="6"/>
        <v>1.3</v>
      </c>
      <c r="R33" s="36">
        <v>0.9</v>
      </c>
      <c r="S33" s="5"/>
      <c r="T33" s="6"/>
      <c r="U33" s="50"/>
      <c r="V33" s="20"/>
      <c r="W33" s="129"/>
      <c r="X33" s="20"/>
      <c r="Y33" s="129"/>
      <c r="Z33" s="20"/>
      <c r="AA33" s="129"/>
      <c r="AB33" s="20"/>
      <c r="AC33" s="129">
        <v>0.4</v>
      </c>
      <c r="AD33" s="20"/>
      <c r="AE33" s="19"/>
      <c r="AF33" s="8"/>
      <c r="AG33" s="17"/>
      <c r="AH33" s="38"/>
      <c r="AI33" s="18"/>
      <c r="AJ33" s="131"/>
      <c r="AK33" s="131"/>
      <c r="AL33" s="37"/>
      <c r="AM33" s="110" t="s">
        <v>161</v>
      </c>
      <c r="AN33" s="110" t="s">
        <v>179</v>
      </c>
      <c r="AO33" s="110" t="s">
        <v>179</v>
      </c>
      <c r="AP33" s="110" t="s">
        <v>179</v>
      </c>
      <c r="AQ33" s="110" t="s">
        <v>179</v>
      </c>
      <c r="AR33" s="110" t="s">
        <v>162</v>
      </c>
      <c r="AS33" s="131" t="s">
        <v>179</v>
      </c>
      <c r="AT33" s="215" t="s">
        <v>180</v>
      </c>
      <c r="AU33" s="215" t="s">
        <v>180</v>
      </c>
      <c r="AV33" s="170" t="str">
        <f t="shared" si="7"/>
        <v>B</v>
      </c>
      <c r="AX33" s="42"/>
      <c r="AY33" s="42"/>
      <c r="AZ33" s="42"/>
      <c r="BA33" s="42"/>
    </row>
    <row r="34" spans="1:55" s="42" customFormat="1" ht="15" customHeight="1" x14ac:dyDescent="0.25">
      <c r="A34" s="59">
        <v>43651</v>
      </c>
      <c r="B34" s="59" t="s">
        <v>389</v>
      </c>
      <c r="C34" s="59" t="s">
        <v>27</v>
      </c>
      <c r="D34" s="110" t="s">
        <v>27</v>
      </c>
      <c r="E34" s="60">
        <v>374</v>
      </c>
      <c r="F34" s="172"/>
      <c r="G34" s="156" t="s">
        <v>216</v>
      </c>
      <c r="H34" s="133" t="s">
        <v>388</v>
      </c>
      <c r="I34" s="110" t="s">
        <v>292</v>
      </c>
      <c r="J34" s="110"/>
      <c r="K34" s="110" t="s">
        <v>7</v>
      </c>
      <c r="L34" s="110" t="s">
        <v>390</v>
      </c>
      <c r="M34" s="110" t="s">
        <v>785</v>
      </c>
      <c r="N34" s="110" t="s">
        <v>786</v>
      </c>
      <c r="O34" s="110">
        <v>555044</v>
      </c>
      <c r="P34" s="110">
        <v>4787711</v>
      </c>
      <c r="Q34" s="204">
        <f t="shared" si="6"/>
        <v>3.5</v>
      </c>
      <c r="R34" s="36">
        <v>3.5</v>
      </c>
      <c r="S34" s="5"/>
      <c r="T34" s="6"/>
      <c r="U34" s="50"/>
      <c r="V34" s="20"/>
      <c r="W34" s="129"/>
      <c r="X34" s="20"/>
      <c r="Y34" s="129"/>
      <c r="Z34" s="20"/>
      <c r="AA34" s="129"/>
      <c r="AB34" s="20"/>
      <c r="AC34" s="129"/>
      <c r="AD34" s="20"/>
      <c r="AE34" s="19"/>
      <c r="AF34" s="8"/>
      <c r="AG34" s="17"/>
      <c r="AH34" s="38"/>
      <c r="AI34" s="18"/>
      <c r="AJ34" s="131"/>
      <c r="AK34" s="131"/>
      <c r="AL34" s="37"/>
      <c r="AM34" s="110" t="s">
        <v>161</v>
      </c>
      <c r="AN34" s="110" t="s">
        <v>179</v>
      </c>
      <c r="AO34" s="110" t="s">
        <v>179</v>
      </c>
      <c r="AP34" s="110" t="s">
        <v>179</v>
      </c>
      <c r="AQ34" s="110" t="s">
        <v>179</v>
      </c>
      <c r="AR34" s="110" t="s">
        <v>179</v>
      </c>
      <c r="AS34" s="131" t="s">
        <v>179</v>
      </c>
      <c r="AT34" s="215" t="s">
        <v>180</v>
      </c>
      <c r="AU34" s="215" t="s">
        <v>180</v>
      </c>
      <c r="AV34" s="170" t="str">
        <f t="shared" si="7"/>
        <v>B</v>
      </c>
      <c r="AW34" s="22"/>
    </row>
    <row r="35" spans="1:55" s="42" customFormat="1" ht="13.5" customHeight="1" x14ac:dyDescent="0.25">
      <c r="A35" s="59">
        <v>43651</v>
      </c>
      <c r="B35" s="110" t="s">
        <v>391</v>
      </c>
      <c r="C35" s="131" t="s">
        <v>27</v>
      </c>
      <c r="D35" s="110" t="s">
        <v>27</v>
      </c>
      <c r="E35" s="110">
        <v>375</v>
      </c>
      <c r="F35" s="172"/>
      <c r="G35" s="156" t="s">
        <v>8</v>
      </c>
      <c r="H35" s="133" t="s">
        <v>392</v>
      </c>
      <c r="I35" s="110" t="s">
        <v>393</v>
      </c>
      <c r="J35" s="110" t="s">
        <v>394</v>
      </c>
      <c r="K35" s="110" t="s">
        <v>7</v>
      </c>
      <c r="L35" s="110" t="s">
        <v>395</v>
      </c>
      <c r="M35" s="110" t="s">
        <v>396</v>
      </c>
      <c r="N35" s="110" t="s">
        <v>792</v>
      </c>
      <c r="O35" s="110">
        <v>615914</v>
      </c>
      <c r="P35" s="110">
        <v>4776064</v>
      </c>
      <c r="Q35" s="204">
        <f t="shared" si="6"/>
        <v>0.1</v>
      </c>
      <c r="R35" s="36">
        <v>0.1</v>
      </c>
      <c r="S35" s="5"/>
      <c r="T35" s="6"/>
      <c r="U35" s="66"/>
      <c r="V35" s="20"/>
      <c r="W35" s="129"/>
      <c r="X35" s="20"/>
      <c r="Y35" s="129"/>
      <c r="Z35" s="20"/>
      <c r="AA35" s="129"/>
      <c r="AB35" s="20"/>
      <c r="AC35" s="129"/>
      <c r="AD35" s="20"/>
      <c r="AE35" s="19"/>
      <c r="AF35" s="8"/>
      <c r="AG35" s="17"/>
      <c r="AH35" s="38"/>
      <c r="AI35" s="18"/>
      <c r="AJ35" s="131"/>
      <c r="AK35" s="131" t="s">
        <v>301</v>
      </c>
      <c r="AL35" s="37"/>
      <c r="AM35" s="111" t="s">
        <v>161</v>
      </c>
      <c r="AN35" s="111" t="s">
        <v>179</v>
      </c>
      <c r="AO35" s="111" t="s">
        <v>162</v>
      </c>
      <c r="AP35" s="111" t="s">
        <v>179</v>
      </c>
      <c r="AQ35" s="111" t="s">
        <v>179</v>
      </c>
      <c r="AR35" s="111" t="s">
        <v>179</v>
      </c>
      <c r="AS35" s="132" t="s">
        <v>179</v>
      </c>
      <c r="AT35" s="216" t="s">
        <v>180</v>
      </c>
      <c r="AU35" s="215" t="s">
        <v>180</v>
      </c>
      <c r="AV35" s="170" t="str">
        <f t="shared" si="7"/>
        <v>A</v>
      </c>
      <c r="AW35" s="22"/>
      <c r="AX35" s="2"/>
      <c r="AY35" s="2"/>
      <c r="AZ35" s="2"/>
      <c r="BA35" s="2"/>
      <c r="BB35" s="2"/>
    </row>
    <row r="36" spans="1:55" s="42" customFormat="1" ht="15" customHeight="1" x14ac:dyDescent="0.25">
      <c r="A36" s="59">
        <v>43652</v>
      </c>
      <c r="B36" s="110" t="s">
        <v>399</v>
      </c>
      <c r="C36" s="131" t="s">
        <v>28</v>
      </c>
      <c r="D36" s="110" t="s">
        <v>28</v>
      </c>
      <c r="E36" s="110">
        <v>377</v>
      </c>
      <c r="F36" s="131">
        <v>10</v>
      </c>
      <c r="G36" s="156" t="s">
        <v>277</v>
      </c>
      <c r="H36" s="133" t="s">
        <v>397</v>
      </c>
      <c r="I36" s="110" t="s">
        <v>400</v>
      </c>
      <c r="J36" s="110" t="s">
        <v>281</v>
      </c>
      <c r="K36" s="110" t="s">
        <v>7</v>
      </c>
      <c r="L36" s="110" t="s">
        <v>398</v>
      </c>
      <c r="M36" s="110" t="s">
        <v>793</v>
      </c>
      <c r="N36" s="110" t="s">
        <v>794</v>
      </c>
      <c r="O36" s="208"/>
      <c r="P36" s="208"/>
      <c r="Q36" s="140">
        <f t="shared" si="6"/>
        <v>0.1</v>
      </c>
      <c r="R36" s="36"/>
      <c r="S36" s="5">
        <v>0.1</v>
      </c>
      <c r="T36" s="6"/>
      <c r="U36" s="50"/>
      <c r="V36" s="20"/>
      <c r="W36" s="129"/>
      <c r="X36" s="20"/>
      <c r="Y36" s="129"/>
      <c r="Z36" s="20"/>
      <c r="AA36" s="129"/>
      <c r="AB36" s="20"/>
      <c r="AC36" s="129"/>
      <c r="AD36" s="20"/>
      <c r="AE36" s="19"/>
      <c r="AF36" s="8"/>
      <c r="AG36" s="17"/>
      <c r="AH36" s="38"/>
      <c r="AI36" s="18"/>
      <c r="AJ36" s="131"/>
      <c r="AK36" s="131"/>
      <c r="AL36" s="37"/>
      <c r="AM36" s="111" t="s">
        <v>29</v>
      </c>
      <c r="AN36" s="111" t="s">
        <v>179</v>
      </c>
      <c r="AO36" s="111" t="s">
        <v>179</v>
      </c>
      <c r="AP36" s="111" t="s">
        <v>179</v>
      </c>
      <c r="AQ36" s="111" t="s">
        <v>179</v>
      </c>
      <c r="AR36" s="111" t="s">
        <v>179</v>
      </c>
      <c r="AS36" s="132" t="s">
        <v>179</v>
      </c>
      <c r="AT36" s="216" t="s">
        <v>180</v>
      </c>
      <c r="AU36" s="215" t="s">
        <v>180</v>
      </c>
      <c r="AV36" s="170" t="str">
        <f t="shared" si="7"/>
        <v>A</v>
      </c>
      <c r="AW36" s="22"/>
      <c r="AX36" s="2"/>
      <c r="AY36" s="2"/>
      <c r="AZ36" s="2"/>
      <c r="BA36" s="2"/>
      <c r="BB36" s="2"/>
      <c r="BC36" s="2"/>
    </row>
    <row r="37" spans="1:55" s="42" customFormat="1" ht="15" customHeight="1" x14ac:dyDescent="0.25">
      <c r="A37" s="59">
        <v>43652</v>
      </c>
      <c r="B37" s="110" t="s">
        <v>401</v>
      </c>
      <c r="C37" s="131" t="s">
        <v>27</v>
      </c>
      <c r="D37" s="110" t="s">
        <v>83</v>
      </c>
      <c r="E37" s="110">
        <v>379</v>
      </c>
      <c r="F37" s="172"/>
      <c r="G37" s="156" t="s">
        <v>8</v>
      </c>
      <c r="H37" s="133" t="s">
        <v>402</v>
      </c>
      <c r="I37" s="110" t="s">
        <v>292</v>
      </c>
      <c r="J37" s="110"/>
      <c r="K37" s="110" t="s">
        <v>7</v>
      </c>
      <c r="L37" s="110" t="s">
        <v>795</v>
      </c>
      <c r="M37" s="110" t="s">
        <v>796</v>
      </c>
      <c r="N37" s="110" t="s">
        <v>797</v>
      </c>
      <c r="O37" s="110">
        <v>566677</v>
      </c>
      <c r="P37" s="110">
        <v>4812071</v>
      </c>
      <c r="Q37" s="140">
        <f t="shared" si="6"/>
        <v>26</v>
      </c>
      <c r="R37" s="36">
        <v>4</v>
      </c>
      <c r="S37" s="5"/>
      <c r="T37" s="6"/>
      <c r="U37" s="50">
        <v>22</v>
      </c>
      <c r="V37" s="20"/>
      <c r="W37" s="129"/>
      <c r="X37" s="20"/>
      <c r="Y37" s="129"/>
      <c r="Z37" s="20"/>
      <c r="AA37" s="129"/>
      <c r="AB37" s="20"/>
      <c r="AC37" s="129"/>
      <c r="AD37" s="20"/>
      <c r="AE37" s="19"/>
      <c r="AF37" s="8"/>
      <c r="AG37" s="17"/>
      <c r="AH37" s="38"/>
      <c r="AI37" s="18"/>
      <c r="AJ37" s="131"/>
      <c r="AK37" s="131"/>
      <c r="AL37" s="37"/>
      <c r="AM37" s="111" t="s">
        <v>29</v>
      </c>
      <c r="AN37" s="111" t="s">
        <v>162</v>
      </c>
      <c r="AO37" s="111" t="s">
        <v>179</v>
      </c>
      <c r="AP37" s="111" t="s">
        <v>179</v>
      </c>
      <c r="AQ37" s="111" t="s">
        <v>179</v>
      </c>
      <c r="AR37" s="111" t="s">
        <v>162</v>
      </c>
      <c r="AS37" s="132" t="s">
        <v>179</v>
      </c>
      <c r="AT37" s="216" t="s">
        <v>162</v>
      </c>
      <c r="AU37" s="215" t="s">
        <v>180</v>
      </c>
      <c r="AV37" s="170" t="str">
        <f t="shared" si="7"/>
        <v>C</v>
      </c>
      <c r="AW37" s="22"/>
      <c r="AX37" s="2"/>
      <c r="AY37" s="2"/>
      <c r="AZ37" s="2"/>
      <c r="BA37" s="2"/>
      <c r="BB37" s="2"/>
      <c r="BC37" s="2"/>
    </row>
    <row r="38" spans="1:55" ht="15" customHeight="1" x14ac:dyDescent="0.25">
      <c r="A38" s="59">
        <v>43652</v>
      </c>
      <c r="B38" s="59" t="s">
        <v>403</v>
      </c>
      <c r="C38" s="59" t="s">
        <v>27</v>
      </c>
      <c r="D38" s="110" t="s">
        <v>30</v>
      </c>
      <c r="E38" s="60">
        <v>385</v>
      </c>
      <c r="F38" s="172"/>
      <c r="G38" s="156" t="s">
        <v>8</v>
      </c>
      <c r="H38" s="133" t="s">
        <v>404</v>
      </c>
      <c r="I38" s="110" t="s">
        <v>405</v>
      </c>
      <c r="J38" s="110"/>
      <c r="K38" s="110" t="s">
        <v>252</v>
      </c>
      <c r="L38" s="110" t="s">
        <v>406</v>
      </c>
      <c r="M38" s="110" t="s">
        <v>798</v>
      </c>
      <c r="N38" s="110" t="s">
        <v>407</v>
      </c>
      <c r="O38" s="110">
        <v>583091</v>
      </c>
      <c r="P38" s="110">
        <v>4817890</v>
      </c>
      <c r="Q38" s="140">
        <f t="shared" si="6"/>
        <v>3</v>
      </c>
      <c r="R38" s="36"/>
      <c r="S38" s="5"/>
      <c r="T38" s="6">
        <v>3</v>
      </c>
      <c r="U38" s="57"/>
      <c r="V38" s="20"/>
      <c r="W38" s="129"/>
      <c r="X38" s="20"/>
      <c r="Y38" s="129"/>
      <c r="Z38" s="20"/>
      <c r="AA38" s="129"/>
      <c r="AB38" s="20"/>
      <c r="AC38" s="129"/>
      <c r="AD38" s="20"/>
      <c r="AE38" s="19"/>
      <c r="AF38" s="8"/>
      <c r="AG38" s="17"/>
      <c r="AH38" s="38"/>
      <c r="AI38" s="18"/>
      <c r="AJ38" s="131"/>
      <c r="AK38" s="131"/>
      <c r="AL38" s="37"/>
      <c r="AM38" s="110" t="s">
        <v>29</v>
      </c>
      <c r="AN38" s="110" t="s">
        <v>179</v>
      </c>
      <c r="AO38" s="110" t="s">
        <v>162</v>
      </c>
      <c r="AP38" s="110" t="s">
        <v>179</v>
      </c>
      <c r="AQ38" s="110" t="s">
        <v>179</v>
      </c>
      <c r="AR38" s="110" t="s">
        <v>179</v>
      </c>
      <c r="AS38" s="131" t="s">
        <v>162</v>
      </c>
      <c r="AT38" s="215" t="s">
        <v>180</v>
      </c>
      <c r="AU38" s="215" t="s">
        <v>180</v>
      </c>
      <c r="AV38" s="170" t="str">
        <f t="shared" si="7"/>
        <v>B</v>
      </c>
      <c r="AX38" s="42"/>
      <c r="AY38" s="42"/>
      <c r="AZ38" s="42"/>
      <c r="BA38" s="42"/>
      <c r="BB38" s="42"/>
      <c r="BC38" s="42"/>
    </row>
    <row r="39" spans="1:55" ht="15" customHeight="1" x14ac:dyDescent="0.25">
      <c r="A39" s="59">
        <v>43653</v>
      </c>
      <c r="B39" s="212" t="s">
        <v>256</v>
      </c>
      <c r="C39" s="62" t="s">
        <v>28</v>
      </c>
      <c r="D39" s="110" t="s">
        <v>28</v>
      </c>
      <c r="E39" s="60">
        <v>387</v>
      </c>
      <c r="F39" s="60">
        <v>11</v>
      </c>
      <c r="G39" s="156" t="s">
        <v>246</v>
      </c>
      <c r="H39" s="133" t="s">
        <v>408</v>
      </c>
      <c r="I39" s="110" t="s">
        <v>312</v>
      </c>
      <c r="J39" s="110"/>
      <c r="K39" s="110" t="s">
        <v>252</v>
      </c>
      <c r="L39" s="110" t="s">
        <v>409</v>
      </c>
      <c r="M39" s="110" t="s">
        <v>410</v>
      </c>
      <c r="N39" s="110" t="s">
        <v>411</v>
      </c>
      <c r="O39" s="208"/>
      <c r="P39" s="208"/>
      <c r="Q39" s="140">
        <f t="shared" si="6"/>
        <v>0.1</v>
      </c>
      <c r="R39" s="36"/>
      <c r="S39" s="5">
        <v>0.1</v>
      </c>
      <c r="T39" s="6"/>
      <c r="U39" s="57"/>
      <c r="V39" s="20"/>
      <c r="W39" s="129"/>
      <c r="X39" s="20"/>
      <c r="Y39" s="129"/>
      <c r="Z39" s="20"/>
      <c r="AA39" s="129"/>
      <c r="AB39" s="20"/>
      <c r="AC39" s="129"/>
      <c r="AD39" s="20"/>
      <c r="AE39" s="19"/>
      <c r="AF39" s="8"/>
      <c r="AG39" s="17"/>
      <c r="AH39" s="38"/>
      <c r="AI39" s="18"/>
      <c r="AJ39" s="131"/>
      <c r="AK39" s="131"/>
      <c r="AL39" s="37"/>
      <c r="AM39" s="110" t="s">
        <v>415</v>
      </c>
      <c r="AN39" s="110" t="s">
        <v>179</v>
      </c>
      <c r="AO39" s="110" t="s">
        <v>179</v>
      </c>
      <c r="AP39" s="110" t="s">
        <v>179</v>
      </c>
      <c r="AQ39" s="110" t="s">
        <v>179</v>
      </c>
      <c r="AR39" s="110" t="s">
        <v>179</v>
      </c>
      <c r="AS39" s="131" t="s">
        <v>179</v>
      </c>
      <c r="AT39" s="215" t="s">
        <v>180</v>
      </c>
      <c r="AU39" s="215" t="s">
        <v>180</v>
      </c>
      <c r="AV39" s="170" t="str">
        <f t="shared" si="7"/>
        <v>A</v>
      </c>
      <c r="AX39" s="42"/>
      <c r="AY39" s="42"/>
      <c r="AZ39" s="42"/>
      <c r="BA39" s="42"/>
      <c r="BB39" s="42"/>
      <c r="BC39" s="42"/>
    </row>
    <row r="40" spans="1:55" ht="15" customHeight="1" x14ac:dyDescent="0.25">
      <c r="A40" s="59">
        <v>43653</v>
      </c>
      <c r="B40" s="59" t="s">
        <v>256</v>
      </c>
      <c r="C40" s="59" t="s">
        <v>28</v>
      </c>
      <c r="D40" s="110" t="s">
        <v>28</v>
      </c>
      <c r="E40" s="60">
        <v>393</v>
      </c>
      <c r="F40" s="60">
        <v>12</v>
      </c>
      <c r="G40" s="156" t="s">
        <v>246</v>
      </c>
      <c r="H40" s="133" t="s">
        <v>416</v>
      </c>
      <c r="I40" s="110" t="s">
        <v>444</v>
      </c>
      <c r="J40" s="110" t="s">
        <v>445</v>
      </c>
      <c r="K40" s="110" t="s">
        <v>252</v>
      </c>
      <c r="L40" s="110" t="s">
        <v>446</v>
      </c>
      <c r="M40" s="110" t="s">
        <v>447</v>
      </c>
      <c r="N40" s="110" t="s">
        <v>448</v>
      </c>
      <c r="O40" s="208"/>
      <c r="P40" s="208"/>
      <c r="Q40" s="140">
        <f t="shared" si="6"/>
        <v>0.1</v>
      </c>
      <c r="R40" s="36"/>
      <c r="S40" s="5">
        <v>0.1</v>
      </c>
      <c r="T40" s="6"/>
      <c r="U40" s="57"/>
      <c r="V40" s="20"/>
      <c r="W40" s="129"/>
      <c r="X40" s="20"/>
      <c r="Y40" s="129"/>
      <c r="Z40" s="20"/>
      <c r="AA40" s="129"/>
      <c r="AB40" s="20"/>
      <c r="AC40" s="129"/>
      <c r="AD40" s="20"/>
      <c r="AE40" s="19"/>
      <c r="AF40" s="8"/>
      <c r="AG40" s="17"/>
      <c r="AH40" s="38"/>
      <c r="AI40" s="18"/>
      <c r="AJ40" s="131"/>
      <c r="AK40" s="131"/>
      <c r="AL40" s="37"/>
      <c r="AM40" s="110" t="s">
        <v>415</v>
      </c>
      <c r="AN40" s="110" t="s">
        <v>179</v>
      </c>
      <c r="AO40" s="110" t="s">
        <v>179</v>
      </c>
      <c r="AP40" s="110" t="s">
        <v>179</v>
      </c>
      <c r="AQ40" s="110" t="s">
        <v>179</v>
      </c>
      <c r="AR40" s="110" t="s">
        <v>179</v>
      </c>
      <c r="AS40" s="131" t="s">
        <v>179</v>
      </c>
      <c r="AT40" s="215" t="s">
        <v>180</v>
      </c>
      <c r="AU40" s="215" t="s">
        <v>180</v>
      </c>
      <c r="AV40" s="170" t="str">
        <f t="shared" si="7"/>
        <v>A</v>
      </c>
      <c r="BB40" s="42"/>
    </row>
    <row r="41" spans="1:55" ht="15" customHeight="1" x14ac:dyDescent="0.25">
      <c r="A41" s="59">
        <v>43657</v>
      </c>
      <c r="B41" s="59" t="s">
        <v>469</v>
      </c>
      <c r="C41" s="59" t="s">
        <v>30</v>
      </c>
      <c r="D41" s="110" t="s">
        <v>82</v>
      </c>
      <c r="E41" s="60">
        <v>404</v>
      </c>
      <c r="F41" s="172"/>
      <c r="G41" s="156" t="s">
        <v>30</v>
      </c>
      <c r="H41" s="133" t="s">
        <v>467</v>
      </c>
      <c r="I41" s="110" t="s">
        <v>637</v>
      </c>
      <c r="J41" s="110"/>
      <c r="K41" s="110" t="s">
        <v>7</v>
      </c>
      <c r="L41" s="110" t="s">
        <v>468</v>
      </c>
      <c r="M41" s="110" t="s">
        <v>799</v>
      </c>
      <c r="N41" s="110" t="s">
        <v>800</v>
      </c>
      <c r="O41" s="208"/>
      <c r="P41" s="208"/>
      <c r="Q41" s="140">
        <f t="shared" si="6"/>
        <v>0.25</v>
      </c>
      <c r="R41" s="36"/>
      <c r="S41" s="5"/>
      <c r="T41" s="6"/>
      <c r="U41" s="50"/>
      <c r="V41" s="20"/>
      <c r="W41" s="129"/>
      <c r="X41" s="20"/>
      <c r="Y41" s="129"/>
      <c r="Z41" s="20"/>
      <c r="AA41" s="129">
        <v>0.25</v>
      </c>
      <c r="AB41" s="20"/>
      <c r="AC41" s="129"/>
      <c r="AD41" s="20"/>
      <c r="AE41" s="19"/>
      <c r="AF41" s="8"/>
      <c r="AG41" s="17"/>
      <c r="AH41" s="38"/>
      <c r="AI41" s="18"/>
      <c r="AJ41" s="131"/>
      <c r="AK41" s="131"/>
      <c r="AL41" s="37"/>
      <c r="AM41" s="110" t="s">
        <v>29</v>
      </c>
      <c r="AN41" s="110" t="s">
        <v>179</v>
      </c>
      <c r="AO41" s="110" t="s">
        <v>179</v>
      </c>
      <c r="AP41" s="110" t="s">
        <v>179</v>
      </c>
      <c r="AQ41" s="110" t="s">
        <v>179</v>
      </c>
      <c r="AR41" s="110" t="s">
        <v>162</v>
      </c>
      <c r="AS41" s="131" t="s">
        <v>179</v>
      </c>
      <c r="AT41" s="215" t="s">
        <v>180</v>
      </c>
      <c r="AU41" s="215" t="s">
        <v>180</v>
      </c>
      <c r="AV41" s="170" t="str">
        <f t="shared" si="7"/>
        <v>A</v>
      </c>
    </row>
    <row r="42" spans="1:55" ht="15" customHeight="1" x14ac:dyDescent="0.25">
      <c r="A42" s="59">
        <v>43657</v>
      </c>
      <c r="B42" s="59" t="s">
        <v>476</v>
      </c>
      <c r="C42" s="59" t="s">
        <v>28</v>
      </c>
      <c r="D42" s="110" t="s">
        <v>28</v>
      </c>
      <c r="E42" s="60">
        <v>406</v>
      </c>
      <c r="F42" s="60">
        <v>13</v>
      </c>
      <c r="G42" s="156" t="s">
        <v>473</v>
      </c>
      <c r="H42" s="133" t="s">
        <v>474</v>
      </c>
      <c r="I42" s="110" t="s">
        <v>475</v>
      </c>
      <c r="J42" s="110"/>
      <c r="K42" s="110" t="s">
        <v>7</v>
      </c>
      <c r="L42" s="110" t="s">
        <v>801</v>
      </c>
      <c r="M42" s="110" t="s">
        <v>802</v>
      </c>
      <c r="N42" s="110" t="s">
        <v>803</v>
      </c>
      <c r="O42" s="208"/>
      <c r="P42" s="208"/>
      <c r="Q42" s="140">
        <f t="shared" si="6"/>
        <v>0.61</v>
      </c>
      <c r="R42" s="36"/>
      <c r="S42" s="5">
        <v>0.61</v>
      </c>
      <c r="T42" s="6"/>
      <c r="U42" s="50"/>
      <c r="V42" s="20"/>
      <c r="W42" s="129"/>
      <c r="X42" s="20"/>
      <c r="Y42" s="129"/>
      <c r="Z42" s="20"/>
      <c r="AA42" s="129"/>
      <c r="AB42" s="20"/>
      <c r="AC42" s="129"/>
      <c r="AD42" s="20"/>
      <c r="AE42" s="19"/>
      <c r="AF42" s="8"/>
      <c r="AG42" s="17"/>
      <c r="AH42" s="38"/>
      <c r="AI42" s="18"/>
      <c r="AJ42" s="131"/>
      <c r="AK42" s="131"/>
      <c r="AL42" s="37"/>
      <c r="AM42" s="110" t="s">
        <v>415</v>
      </c>
      <c r="AN42" s="110" t="s">
        <v>179</v>
      </c>
      <c r="AO42" s="110" t="s">
        <v>179</v>
      </c>
      <c r="AP42" s="110" t="s">
        <v>179</v>
      </c>
      <c r="AQ42" s="110" t="s">
        <v>179</v>
      </c>
      <c r="AR42" s="110" t="s">
        <v>179</v>
      </c>
      <c r="AS42" s="131" t="s">
        <v>179</v>
      </c>
      <c r="AT42" s="215" t="s">
        <v>180</v>
      </c>
      <c r="AU42" s="215" t="s">
        <v>180</v>
      </c>
      <c r="AV42" s="170" t="str">
        <f t="shared" si="7"/>
        <v>B</v>
      </c>
    </row>
    <row r="43" spans="1:55" ht="15" customHeight="1" x14ac:dyDescent="0.25">
      <c r="A43" s="59">
        <v>43658</v>
      </c>
      <c r="B43" s="59" t="s">
        <v>481</v>
      </c>
      <c r="C43" s="59" t="s">
        <v>27</v>
      </c>
      <c r="D43" s="110" t="s">
        <v>27</v>
      </c>
      <c r="E43" s="60">
        <v>413</v>
      </c>
      <c r="F43" s="172"/>
      <c r="G43" s="156" t="s">
        <v>8</v>
      </c>
      <c r="H43" s="133" t="s">
        <v>477</v>
      </c>
      <c r="I43" s="110" t="s">
        <v>319</v>
      </c>
      <c r="J43" s="110" t="s">
        <v>479</v>
      </c>
      <c r="K43" s="110" t="s">
        <v>252</v>
      </c>
      <c r="L43" s="110" t="s">
        <v>478</v>
      </c>
      <c r="M43" s="110" t="s">
        <v>913</v>
      </c>
      <c r="N43" s="110" t="s">
        <v>914</v>
      </c>
      <c r="O43" s="110">
        <v>519038</v>
      </c>
      <c r="P43" s="110">
        <v>4853002</v>
      </c>
      <c r="Q43" s="140">
        <f t="shared" si="6"/>
        <v>0.1</v>
      </c>
      <c r="R43" s="36">
        <v>0.1</v>
      </c>
      <c r="S43" s="5"/>
      <c r="T43" s="6"/>
      <c r="U43" s="68"/>
      <c r="V43" s="20"/>
      <c r="W43" s="129"/>
      <c r="X43" s="20"/>
      <c r="Y43" s="129"/>
      <c r="Z43" s="20"/>
      <c r="AA43" s="129"/>
      <c r="AB43" s="20"/>
      <c r="AC43" s="129"/>
      <c r="AD43" s="20"/>
      <c r="AE43" s="19"/>
      <c r="AF43" s="8"/>
      <c r="AG43" s="17"/>
      <c r="AH43" s="38"/>
      <c r="AI43" s="18"/>
      <c r="AJ43" s="131"/>
      <c r="AK43" s="131"/>
      <c r="AL43" s="37"/>
      <c r="AM43" s="110" t="s">
        <v>226</v>
      </c>
      <c r="AN43" s="110" t="s">
        <v>179</v>
      </c>
      <c r="AO43" s="110" t="s">
        <v>179</v>
      </c>
      <c r="AP43" s="110" t="s">
        <v>179</v>
      </c>
      <c r="AQ43" s="110" t="s">
        <v>179</v>
      </c>
      <c r="AR43" s="110" t="s">
        <v>162</v>
      </c>
      <c r="AS43" s="131" t="s">
        <v>179</v>
      </c>
      <c r="AT43" s="215" t="s">
        <v>180</v>
      </c>
      <c r="AU43" s="215" t="s">
        <v>180</v>
      </c>
      <c r="AV43" s="170" t="str">
        <f t="shared" si="7"/>
        <v>A</v>
      </c>
      <c r="BC43" s="42"/>
    </row>
    <row r="44" spans="1:55" ht="15" customHeight="1" x14ac:dyDescent="0.25">
      <c r="A44" s="59">
        <v>43659</v>
      </c>
      <c r="B44" s="59" t="s">
        <v>486</v>
      </c>
      <c r="C44" s="59" t="s">
        <v>27</v>
      </c>
      <c r="D44" s="110" t="s">
        <v>348</v>
      </c>
      <c r="E44" s="60">
        <v>421</v>
      </c>
      <c r="F44" s="172"/>
      <c r="G44" s="156" t="s">
        <v>8</v>
      </c>
      <c r="H44" s="133" t="s">
        <v>487</v>
      </c>
      <c r="I44" s="110" t="s">
        <v>319</v>
      </c>
      <c r="J44" s="110"/>
      <c r="K44" s="110" t="s">
        <v>252</v>
      </c>
      <c r="L44" s="110" t="s">
        <v>488</v>
      </c>
      <c r="M44" s="110" t="s">
        <v>911</v>
      </c>
      <c r="N44" s="110" t="s">
        <v>912</v>
      </c>
      <c r="O44" s="110">
        <v>604511</v>
      </c>
      <c r="P44" s="110">
        <v>4790938</v>
      </c>
      <c r="Q44" s="140">
        <f t="shared" si="6"/>
        <v>1012</v>
      </c>
      <c r="R44" s="36">
        <v>812</v>
      </c>
      <c r="S44" s="5"/>
      <c r="T44" s="6">
        <v>2</v>
      </c>
      <c r="U44" s="68"/>
      <c r="V44" s="20"/>
      <c r="W44" s="129"/>
      <c r="X44" s="20"/>
      <c r="Y44" s="129"/>
      <c r="Z44" s="20"/>
      <c r="AA44" s="129"/>
      <c r="AB44" s="20"/>
      <c r="AC44" s="129"/>
      <c r="AD44" s="20"/>
      <c r="AE44" s="19"/>
      <c r="AF44" s="8"/>
      <c r="AG44" s="17"/>
      <c r="AH44" s="38">
        <v>198</v>
      </c>
      <c r="AI44" s="18"/>
      <c r="AJ44" s="131"/>
      <c r="AK44" s="131" t="s">
        <v>301</v>
      </c>
      <c r="AL44" s="37"/>
      <c r="AM44" s="110" t="s">
        <v>226</v>
      </c>
      <c r="AN44" s="110" t="s">
        <v>162</v>
      </c>
      <c r="AO44" s="110" t="s">
        <v>162</v>
      </c>
      <c r="AP44" s="110" t="s">
        <v>179</v>
      </c>
      <c r="AQ44" s="110" t="s">
        <v>179</v>
      </c>
      <c r="AR44" s="110" t="s">
        <v>162</v>
      </c>
      <c r="AS44" s="131" t="s">
        <v>162</v>
      </c>
      <c r="AT44" s="215" t="s">
        <v>162</v>
      </c>
      <c r="AU44" s="215" t="s">
        <v>162</v>
      </c>
      <c r="AV44" s="170" t="str">
        <f t="shared" si="7"/>
        <v>F</v>
      </c>
      <c r="AX44" s="42"/>
      <c r="AY44" s="42"/>
      <c r="AZ44" s="42"/>
      <c r="BA44" s="42"/>
    </row>
    <row r="45" spans="1:55" s="42" customFormat="1" ht="15" customHeight="1" x14ac:dyDescent="0.25">
      <c r="A45" s="59">
        <v>43659</v>
      </c>
      <c r="B45" s="59" t="s">
        <v>489</v>
      </c>
      <c r="C45" s="59" t="s">
        <v>27</v>
      </c>
      <c r="D45" s="110" t="s">
        <v>27</v>
      </c>
      <c r="E45" s="60">
        <v>422</v>
      </c>
      <c r="F45" s="172"/>
      <c r="G45" s="156" t="s">
        <v>8</v>
      </c>
      <c r="H45" s="133" t="s">
        <v>490</v>
      </c>
      <c r="I45" s="110" t="s">
        <v>357</v>
      </c>
      <c r="J45" s="110" t="s">
        <v>479</v>
      </c>
      <c r="K45" s="110" t="s">
        <v>252</v>
      </c>
      <c r="L45" s="110" t="s">
        <v>492</v>
      </c>
      <c r="M45" s="110" t="s">
        <v>493</v>
      </c>
      <c r="N45" s="110" t="s">
        <v>915</v>
      </c>
      <c r="O45" s="110">
        <v>600622</v>
      </c>
      <c r="P45" s="110">
        <v>4784784</v>
      </c>
      <c r="Q45" s="140">
        <f t="shared" si="6"/>
        <v>166</v>
      </c>
      <c r="R45" s="36">
        <v>166</v>
      </c>
      <c r="S45" s="5"/>
      <c r="T45" s="6"/>
      <c r="U45" s="86"/>
      <c r="V45" s="20"/>
      <c r="W45" s="129"/>
      <c r="X45" s="20"/>
      <c r="Y45" s="129"/>
      <c r="Z45" s="20"/>
      <c r="AA45" s="129"/>
      <c r="AB45" s="20"/>
      <c r="AC45" s="129"/>
      <c r="AD45" s="20"/>
      <c r="AE45" s="19"/>
      <c r="AF45" s="8"/>
      <c r="AG45" s="17"/>
      <c r="AH45" s="38"/>
      <c r="AI45" s="18"/>
      <c r="AJ45" s="131"/>
      <c r="AK45" s="131" t="s">
        <v>301</v>
      </c>
      <c r="AL45" s="37"/>
      <c r="AM45" s="110" t="s">
        <v>161</v>
      </c>
      <c r="AN45" s="110" t="s">
        <v>179</v>
      </c>
      <c r="AO45" s="110" t="s">
        <v>179</v>
      </c>
      <c r="AP45" s="110" t="s">
        <v>179</v>
      </c>
      <c r="AQ45" s="110" t="s">
        <v>179</v>
      </c>
      <c r="AR45" s="110" t="s">
        <v>162</v>
      </c>
      <c r="AS45" s="131" t="s">
        <v>162</v>
      </c>
      <c r="AT45" s="215" t="s">
        <v>180</v>
      </c>
      <c r="AU45" s="215" t="s">
        <v>180</v>
      </c>
      <c r="AV45" s="170" t="str">
        <f t="shared" si="7"/>
        <v>D</v>
      </c>
      <c r="AW45" s="22"/>
      <c r="AX45" s="2"/>
      <c r="AY45" s="2"/>
      <c r="AZ45" s="2"/>
      <c r="BA45" s="2"/>
      <c r="BB45" s="2"/>
      <c r="BC45" s="2"/>
    </row>
    <row r="46" spans="1:55" ht="15" customHeight="1" x14ac:dyDescent="0.25">
      <c r="A46" s="59">
        <v>43659</v>
      </c>
      <c r="B46" s="59" t="s">
        <v>502</v>
      </c>
      <c r="C46" s="59" t="s">
        <v>27</v>
      </c>
      <c r="D46" s="110" t="s">
        <v>27</v>
      </c>
      <c r="E46" s="60">
        <v>423</v>
      </c>
      <c r="F46" s="172"/>
      <c r="G46" s="156" t="s">
        <v>8</v>
      </c>
      <c r="H46" s="133" t="s">
        <v>494</v>
      </c>
      <c r="I46" s="110" t="s">
        <v>501</v>
      </c>
      <c r="J46" s="110"/>
      <c r="K46" s="110" t="s">
        <v>252</v>
      </c>
      <c r="L46" s="110" t="s">
        <v>498</v>
      </c>
      <c r="M46" s="110" t="s">
        <v>496</v>
      </c>
      <c r="N46" s="110" t="s">
        <v>497</v>
      </c>
      <c r="O46" s="110">
        <v>577871</v>
      </c>
      <c r="P46" s="110">
        <v>4815525</v>
      </c>
      <c r="Q46" s="140">
        <f t="shared" si="6"/>
        <v>7.7</v>
      </c>
      <c r="R46" s="36">
        <v>7.7</v>
      </c>
      <c r="S46" s="5"/>
      <c r="T46" s="6"/>
      <c r="U46" s="68"/>
      <c r="V46" s="20"/>
      <c r="W46" s="129"/>
      <c r="X46" s="20"/>
      <c r="Y46" s="129"/>
      <c r="Z46" s="20"/>
      <c r="AA46" s="129"/>
      <c r="AB46" s="20"/>
      <c r="AC46" s="129"/>
      <c r="AD46" s="20"/>
      <c r="AE46" s="19"/>
      <c r="AF46" s="8"/>
      <c r="AG46" s="17"/>
      <c r="AH46" s="38"/>
      <c r="AI46" s="18"/>
      <c r="AJ46" s="131"/>
      <c r="AK46" s="131"/>
      <c r="AL46" s="37"/>
      <c r="AM46" s="110" t="s">
        <v>161</v>
      </c>
      <c r="AN46" s="110" t="s">
        <v>179</v>
      </c>
      <c r="AO46" s="110" t="s">
        <v>179</v>
      </c>
      <c r="AP46" s="110" t="s">
        <v>179</v>
      </c>
      <c r="AQ46" s="110" t="s">
        <v>179</v>
      </c>
      <c r="AR46" s="110" t="s">
        <v>179</v>
      </c>
      <c r="AS46" s="131" t="s">
        <v>162</v>
      </c>
      <c r="AT46" s="215" t="s">
        <v>180</v>
      </c>
      <c r="AU46" s="215" t="s">
        <v>180</v>
      </c>
      <c r="AV46" s="170" t="str">
        <f t="shared" si="7"/>
        <v>B</v>
      </c>
    </row>
    <row r="47" spans="1:55" ht="15" customHeight="1" x14ac:dyDescent="0.25">
      <c r="A47" s="59">
        <v>43659</v>
      </c>
      <c r="B47" s="59" t="s">
        <v>503</v>
      </c>
      <c r="C47" s="59" t="s">
        <v>27</v>
      </c>
      <c r="D47" s="110" t="s">
        <v>27</v>
      </c>
      <c r="E47" s="60">
        <v>424</v>
      </c>
      <c r="F47" s="172"/>
      <c r="G47" s="156" t="s">
        <v>8</v>
      </c>
      <c r="H47" s="133" t="s">
        <v>495</v>
      </c>
      <c r="I47" s="110" t="s">
        <v>501</v>
      </c>
      <c r="J47" s="110" t="s">
        <v>355</v>
      </c>
      <c r="K47" s="110" t="s">
        <v>252</v>
      </c>
      <c r="L47" s="110" t="s">
        <v>500</v>
      </c>
      <c r="M47" s="110" t="s">
        <v>499</v>
      </c>
      <c r="N47" s="110" t="s">
        <v>916</v>
      </c>
      <c r="O47" s="110">
        <v>576749</v>
      </c>
      <c r="P47" s="110">
        <v>4816524</v>
      </c>
      <c r="Q47" s="140">
        <f t="shared" si="6"/>
        <v>32</v>
      </c>
      <c r="R47" s="36">
        <v>32</v>
      </c>
      <c r="S47" s="5"/>
      <c r="T47" s="6"/>
      <c r="U47" s="68"/>
      <c r="V47" s="20"/>
      <c r="W47" s="129"/>
      <c r="X47" s="20"/>
      <c r="Y47" s="129"/>
      <c r="Z47" s="20"/>
      <c r="AA47" s="129"/>
      <c r="AB47" s="20"/>
      <c r="AC47" s="129"/>
      <c r="AD47" s="20"/>
      <c r="AE47" s="19"/>
      <c r="AF47" s="8"/>
      <c r="AG47" s="17"/>
      <c r="AH47" s="38"/>
      <c r="AI47" s="18"/>
      <c r="AJ47" s="131"/>
      <c r="AK47" s="131"/>
      <c r="AL47" s="37"/>
      <c r="AM47" s="110" t="s">
        <v>29</v>
      </c>
      <c r="AN47" s="110" t="s">
        <v>179</v>
      </c>
      <c r="AO47" s="110" t="s">
        <v>179</v>
      </c>
      <c r="AP47" s="110" t="s">
        <v>179</v>
      </c>
      <c r="AQ47" s="110" t="s">
        <v>179</v>
      </c>
      <c r="AR47" s="110" t="s">
        <v>179</v>
      </c>
      <c r="AS47" s="131" t="s">
        <v>162</v>
      </c>
      <c r="AT47" s="215" t="s">
        <v>162</v>
      </c>
      <c r="AU47" s="215" t="s">
        <v>180</v>
      </c>
      <c r="AV47" s="170" t="str">
        <f t="shared" si="7"/>
        <v>C</v>
      </c>
    </row>
    <row r="48" spans="1:55" s="42" customFormat="1" ht="15" customHeight="1" x14ac:dyDescent="0.25">
      <c r="A48" s="59">
        <v>43660</v>
      </c>
      <c r="B48" s="59" t="s">
        <v>256</v>
      </c>
      <c r="C48" s="59" t="s">
        <v>28</v>
      </c>
      <c r="D48" s="110" t="s">
        <v>28</v>
      </c>
      <c r="E48" s="60">
        <v>425</v>
      </c>
      <c r="F48" s="60">
        <v>14</v>
      </c>
      <c r="G48" s="156" t="s">
        <v>277</v>
      </c>
      <c r="H48" s="133" t="s">
        <v>504</v>
      </c>
      <c r="I48" s="110" t="s">
        <v>475</v>
      </c>
      <c r="J48" s="110"/>
      <c r="K48" s="110" t="s">
        <v>252</v>
      </c>
      <c r="L48" s="110" t="s">
        <v>507</v>
      </c>
      <c r="M48" s="110" t="s">
        <v>508</v>
      </c>
      <c r="N48" s="110" t="s">
        <v>810</v>
      </c>
      <c r="O48" s="208"/>
      <c r="P48" s="208"/>
      <c r="Q48" s="140">
        <f t="shared" si="6"/>
        <v>0.1</v>
      </c>
      <c r="R48" s="36"/>
      <c r="S48" s="5">
        <v>0.1</v>
      </c>
      <c r="T48" s="6"/>
      <c r="U48" s="57"/>
      <c r="V48" s="20"/>
      <c r="W48" s="129"/>
      <c r="X48" s="20"/>
      <c r="Y48" s="129"/>
      <c r="Z48" s="20"/>
      <c r="AA48" s="129"/>
      <c r="AB48" s="20"/>
      <c r="AC48" s="129"/>
      <c r="AD48" s="20"/>
      <c r="AE48" s="19"/>
      <c r="AF48" s="8"/>
      <c r="AG48" s="17"/>
      <c r="AH48" s="38"/>
      <c r="AI48" s="18"/>
      <c r="AJ48" s="131"/>
      <c r="AK48" s="131"/>
      <c r="AL48" s="37"/>
      <c r="AM48" s="110" t="s">
        <v>29</v>
      </c>
      <c r="AN48" s="110" t="s">
        <v>179</v>
      </c>
      <c r="AO48" s="110" t="s">
        <v>179</v>
      </c>
      <c r="AP48" s="110" t="s">
        <v>179</v>
      </c>
      <c r="AQ48" s="110" t="s">
        <v>179</v>
      </c>
      <c r="AR48" s="110" t="s">
        <v>179</v>
      </c>
      <c r="AS48" s="131" t="s">
        <v>179</v>
      </c>
      <c r="AT48" s="215" t="s">
        <v>180</v>
      </c>
      <c r="AU48" s="215" t="s">
        <v>180</v>
      </c>
      <c r="AV48" s="170" t="str">
        <f t="shared" si="7"/>
        <v>A</v>
      </c>
      <c r="AW48" s="22"/>
      <c r="AX48" s="2"/>
      <c r="AY48" s="2"/>
      <c r="AZ48" s="2"/>
      <c r="BA48" s="2"/>
      <c r="BB48" s="2"/>
      <c r="BC48" s="2"/>
    </row>
    <row r="49" spans="1:55" ht="15" customHeight="1" x14ac:dyDescent="0.25">
      <c r="A49" s="59">
        <v>43660</v>
      </c>
      <c r="B49" s="59" t="s">
        <v>511</v>
      </c>
      <c r="C49" s="59" t="s">
        <v>27</v>
      </c>
      <c r="D49" s="110" t="s">
        <v>27</v>
      </c>
      <c r="E49" s="60">
        <v>426</v>
      </c>
      <c r="F49" s="172"/>
      <c r="G49" s="156" t="s">
        <v>8</v>
      </c>
      <c r="H49" s="133" t="s">
        <v>505</v>
      </c>
      <c r="I49" s="110" t="s">
        <v>287</v>
      </c>
      <c r="J49" s="110" t="s">
        <v>506</v>
      </c>
      <c r="K49" s="110" t="s">
        <v>7</v>
      </c>
      <c r="L49" s="110" t="s">
        <v>509</v>
      </c>
      <c r="M49" s="110" t="s">
        <v>510</v>
      </c>
      <c r="N49" s="110" t="s">
        <v>917</v>
      </c>
      <c r="O49" s="110">
        <v>574445</v>
      </c>
      <c r="P49" s="110">
        <v>4819470</v>
      </c>
      <c r="Q49" s="140">
        <f t="shared" si="6"/>
        <v>20</v>
      </c>
      <c r="R49" s="36">
        <v>4</v>
      </c>
      <c r="S49" s="5"/>
      <c r="T49" s="6"/>
      <c r="U49" s="69">
        <v>16</v>
      </c>
      <c r="V49" s="20"/>
      <c r="W49" s="129"/>
      <c r="X49" s="20"/>
      <c r="Y49" s="129"/>
      <c r="Z49" s="20"/>
      <c r="AA49" s="129"/>
      <c r="AB49" s="20"/>
      <c r="AC49" s="129"/>
      <c r="AD49" s="20"/>
      <c r="AE49" s="19"/>
      <c r="AF49" s="8"/>
      <c r="AG49" s="17"/>
      <c r="AH49" s="38"/>
      <c r="AI49" s="18"/>
      <c r="AJ49" s="131"/>
      <c r="AK49" s="131" t="s">
        <v>301</v>
      </c>
      <c r="AL49" s="37"/>
      <c r="AM49" s="110" t="s">
        <v>161</v>
      </c>
      <c r="AN49" s="110" t="s">
        <v>179</v>
      </c>
      <c r="AO49" s="110" t="s">
        <v>179</v>
      </c>
      <c r="AP49" s="110" t="s">
        <v>179</v>
      </c>
      <c r="AQ49" s="110" t="s">
        <v>179</v>
      </c>
      <c r="AR49" s="110" t="s">
        <v>162</v>
      </c>
      <c r="AS49" s="131" t="s">
        <v>179</v>
      </c>
      <c r="AT49" s="215" t="s">
        <v>162</v>
      </c>
      <c r="AU49" s="215" t="s">
        <v>162</v>
      </c>
      <c r="AV49" s="170" t="str">
        <f t="shared" si="7"/>
        <v>C</v>
      </c>
      <c r="BB49" s="42"/>
    </row>
    <row r="50" spans="1:55" ht="15" customHeight="1" x14ac:dyDescent="0.25">
      <c r="A50" s="59">
        <v>43660</v>
      </c>
      <c r="B50" s="59" t="s">
        <v>513</v>
      </c>
      <c r="C50" s="59" t="s">
        <v>27</v>
      </c>
      <c r="D50" s="110" t="s">
        <v>27</v>
      </c>
      <c r="E50" s="60">
        <v>428</v>
      </c>
      <c r="F50" s="172"/>
      <c r="G50" s="156" t="s">
        <v>8</v>
      </c>
      <c r="H50" s="133" t="s">
        <v>512</v>
      </c>
      <c r="I50" s="110" t="s">
        <v>514</v>
      </c>
      <c r="J50" s="110"/>
      <c r="K50" s="110" t="s">
        <v>252</v>
      </c>
      <c r="L50" s="110" t="s">
        <v>918</v>
      </c>
      <c r="M50" s="110" t="s">
        <v>919</v>
      </c>
      <c r="N50" s="110" t="s">
        <v>920</v>
      </c>
      <c r="O50" s="110">
        <v>531760</v>
      </c>
      <c r="P50" s="110">
        <v>4884092</v>
      </c>
      <c r="Q50" s="140">
        <f t="shared" si="6"/>
        <v>86</v>
      </c>
      <c r="R50" s="36"/>
      <c r="S50" s="5"/>
      <c r="T50" s="6"/>
      <c r="U50" s="50"/>
      <c r="V50" s="20"/>
      <c r="W50" s="129">
        <v>86</v>
      </c>
      <c r="X50" s="20"/>
      <c r="Y50" s="129"/>
      <c r="Z50" s="20"/>
      <c r="AA50" s="129"/>
      <c r="AB50" s="20"/>
      <c r="AC50" s="129"/>
      <c r="AD50" s="20"/>
      <c r="AE50" s="19"/>
      <c r="AF50" s="8"/>
      <c r="AG50" s="17"/>
      <c r="AH50" s="38"/>
      <c r="AI50" s="18"/>
      <c r="AJ50" s="131"/>
      <c r="AK50" s="131"/>
      <c r="AL50" s="37"/>
      <c r="AM50" s="110" t="s">
        <v>226</v>
      </c>
      <c r="AN50" s="110" t="s">
        <v>179</v>
      </c>
      <c r="AO50" s="110" t="s">
        <v>162</v>
      </c>
      <c r="AP50" s="110" t="s">
        <v>179</v>
      </c>
      <c r="AQ50" s="110" t="s">
        <v>179</v>
      </c>
      <c r="AR50" s="110" t="s">
        <v>162</v>
      </c>
      <c r="AS50" s="131" t="s">
        <v>179</v>
      </c>
      <c r="AT50" s="215" t="s">
        <v>162</v>
      </c>
      <c r="AU50" s="215" t="s">
        <v>162</v>
      </c>
      <c r="AV50" s="170" t="str">
        <f t="shared" si="7"/>
        <v>C</v>
      </c>
    </row>
    <row r="51" spans="1:55" ht="15" customHeight="1" x14ac:dyDescent="0.25">
      <c r="A51" s="59">
        <v>43660</v>
      </c>
      <c r="B51" s="110" t="s">
        <v>521</v>
      </c>
      <c r="C51" s="131" t="s">
        <v>28</v>
      </c>
      <c r="D51" s="110" t="s">
        <v>28</v>
      </c>
      <c r="E51" s="110">
        <v>429</v>
      </c>
      <c r="F51" s="131">
        <v>15</v>
      </c>
      <c r="G51" s="156" t="s">
        <v>473</v>
      </c>
      <c r="H51" s="133" t="s">
        <v>515</v>
      </c>
      <c r="I51" s="110" t="s">
        <v>1498</v>
      </c>
      <c r="J51" s="110" t="s">
        <v>516</v>
      </c>
      <c r="K51" s="110" t="s">
        <v>252</v>
      </c>
      <c r="L51" s="110" t="s">
        <v>518</v>
      </c>
      <c r="M51" s="110" t="s">
        <v>519</v>
      </c>
      <c r="N51" s="110" t="s">
        <v>520</v>
      </c>
      <c r="O51" s="208"/>
      <c r="P51" s="208"/>
      <c r="Q51" s="140">
        <f t="shared" si="6"/>
        <v>327</v>
      </c>
      <c r="R51" s="36"/>
      <c r="S51" s="5">
        <v>327</v>
      </c>
      <c r="T51" s="6"/>
      <c r="U51" s="57"/>
      <c r="V51" s="20"/>
      <c r="W51" s="129"/>
      <c r="X51" s="20"/>
      <c r="Y51" s="129"/>
      <c r="Z51" s="20"/>
      <c r="AA51" s="129"/>
      <c r="AB51" s="20"/>
      <c r="AC51" s="129"/>
      <c r="AD51" s="20"/>
      <c r="AE51" s="19"/>
      <c r="AF51" s="8"/>
      <c r="AG51" s="17"/>
      <c r="AH51" s="38"/>
      <c r="AI51" s="18"/>
      <c r="AJ51" s="131"/>
      <c r="AK51" s="131"/>
      <c r="AL51" s="37"/>
      <c r="AM51" s="111" t="s">
        <v>161</v>
      </c>
      <c r="AN51" s="111" t="s">
        <v>179</v>
      </c>
      <c r="AO51" s="111" t="s">
        <v>179</v>
      </c>
      <c r="AP51" s="111" t="s">
        <v>179</v>
      </c>
      <c r="AQ51" s="111" t="s">
        <v>179</v>
      </c>
      <c r="AR51" s="111" t="s">
        <v>179</v>
      </c>
      <c r="AS51" s="132" t="s">
        <v>179</v>
      </c>
      <c r="AT51" s="216" t="s">
        <v>180</v>
      </c>
      <c r="AU51" s="215" t="s">
        <v>162</v>
      </c>
      <c r="AV51" s="170" t="str">
        <f t="shared" si="7"/>
        <v>E</v>
      </c>
    </row>
    <row r="52" spans="1:55" s="42" customFormat="1" ht="15" customHeight="1" x14ac:dyDescent="0.25">
      <c r="A52" s="59">
        <v>43660</v>
      </c>
      <c r="B52" s="110" t="s">
        <v>522</v>
      </c>
      <c r="C52" s="131" t="s">
        <v>27</v>
      </c>
      <c r="D52" s="110" t="s">
        <v>86</v>
      </c>
      <c r="E52" s="110">
        <v>430</v>
      </c>
      <c r="F52" s="172"/>
      <c r="G52" s="156" t="s">
        <v>8</v>
      </c>
      <c r="H52" s="133" t="s">
        <v>523</v>
      </c>
      <c r="I52" s="110" t="s">
        <v>524</v>
      </c>
      <c r="J52" s="110"/>
      <c r="K52" s="110" t="s">
        <v>252</v>
      </c>
      <c r="L52" s="110" t="s">
        <v>525</v>
      </c>
      <c r="M52" s="110" t="s">
        <v>526</v>
      </c>
      <c r="N52" s="110" t="s">
        <v>527</v>
      </c>
      <c r="O52" s="110">
        <v>524618</v>
      </c>
      <c r="P52" s="110">
        <v>4887913</v>
      </c>
      <c r="Q52" s="140">
        <f t="shared" si="6"/>
        <v>1529</v>
      </c>
      <c r="R52" s="36"/>
      <c r="S52" s="5"/>
      <c r="T52" s="6"/>
      <c r="U52" s="106"/>
      <c r="V52" s="20"/>
      <c r="W52" s="129">
        <v>1523</v>
      </c>
      <c r="X52" s="20"/>
      <c r="Y52" s="129">
        <v>6</v>
      </c>
      <c r="Z52" s="20"/>
      <c r="AA52" s="129"/>
      <c r="AB52" s="20"/>
      <c r="AC52" s="129"/>
      <c r="AD52" s="20"/>
      <c r="AE52" s="19"/>
      <c r="AF52" s="8"/>
      <c r="AG52" s="17"/>
      <c r="AH52" s="38"/>
      <c r="AI52" s="18"/>
      <c r="AJ52" s="131"/>
      <c r="AK52" s="131"/>
      <c r="AL52" s="37"/>
      <c r="AM52" s="111" t="s">
        <v>161</v>
      </c>
      <c r="AN52" s="111" t="s">
        <v>179</v>
      </c>
      <c r="AO52" s="111" t="s">
        <v>162</v>
      </c>
      <c r="AP52" s="111" t="s">
        <v>179</v>
      </c>
      <c r="AQ52" s="111" t="s">
        <v>179</v>
      </c>
      <c r="AR52" s="111" t="s">
        <v>162</v>
      </c>
      <c r="AS52" s="132" t="s">
        <v>162</v>
      </c>
      <c r="AT52" s="216" t="s">
        <v>162</v>
      </c>
      <c r="AU52" s="215" t="s">
        <v>162</v>
      </c>
      <c r="AV52" s="170" t="str">
        <f t="shared" si="7"/>
        <v>F</v>
      </c>
      <c r="AW52" s="22"/>
    </row>
    <row r="53" spans="1:55" s="42" customFormat="1" ht="15" customHeight="1" x14ac:dyDescent="0.25">
      <c r="A53" s="59">
        <v>43661</v>
      </c>
      <c r="B53" s="59" t="s">
        <v>256</v>
      </c>
      <c r="C53" s="59" t="s">
        <v>28</v>
      </c>
      <c r="D53" s="110" t="s">
        <v>28</v>
      </c>
      <c r="E53" s="60">
        <v>433</v>
      </c>
      <c r="F53" s="60">
        <v>16</v>
      </c>
      <c r="G53" s="156" t="s">
        <v>277</v>
      </c>
      <c r="H53" s="133" t="s">
        <v>528</v>
      </c>
      <c r="I53" s="110" t="s">
        <v>529</v>
      </c>
      <c r="J53" s="110" t="s">
        <v>443</v>
      </c>
      <c r="K53" s="110" t="s">
        <v>252</v>
      </c>
      <c r="L53" s="110" t="s">
        <v>811</v>
      </c>
      <c r="M53" s="221" t="s">
        <v>530</v>
      </c>
      <c r="N53" s="221" t="s">
        <v>812</v>
      </c>
      <c r="O53" s="208"/>
      <c r="P53" s="208"/>
      <c r="Q53" s="140">
        <f t="shared" si="6"/>
        <v>0.1</v>
      </c>
      <c r="R53" s="7"/>
      <c r="S53" s="5">
        <v>0.1</v>
      </c>
      <c r="T53" s="6"/>
      <c r="U53" s="53"/>
      <c r="V53" s="20"/>
      <c r="W53" s="129"/>
      <c r="X53" s="20"/>
      <c r="Y53" s="129"/>
      <c r="Z53" s="20"/>
      <c r="AA53" s="129"/>
      <c r="AB53" s="20"/>
      <c r="AC53" s="129"/>
      <c r="AD53" s="20"/>
      <c r="AE53" s="19"/>
      <c r="AF53" s="8"/>
      <c r="AG53" s="17"/>
      <c r="AH53" s="38"/>
      <c r="AI53" s="18"/>
      <c r="AJ53" s="131"/>
      <c r="AK53" s="131"/>
      <c r="AL53" s="131"/>
      <c r="AM53" s="110" t="s">
        <v>226</v>
      </c>
      <c r="AN53" s="110" t="s">
        <v>179</v>
      </c>
      <c r="AO53" s="110" t="s">
        <v>179</v>
      </c>
      <c r="AP53" s="110" t="s">
        <v>179</v>
      </c>
      <c r="AQ53" s="110" t="s">
        <v>179</v>
      </c>
      <c r="AR53" s="110" t="s">
        <v>179</v>
      </c>
      <c r="AS53" s="131" t="s">
        <v>179</v>
      </c>
      <c r="AT53" s="215" t="s">
        <v>180</v>
      </c>
      <c r="AU53" s="215" t="s">
        <v>180</v>
      </c>
      <c r="AV53" s="170" t="str">
        <f t="shared" si="7"/>
        <v>A</v>
      </c>
      <c r="AW53" s="22"/>
      <c r="AX53" s="2"/>
      <c r="AY53" s="2"/>
      <c r="AZ53" s="2"/>
      <c r="BA53" s="2"/>
      <c r="BB53" s="2"/>
    </row>
    <row r="54" spans="1:55" ht="15" customHeight="1" x14ac:dyDescent="0.25">
      <c r="A54" s="59">
        <v>43661</v>
      </c>
      <c r="B54" s="59" t="s">
        <v>256</v>
      </c>
      <c r="C54" s="59" t="s">
        <v>28</v>
      </c>
      <c r="D54" s="110" t="s">
        <v>28</v>
      </c>
      <c r="E54" s="60">
        <v>437</v>
      </c>
      <c r="F54" s="60">
        <v>17</v>
      </c>
      <c r="G54" s="156" t="s">
        <v>277</v>
      </c>
      <c r="H54" s="133" t="s">
        <v>531</v>
      </c>
      <c r="I54" s="110" t="s">
        <v>818</v>
      </c>
      <c r="J54" s="110"/>
      <c r="K54" s="110" t="s">
        <v>252</v>
      </c>
      <c r="L54" s="110" t="s">
        <v>540</v>
      </c>
      <c r="M54" s="110" t="s">
        <v>560</v>
      </c>
      <c r="N54" s="110" t="s">
        <v>819</v>
      </c>
      <c r="O54" s="208"/>
      <c r="P54" s="208"/>
      <c r="Q54" s="140">
        <f t="shared" si="6"/>
        <v>0.1</v>
      </c>
      <c r="R54" s="36"/>
      <c r="S54" s="5">
        <v>0.1</v>
      </c>
      <c r="T54" s="6"/>
      <c r="U54" s="50"/>
      <c r="V54" s="20"/>
      <c r="W54" s="129"/>
      <c r="X54" s="20"/>
      <c r="Y54" s="129"/>
      <c r="Z54" s="20"/>
      <c r="AA54" s="129"/>
      <c r="AB54" s="20"/>
      <c r="AC54" s="129"/>
      <c r="AD54" s="20"/>
      <c r="AE54" s="19"/>
      <c r="AF54" s="8"/>
      <c r="AG54" s="17"/>
      <c r="AH54" s="38"/>
      <c r="AI54" s="18"/>
      <c r="AJ54" s="131"/>
      <c r="AK54" s="131"/>
      <c r="AL54" s="37"/>
      <c r="AM54" s="110" t="s">
        <v>29</v>
      </c>
      <c r="AN54" s="110" t="s">
        <v>179</v>
      </c>
      <c r="AO54" s="110" t="s">
        <v>179</v>
      </c>
      <c r="AP54" s="110" t="s">
        <v>179</v>
      </c>
      <c r="AQ54" s="110" t="s">
        <v>179</v>
      </c>
      <c r="AR54" s="110" t="s">
        <v>179</v>
      </c>
      <c r="AS54" s="131" t="s">
        <v>179</v>
      </c>
      <c r="AT54" s="215" t="s">
        <v>180</v>
      </c>
      <c r="AU54" s="215" t="s">
        <v>180</v>
      </c>
      <c r="AV54" s="170" t="str">
        <f t="shared" si="7"/>
        <v>A</v>
      </c>
      <c r="AX54" s="2" t="s">
        <v>5</v>
      </c>
    </row>
    <row r="55" spans="1:55" ht="15" customHeight="1" x14ac:dyDescent="0.25">
      <c r="A55" s="59">
        <v>43662</v>
      </c>
      <c r="B55" s="59" t="s">
        <v>532</v>
      </c>
      <c r="C55" s="59" t="s">
        <v>27</v>
      </c>
      <c r="D55" s="110" t="s">
        <v>27</v>
      </c>
      <c r="E55" s="60">
        <v>440</v>
      </c>
      <c r="F55" s="172"/>
      <c r="G55" s="156" t="s">
        <v>216</v>
      </c>
      <c r="H55" s="133" t="s">
        <v>534</v>
      </c>
      <c r="I55" s="110" t="s">
        <v>311</v>
      </c>
      <c r="J55" s="110"/>
      <c r="K55" s="110" t="s">
        <v>7</v>
      </c>
      <c r="L55" s="110" t="s">
        <v>202</v>
      </c>
      <c r="M55" s="110" t="s">
        <v>928</v>
      </c>
      <c r="N55" s="110" t="s">
        <v>929</v>
      </c>
      <c r="O55" s="110">
        <v>601048</v>
      </c>
      <c r="P55" s="110">
        <v>4761038</v>
      </c>
      <c r="Q55" s="140">
        <f t="shared" si="6"/>
        <v>361</v>
      </c>
      <c r="R55" s="36">
        <v>127</v>
      </c>
      <c r="S55" s="5"/>
      <c r="T55" s="6"/>
      <c r="U55" s="50"/>
      <c r="V55" s="20"/>
      <c r="W55" s="129"/>
      <c r="X55" s="20"/>
      <c r="Y55" s="129"/>
      <c r="Z55" s="20"/>
      <c r="AA55" s="129"/>
      <c r="AB55" s="20"/>
      <c r="AC55" s="129">
        <v>190</v>
      </c>
      <c r="AD55" s="20"/>
      <c r="AE55" s="19"/>
      <c r="AF55" s="8"/>
      <c r="AG55" s="17"/>
      <c r="AH55" s="38">
        <v>44</v>
      </c>
      <c r="AI55" s="18"/>
      <c r="AJ55" s="131"/>
      <c r="AK55" s="131" t="s">
        <v>301</v>
      </c>
      <c r="AL55" s="37"/>
      <c r="AM55" s="110" t="s">
        <v>161</v>
      </c>
      <c r="AN55" s="110" t="s">
        <v>179</v>
      </c>
      <c r="AO55" s="110" t="s">
        <v>179</v>
      </c>
      <c r="AP55" s="110" t="s">
        <v>179</v>
      </c>
      <c r="AQ55" s="110" t="s">
        <v>179</v>
      </c>
      <c r="AR55" s="110" t="s">
        <v>162</v>
      </c>
      <c r="AS55" s="131" t="s">
        <v>179</v>
      </c>
      <c r="AT55" s="215" t="s">
        <v>162</v>
      </c>
      <c r="AU55" s="215" t="s">
        <v>162</v>
      </c>
      <c r="AV55" s="170" t="str">
        <f t="shared" si="7"/>
        <v>E</v>
      </c>
    </row>
    <row r="56" spans="1:55" s="42" customFormat="1" ht="15" customHeight="1" x14ac:dyDescent="0.25">
      <c r="A56" s="59">
        <v>43662</v>
      </c>
      <c r="B56" s="59" t="s">
        <v>533</v>
      </c>
      <c r="C56" s="59" t="s">
        <v>27</v>
      </c>
      <c r="D56" s="110" t="s">
        <v>348</v>
      </c>
      <c r="E56" s="60">
        <v>441</v>
      </c>
      <c r="F56" s="172"/>
      <c r="G56" s="156" t="s">
        <v>216</v>
      </c>
      <c r="H56" s="133" t="s">
        <v>535</v>
      </c>
      <c r="I56" s="110" t="s">
        <v>311</v>
      </c>
      <c r="J56" s="110"/>
      <c r="K56" s="110" t="s">
        <v>7</v>
      </c>
      <c r="L56" s="110" t="s">
        <v>541</v>
      </c>
      <c r="M56" s="222" t="s">
        <v>930</v>
      </c>
      <c r="N56" s="222" t="s">
        <v>931</v>
      </c>
      <c r="O56" s="110">
        <v>600622</v>
      </c>
      <c r="P56" s="110">
        <v>4757381</v>
      </c>
      <c r="Q56" s="140">
        <f t="shared" si="6"/>
        <v>188</v>
      </c>
      <c r="R56" s="36"/>
      <c r="S56" s="5"/>
      <c r="T56" s="6"/>
      <c r="U56" s="87"/>
      <c r="V56" s="20"/>
      <c r="W56" s="129"/>
      <c r="X56" s="20"/>
      <c r="Y56" s="129"/>
      <c r="Z56" s="20"/>
      <c r="AA56" s="129"/>
      <c r="AB56" s="20"/>
      <c r="AC56" s="129"/>
      <c r="AD56" s="20"/>
      <c r="AE56" s="19"/>
      <c r="AF56" s="8"/>
      <c r="AG56" s="17"/>
      <c r="AH56" s="38">
        <v>188</v>
      </c>
      <c r="AI56" s="18"/>
      <c r="AJ56" s="131"/>
      <c r="AK56" s="131" t="s">
        <v>301</v>
      </c>
      <c r="AL56" s="37"/>
      <c r="AM56" s="65" t="s">
        <v>161</v>
      </c>
      <c r="AN56" s="65" t="s">
        <v>179</v>
      </c>
      <c r="AO56" s="65" t="s">
        <v>179</v>
      </c>
      <c r="AP56" s="65" t="s">
        <v>179</v>
      </c>
      <c r="AQ56" s="65" t="s">
        <v>179</v>
      </c>
      <c r="AR56" s="65" t="s">
        <v>162</v>
      </c>
      <c r="AS56" s="65" t="s">
        <v>179</v>
      </c>
      <c r="AT56" s="219" t="s">
        <v>162</v>
      </c>
      <c r="AU56" s="215" t="s">
        <v>162</v>
      </c>
      <c r="AV56" s="170" t="str">
        <f t="shared" si="7"/>
        <v>D</v>
      </c>
      <c r="AW56" s="22"/>
      <c r="AX56" s="2"/>
      <c r="AY56" s="2"/>
      <c r="AZ56" s="2"/>
      <c r="BA56" s="2"/>
      <c r="BB56" s="2"/>
      <c r="BC56" s="2"/>
    </row>
    <row r="57" spans="1:55" s="42" customFormat="1" ht="15" customHeight="1" x14ac:dyDescent="0.25">
      <c r="A57" s="59">
        <v>43662</v>
      </c>
      <c r="B57" s="110" t="s">
        <v>536</v>
      </c>
      <c r="C57" s="59" t="s">
        <v>27</v>
      </c>
      <c r="D57" s="110" t="s">
        <v>27</v>
      </c>
      <c r="E57" s="60">
        <v>443</v>
      </c>
      <c r="F57" s="172"/>
      <c r="G57" s="156" t="s">
        <v>295</v>
      </c>
      <c r="H57" s="133" t="s">
        <v>538</v>
      </c>
      <c r="I57" s="110" t="s">
        <v>543</v>
      </c>
      <c r="J57" s="110" t="s">
        <v>544</v>
      </c>
      <c r="K57" s="110" t="s">
        <v>252</v>
      </c>
      <c r="L57" s="110" t="s">
        <v>542</v>
      </c>
      <c r="M57" s="110" t="s">
        <v>545</v>
      </c>
      <c r="N57" s="110" t="s">
        <v>939</v>
      </c>
      <c r="O57" s="110">
        <v>565195</v>
      </c>
      <c r="P57" s="110">
        <v>4683616</v>
      </c>
      <c r="Q57" s="140">
        <f t="shared" si="6"/>
        <v>4</v>
      </c>
      <c r="R57" s="36">
        <v>4</v>
      </c>
      <c r="S57" s="5"/>
      <c r="T57" s="6"/>
      <c r="U57" s="106"/>
      <c r="V57" s="20"/>
      <c r="W57" s="129"/>
      <c r="X57" s="20"/>
      <c r="Y57" s="129"/>
      <c r="Z57" s="20"/>
      <c r="AA57" s="129"/>
      <c r="AB57" s="20"/>
      <c r="AC57" s="129"/>
      <c r="AD57" s="20"/>
      <c r="AE57" s="19"/>
      <c r="AF57" s="8"/>
      <c r="AG57" s="17"/>
      <c r="AH57" s="38"/>
      <c r="AI57" s="18"/>
      <c r="AJ57" s="131"/>
      <c r="AK57" s="131"/>
      <c r="AL57" s="37"/>
      <c r="AM57" s="65" t="s">
        <v>140</v>
      </c>
      <c r="AN57" s="65" t="s">
        <v>179</v>
      </c>
      <c r="AO57" s="65" t="s">
        <v>162</v>
      </c>
      <c r="AP57" s="65" t="s">
        <v>179</v>
      </c>
      <c r="AQ57" s="65" t="s">
        <v>179</v>
      </c>
      <c r="AR57" s="65" t="s">
        <v>179</v>
      </c>
      <c r="AS57" s="65" t="s">
        <v>179</v>
      </c>
      <c r="AT57" s="219" t="s">
        <v>180</v>
      </c>
      <c r="AU57" s="215" t="s">
        <v>162</v>
      </c>
      <c r="AV57" s="170" t="str">
        <f t="shared" si="7"/>
        <v>B</v>
      </c>
      <c r="AW57" s="22"/>
      <c r="AX57" s="2"/>
      <c r="AY57" s="2"/>
      <c r="AZ57" s="2"/>
      <c r="BA57" s="2"/>
      <c r="BB57" s="2"/>
      <c r="BC57" s="2"/>
    </row>
    <row r="58" spans="1:55" ht="15" customHeight="1" x14ac:dyDescent="0.25">
      <c r="A58" s="59">
        <v>43662</v>
      </c>
      <c r="B58" s="59" t="s">
        <v>537</v>
      </c>
      <c r="C58" s="131" t="s">
        <v>27</v>
      </c>
      <c r="D58" s="110" t="s">
        <v>27</v>
      </c>
      <c r="E58" s="110">
        <v>444</v>
      </c>
      <c r="F58" s="172"/>
      <c r="G58" s="156" t="s">
        <v>295</v>
      </c>
      <c r="H58" s="133" t="s">
        <v>539</v>
      </c>
      <c r="I58" s="110" t="s">
        <v>338</v>
      </c>
      <c r="J58" s="110" t="s">
        <v>394</v>
      </c>
      <c r="K58" s="110" t="s">
        <v>252</v>
      </c>
      <c r="L58" s="110" t="s">
        <v>546</v>
      </c>
      <c r="M58" s="110" t="s">
        <v>940</v>
      </c>
      <c r="N58" s="110" t="s">
        <v>941</v>
      </c>
      <c r="O58" s="110">
        <v>564376</v>
      </c>
      <c r="P58" s="110">
        <v>4700613</v>
      </c>
      <c r="Q58" s="140">
        <f t="shared" si="6"/>
        <v>0.1</v>
      </c>
      <c r="R58" s="36">
        <v>0.1</v>
      </c>
      <c r="S58" s="5"/>
      <c r="T58" s="6"/>
      <c r="U58" s="50"/>
      <c r="V58" s="20"/>
      <c r="W58" s="129"/>
      <c r="X58" s="20"/>
      <c r="Y58" s="129"/>
      <c r="Z58" s="20"/>
      <c r="AA58" s="129"/>
      <c r="AB58" s="20"/>
      <c r="AC58" s="129"/>
      <c r="AD58" s="20"/>
      <c r="AE58" s="19"/>
      <c r="AF58" s="8"/>
      <c r="AG58" s="17"/>
      <c r="AH58" s="38"/>
      <c r="AI58" s="18"/>
      <c r="AJ58" s="131"/>
      <c r="AK58" s="131" t="s">
        <v>301</v>
      </c>
      <c r="AL58" s="37"/>
      <c r="AM58" s="111" t="s">
        <v>140</v>
      </c>
      <c r="AN58" s="111" t="s">
        <v>179</v>
      </c>
      <c r="AO58" s="111" t="s">
        <v>162</v>
      </c>
      <c r="AP58" s="111" t="s">
        <v>179</v>
      </c>
      <c r="AQ58" s="111" t="s">
        <v>179</v>
      </c>
      <c r="AR58" s="111" t="s">
        <v>179</v>
      </c>
      <c r="AS58" s="132" t="s">
        <v>179</v>
      </c>
      <c r="AT58" s="216" t="s">
        <v>180</v>
      </c>
      <c r="AU58" s="215" t="s">
        <v>162</v>
      </c>
      <c r="AV58" s="170" t="str">
        <f t="shared" si="7"/>
        <v>A</v>
      </c>
    </row>
    <row r="59" spans="1:55" ht="15" customHeight="1" x14ac:dyDescent="0.25">
      <c r="A59" s="59">
        <v>43663</v>
      </c>
      <c r="B59" s="59" t="s">
        <v>561</v>
      </c>
      <c r="C59" s="59" t="s">
        <v>28</v>
      </c>
      <c r="D59" s="110" t="s">
        <v>28</v>
      </c>
      <c r="E59" s="60">
        <v>446</v>
      </c>
      <c r="F59" s="60">
        <v>18</v>
      </c>
      <c r="G59" s="156" t="s">
        <v>277</v>
      </c>
      <c r="H59" s="133" t="s">
        <v>551</v>
      </c>
      <c r="I59" s="110" t="s">
        <v>442</v>
      </c>
      <c r="J59" s="110" t="s">
        <v>443</v>
      </c>
      <c r="K59" s="110" t="s">
        <v>7</v>
      </c>
      <c r="L59" s="110" t="s">
        <v>558</v>
      </c>
      <c r="M59" s="110" t="s">
        <v>559</v>
      </c>
      <c r="N59" s="110" t="s">
        <v>820</v>
      </c>
      <c r="O59" s="208"/>
      <c r="P59" s="208"/>
      <c r="Q59" s="140">
        <f t="shared" si="6"/>
        <v>1</v>
      </c>
      <c r="R59" s="36"/>
      <c r="S59" s="5">
        <v>1</v>
      </c>
      <c r="T59" s="6"/>
      <c r="U59" s="50"/>
      <c r="V59" s="20"/>
      <c r="W59" s="129"/>
      <c r="X59" s="20"/>
      <c r="Y59" s="129"/>
      <c r="Z59" s="20"/>
      <c r="AA59" s="129"/>
      <c r="AB59" s="20"/>
      <c r="AC59" s="129"/>
      <c r="AD59" s="20"/>
      <c r="AE59" s="19"/>
      <c r="AF59" s="8"/>
      <c r="AG59" s="17"/>
      <c r="AH59" s="38"/>
      <c r="AI59" s="18"/>
      <c r="AJ59" s="131"/>
      <c r="AK59" s="131"/>
      <c r="AL59" s="37"/>
      <c r="AM59" s="110" t="s">
        <v>29</v>
      </c>
      <c r="AN59" s="110" t="s">
        <v>179</v>
      </c>
      <c r="AO59" s="110" t="s">
        <v>179</v>
      </c>
      <c r="AP59" s="110" t="s">
        <v>179</v>
      </c>
      <c r="AQ59" s="110" t="s">
        <v>179</v>
      </c>
      <c r="AR59" s="110" t="s">
        <v>179</v>
      </c>
      <c r="AS59" s="131" t="s">
        <v>179</v>
      </c>
      <c r="AT59" s="215" t="s">
        <v>180</v>
      </c>
      <c r="AU59" s="215" t="s">
        <v>180</v>
      </c>
      <c r="AV59" s="170" t="str">
        <f t="shared" si="7"/>
        <v>B</v>
      </c>
    </row>
    <row r="60" spans="1:55" s="42" customFormat="1" ht="15" customHeight="1" x14ac:dyDescent="0.25">
      <c r="A60" s="59">
        <v>43660</v>
      </c>
      <c r="B60" s="59" t="s">
        <v>999</v>
      </c>
      <c r="C60" s="59" t="s">
        <v>92</v>
      </c>
      <c r="D60" s="224" t="s">
        <v>28</v>
      </c>
      <c r="E60" s="60">
        <v>358</v>
      </c>
      <c r="F60" s="60">
        <v>19</v>
      </c>
      <c r="G60" s="224" t="s">
        <v>277</v>
      </c>
      <c r="H60" s="224" t="s">
        <v>620</v>
      </c>
      <c r="I60" s="224" t="s">
        <v>1003</v>
      </c>
      <c r="J60" s="224"/>
      <c r="K60" s="224" t="s">
        <v>252</v>
      </c>
      <c r="L60" s="224" t="s">
        <v>1000</v>
      </c>
      <c r="M60" s="224" t="s">
        <v>1001</v>
      </c>
      <c r="N60" s="224" t="s">
        <v>1002</v>
      </c>
      <c r="O60" s="208"/>
      <c r="P60" s="208"/>
      <c r="Q60" s="208">
        <f t="shared" ref="Q60:Q63" si="8">SUM(R60:AI60)</f>
        <v>0.45</v>
      </c>
      <c r="R60" s="7"/>
      <c r="S60" s="5">
        <v>0.45</v>
      </c>
      <c r="T60" s="6"/>
      <c r="U60" s="209"/>
      <c r="V60" s="20"/>
      <c r="W60" s="209"/>
      <c r="X60" s="20"/>
      <c r="Y60" s="209"/>
      <c r="Z60" s="20"/>
      <c r="AA60" s="209"/>
      <c r="AB60" s="20"/>
      <c r="AC60" s="209"/>
      <c r="AD60" s="20"/>
      <c r="AE60" s="19"/>
      <c r="AF60" s="8"/>
      <c r="AG60" s="17"/>
      <c r="AH60" s="38"/>
      <c r="AI60" s="18"/>
      <c r="AJ60" s="224"/>
      <c r="AK60" s="224"/>
      <c r="AL60" s="224"/>
      <c r="AM60" s="208"/>
      <c r="AN60" s="208"/>
      <c r="AO60" s="208"/>
      <c r="AP60" s="208"/>
      <c r="AQ60" s="208"/>
      <c r="AR60" s="208"/>
      <c r="AS60" s="208"/>
      <c r="AT60" s="253"/>
      <c r="AU60" s="253"/>
      <c r="AV60" s="208" t="str">
        <f t="shared" ref="AV60:AV63" si="9">IF(Q60&gt;4999.9,"G",IF(Q60&gt;999.9,"F",IF(Q60&gt;299.9,"E",IF(Q60&gt;99.9,"D",IF(Q60&gt;9.9,"C",IF(Q60&gt;0.25,"B",IF(Q60&gt;0,"A","")))))))</f>
        <v>B</v>
      </c>
      <c r="AW60" s="22"/>
    </row>
    <row r="61" spans="1:55" s="42" customFormat="1" ht="15" customHeight="1" x14ac:dyDescent="0.25">
      <c r="A61" s="59">
        <v>43661</v>
      </c>
      <c r="B61" s="59" t="s">
        <v>626</v>
      </c>
      <c r="C61" s="59" t="s">
        <v>92</v>
      </c>
      <c r="D61" s="224" t="s">
        <v>28</v>
      </c>
      <c r="E61" s="60">
        <v>366</v>
      </c>
      <c r="F61" s="60">
        <v>20</v>
      </c>
      <c r="G61" s="224" t="s">
        <v>277</v>
      </c>
      <c r="H61" s="224" t="s">
        <v>627</v>
      </c>
      <c r="I61" s="224" t="s">
        <v>1005</v>
      </c>
      <c r="J61" s="224"/>
      <c r="K61" s="224" t="s">
        <v>252</v>
      </c>
      <c r="L61" s="224" t="s">
        <v>622</v>
      </c>
      <c r="M61" s="224" t="s">
        <v>628</v>
      </c>
      <c r="N61" s="224" t="s">
        <v>1004</v>
      </c>
      <c r="O61" s="208"/>
      <c r="P61" s="208"/>
      <c r="Q61" s="208">
        <f t="shared" si="8"/>
        <v>0.4</v>
      </c>
      <c r="R61" s="7"/>
      <c r="S61" s="5">
        <v>0.4</v>
      </c>
      <c r="T61" s="6"/>
      <c r="U61" s="209"/>
      <c r="V61" s="20"/>
      <c r="W61" s="209"/>
      <c r="X61" s="20"/>
      <c r="Y61" s="209"/>
      <c r="Z61" s="20"/>
      <c r="AA61" s="209"/>
      <c r="AB61" s="20"/>
      <c r="AC61" s="209"/>
      <c r="AD61" s="20"/>
      <c r="AE61" s="19"/>
      <c r="AF61" s="8"/>
      <c r="AG61" s="17"/>
      <c r="AH61" s="38"/>
      <c r="AI61" s="18"/>
      <c r="AJ61" s="224"/>
      <c r="AK61" s="224"/>
      <c r="AL61" s="224"/>
      <c r="AM61" s="208"/>
      <c r="AN61" s="208"/>
      <c r="AO61" s="208"/>
      <c r="AP61" s="208"/>
      <c r="AQ61" s="208"/>
      <c r="AR61" s="208"/>
      <c r="AS61" s="208"/>
      <c r="AT61" s="253"/>
      <c r="AU61" s="253"/>
      <c r="AV61" s="208" t="str">
        <f t="shared" si="9"/>
        <v>B</v>
      </c>
      <c r="AW61" s="22"/>
    </row>
    <row r="62" spans="1:55" s="42" customFormat="1" ht="15" customHeight="1" x14ac:dyDescent="0.25">
      <c r="A62" s="59">
        <v>43661</v>
      </c>
      <c r="B62" s="59" t="s">
        <v>624</v>
      </c>
      <c r="C62" s="59" t="s">
        <v>92</v>
      </c>
      <c r="D62" s="224" t="s">
        <v>28</v>
      </c>
      <c r="E62" s="60">
        <v>369</v>
      </c>
      <c r="F62" s="60">
        <v>21</v>
      </c>
      <c r="G62" s="224" t="s">
        <v>277</v>
      </c>
      <c r="H62" s="224" t="s">
        <v>1006</v>
      </c>
      <c r="I62" s="224" t="s">
        <v>1008</v>
      </c>
      <c r="J62" s="224"/>
      <c r="K62" s="224" t="s">
        <v>252</v>
      </c>
      <c r="L62" s="224" t="s">
        <v>622</v>
      </c>
      <c r="M62" s="224" t="s">
        <v>625</v>
      </c>
      <c r="N62" s="224" t="s">
        <v>1007</v>
      </c>
      <c r="O62" s="208"/>
      <c r="P62" s="208"/>
      <c r="Q62" s="208">
        <f t="shared" si="8"/>
        <v>0.25</v>
      </c>
      <c r="R62" s="7"/>
      <c r="S62" s="5">
        <v>0.25</v>
      </c>
      <c r="T62" s="6"/>
      <c r="U62" s="209"/>
      <c r="V62" s="20"/>
      <c r="W62" s="209"/>
      <c r="X62" s="20"/>
      <c r="Y62" s="209"/>
      <c r="Z62" s="20"/>
      <c r="AA62" s="209"/>
      <c r="AB62" s="20"/>
      <c r="AC62" s="209"/>
      <c r="AD62" s="20"/>
      <c r="AE62" s="19"/>
      <c r="AF62" s="8"/>
      <c r="AG62" s="17"/>
      <c r="AH62" s="38"/>
      <c r="AI62" s="18"/>
      <c r="AJ62" s="224"/>
      <c r="AK62" s="224"/>
      <c r="AL62" s="224"/>
      <c r="AM62" s="208"/>
      <c r="AN62" s="208"/>
      <c r="AO62" s="208"/>
      <c r="AP62" s="208"/>
      <c r="AQ62" s="208"/>
      <c r="AR62" s="208"/>
      <c r="AS62" s="208"/>
      <c r="AT62" s="253"/>
      <c r="AU62" s="253"/>
      <c r="AV62" s="208" t="str">
        <f t="shared" si="9"/>
        <v>A</v>
      </c>
      <c r="AW62" s="22"/>
    </row>
    <row r="63" spans="1:55" s="42" customFormat="1" ht="15" customHeight="1" x14ac:dyDescent="0.25">
      <c r="A63" s="59">
        <v>43661</v>
      </c>
      <c r="B63" s="59" t="s">
        <v>1013</v>
      </c>
      <c r="C63" s="59" t="s">
        <v>92</v>
      </c>
      <c r="D63" s="224" t="s">
        <v>28</v>
      </c>
      <c r="E63" s="60">
        <v>371</v>
      </c>
      <c r="F63" s="60">
        <v>22</v>
      </c>
      <c r="G63" s="224" t="s">
        <v>277</v>
      </c>
      <c r="H63" s="224" t="s">
        <v>621</v>
      </c>
      <c r="I63" s="224" t="s">
        <v>1016</v>
      </c>
      <c r="J63" s="224"/>
      <c r="K63" s="224" t="s">
        <v>252</v>
      </c>
      <c r="L63" s="224" t="s">
        <v>623</v>
      </c>
      <c r="M63" s="224" t="s">
        <v>1014</v>
      </c>
      <c r="N63" s="224" t="s">
        <v>1015</v>
      </c>
      <c r="O63" s="208"/>
      <c r="P63" s="208"/>
      <c r="Q63" s="208">
        <f t="shared" si="8"/>
        <v>0.25</v>
      </c>
      <c r="R63" s="7"/>
      <c r="S63" s="5">
        <v>0.25</v>
      </c>
      <c r="T63" s="6"/>
      <c r="U63" s="209"/>
      <c r="V63" s="20"/>
      <c r="W63" s="209"/>
      <c r="X63" s="20"/>
      <c r="Y63" s="209"/>
      <c r="Z63" s="20"/>
      <c r="AA63" s="209"/>
      <c r="AB63" s="20"/>
      <c r="AC63" s="209"/>
      <c r="AD63" s="20"/>
      <c r="AE63" s="19"/>
      <c r="AF63" s="8"/>
      <c r="AG63" s="17"/>
      <c r="AH63" s="38"/>
      <c r="AI63" s="18"/>
      <c r="AJ63" s="224"/>
      <c r="AK63" s="224"/>
      <c r="AL63" s="224"/>
      <c r="AM63" s="208"/>
      <c r="AN63" s="208"/>
      <c r="AO63" s="208"/>
      <c r="AP63" s="208"/>
      <c r="AQ63" s="208"/>
      <c r="AR63" s="208"/>
      <c r="AS63" s="208"/>
      <c r="AT63" s="253" t="s">
        <v>180</v>
      </c>
      <c r="AU63" s="253"/>
      <c r="AV63" s="208" t="str">
        <f t="shared" si="9"/>
        <v>A</v>
      </c>
      <c r="AW63" s="22"/>
    </row>
    <row r="64" spans="1:55" ht="15" customHeight="1" x14ac:dyDescent="0.25">
      <c r="A64" s="59">
        <v>43666</v>
      </c>
      <c r="B64" s="110" t="s">
        <v>562</v>
      </c>
      <c r="C64" s="59" t="s">
        <v>27</v>
      </c>
      <c r="D64" s="110" t="s">
        <v>79</v>
      </c>
      <c r="E64" s="60">
        <v>455</v>
      </c>
      <c r="F64" s="172"/>
      <c r="G64" s="156" t="s">
        <v>8</v>
      </c>
      <c r="H64" s="133" t="s">
        <v>563</v>
      </c>
      <c r="I64" s="110" t="s">
        <v>311</v>
      </c>
      <c r="J64" s="110" t="s">
        <v>564</v>
      </c>
      <c r="K64" s="110" t="s">
        <v>7</v>
      </c>
      <c r="L64" s="110" t="s">
        <v>569</v>
      </c>
      <c r="M64" s="110" t="s">
        <v>567</v>
      </c>
      <c r="N64" s="110" t="s">
        <v>568</v>
      </c>
      <c r="O64" s="110">
        <v>636314</v>
      </c>
      <c r="P64" s="110">
        <v>4758235</v>
      </c>
      <c r="Q64" s="140">
        <f t="shared" si="6"/>
        <v>0.5</v>
      </c>
      <c r="R64" s="36"/>
      <c r="S64" s="5"/>
      <c r="T64" s="6"/>
      <c r="U64" s="50"/>
      <c r="V64" s="20"/>
      <c r="W64" s="129"/>
      <c r="X64" s="20"/>
      <c r="Y64" s="129"/>
      <c r="Z64" s="20"/>
      <c r="AA64" s="129"/>
      <c r="AB64" s="20"/>
      <c r="AC64" s="129">
        <v>0.5</v>
      </c>
      <c r="AD64" s="20"/>
      <c r="AE64" s="19"/>
      <c r="AF64" s="8"/>
      <c r="AG64" s="17"/>
      <c r="AH64" s="38"/>
      <c r="AI64" s="18"/>
      <c r="AJ64" s="131"/>
      <c r="AK64" s="131"/>
      <c r="AL64" s="37"/>
      <c r="AM64" s="110" t="s">
        <v>226</v>
      </c>
      <c r="AN64" s="110" t="s">
        <v>179</v>
      </c>
      <c r="AO64" s="110" t="s">
        <v>179</v>
      </c>
      <c r="AP64" s="110" t="s">
        <v>179</v>
      </c>
      <c r="AQ64" s="110" t="s">
        <v>179</v>
      </c>
      <c r="AR64" s="110" t="s">
        <v>179</v>
      </c>
      <c r="AS64" s="131" t="s">
        <v>179</v>
      </c>
      <c r="AT64" s="215" t="s">
        <v>180</v>
      </c>
      <c r="AU64" s="215" t="s">
        <v>180</v>
      </c>
      <c r="AV64" s="170" t="str">
        <f t="shared" si="7"/>
        <v>B</v>
      </c>
      <c r="AX64" s="2" t="s">
        <v>5</v>
      </c>
    </row>
    <row r="65" spans="1:55" s="42" customFormat="1" ht="15" customHeight="1" x14ac:dyDescent="0.25">
      <c r="A65" s="59">
        <v>43668</v>
      </c>
      <c r="B65" s="110" t="s">
        <v>574</v>
      </c>
      <c r="C65" s="131" t="s">
        <v>27</v>
      </c>
      <c r="D65" s="110" t="s">
        <v>27</v>
      </c>
      <c r="E65" s="110">
        <v>461</v>
      </c>
      <c r="F65" s="172"/>
      <c r="G65" s="156" t="s">
        <v>216</v>
      </c>
      <c r="H65" s="133" t="s">
        <v>575</v>
      </c>
      <c r="I65" s="110" t="s">
        <v>297</v>
      </c>
      <c r="J65" s="110" t="s">
        <v>576</v>
      </c>
      <c r="K65" s="110" t="s">
        <v>7</v>
      </c>
      <c r="L65" s="110" t="s">
        <v>577</v>
      </c>
      <c r="M65" s="110" t="s">
        <v>578</v>
      </c>
      <c r="N65" s="110" t="s">
        <v>579</v>
      </c>
      <c r="O65" s="110">
        <v>560622</v>
      </c>
      <c r="P65" s="110">
        <v>4769268</v>
      </c>
      <c r="Q65" s="140">
        <f t="shared" si="6"/>
        <v>1.5</v>
      </c>
      <c r="R65" s="36">
        <v>1.5</v>
      </c>
      <c r="S65" s="5"/>
      <c r="T65" s="6"/>
      <c r="U65" s="50"/>
      <c r="V65" s="20"/>
      <c r="W65" s="129"/>
      <c r="X65" s="20"/>
      <c r="Y65" s="129"/>
      <c r="Z65" s="20"/>
      <c r="AA65" s="129"/>
      <c r="AB65" s="20"/>
      <c r="AC65" s="129"/>
      <c r="AD65" s="20"/>
      <c r="AE65" s="19"/>
      <c r="AF65" s="8"/>
      <c r="AG65" s="17"/>
      <c r="AH65" s="38"/>
      <c r="AI65" s="18"/>
      <c r="AJ65" s="131"/>
      <c r="AK65" s="131"/>
      <c r="AL65" s="37"/>
      <c r="AM65" s="111" t="s">
        <v>161</v>
      </c>
      <c r="AN65" s="111" t="s">
        <v>179</v>
      </c>
      <c r="AO65" s="111" t="s">
        <v>179</v>
      </c>
      <c r="AP65" s="111" t="s">
        <v>179</v>
      </c>
      <c r="AQ65" s="111" t="s">
        <v>179</v>
      </c>
      <c r="AR65" s="111" t="s">
        <v>162</v>
      </c>
      <c r="AS65" s="132" t="s">
        <v>179</v>
      </c>
      <c r="AT65" s="216" t="s">
        <v>180</v>
      </c>
      <c r="AU65" s="215" t="s">
        <v>180</v>
      </c>
      <c r="AV65" s="170" t="str">
        <f t="shared" si="7"/>
        <v>B</v>
      </c>
      <c r="AW65" s="22"/>
      <c r="BB65" s="2"/>
      <c r="BC65" s="2"/>
    </row>
    <row r="66" spans="1:55" ht="15" customHeight="1" x14ac:dyDescent="0.25">
      <c r="A66" s="59">
        <v>43669</v>
      </c>
      <c r="B66" s="110" t="s">
        <v>580</v>
      </c>
      <c r="C66" s="131" t="s">
        <v>27</v>
      </c>
      <c r="D66" s="110" t="s">
        <v>27</v>
      </c>
      <c r="E66" s="110">
        <v>469</v>
      </c>
      <c r="F66" s="172"/>
      <c r="G66" s="156" t="s">
        <v>295</v>
      </c>
      <c r="H66" s="133" t="s">
        <v>581</v>
      </c>
      <c r="I66" s="110" t="s">
        <v>297</v>
      </c>
      <c r="J66" s="110"/>
      <c r="K66" s="110" t="s">
        <v>252</v>
      </c>
      <c r="L66" s="110" t="s">
        <v>582</v>
      </c>
      <c r="M66" s="110" t="s">
        <v>605</v>
      </c>
      <c r="N66" s="110" t="s">
        <v>942</v>
      </c>
      <c r="O66" s="110">
        <v>590857</v>
      </c>
      <c r="P66" s="110">
        <v>4680847</v>
      </c>
      <c r="Q66" s="140">
        <f t="shared" si="6"/>
        <v>182</v>
      </c>
      <c r="R66" s="36">
        <v>87</v>
      </c>
      <c r="S66" s="5"/>
      <c r="T66" s="6"/>
      <c r="U66" s="50"/>
      <c r="V66" s="20"/>
      <c r="W66" s="129"/>
      <c r="X66" s="20"/>
      <c r="Y66" s="129"/>
      <c r="Z66" s="20"/>
      <c r="AA66" s="129"/>
      <c r="AB66" s="20"/>
      <c r="AC66" s="129"/>
      <c r="AD66" s="20">
        <v>95</v>
      </c>
      <c r="AE66" s="19"/>
      <c r="AF66" s="8"/>
      <c r="AG66" s="17"/>
      <c r="AH66" s="38"/>
      <c r="AI66" s="18"/>
      <c r="AJ66" s="131"/>
      <c r="AK66" s="131" t="s">
        <v>301</v>
      </c>
      <c r="AL66" s="37"/>
      <c r="AM66" s="111" t="s">
        <v>226</v>
      </c>
      <c r="AN66" s="111" t="s">
        <v>179</v>
      </c>
      <c r="AO66" s="111" t="s">
        <v>162</v>
      </c>
      <c r="AP66" s="111" t="s">
        <v>179</v>
      </c>
      <c r="AQ66" s="111" t="s">
        <v>179</v>
      </c>
      <c r="AR66" s="111" t="s">
        <v>179</v>
      </c>
      <c r="AS66" s="132" t="s">
        <v>179</v>
      </c>
      <c r="AT66" s="216" t="s">
        <v>162</v>
      </c>
      <c r="AU66" s="215" t="s">
        <v>162</v>
      </c>
      <c r="AV66" s="170" t="str">
        <f t="shared" si="7"/>
        <v>D</v>
      </c>
    </row>
    <row r="67" spans="1:55" ht="15" customHeight="1" x14ac:dyDescent="0.25">
      <c r="A67" s="59">
        <v>43669</v>
      </c>
      <c r="B67" s="59" t="s">
        <v>583</v>
      </c>
      <c r="C67" s="131" t="s">
        <v>27</v>
      </c>
      <c r="D67" s="110" t="s">
        <v>27</v>
      </c>
      <c r="E67" s="110">
        <v>471</v>
      </c>
      <c r="F67" s="172"/>
      <c r="G67" s="156" t="s">
        <v>295</v>
      </c>
      <c r="H67" s="133" t="s">
        <v>584</v>
      </c>
      <c r="I67" s="110" t="s">
        <v>491</v>
      </c>
      <c r="J67" s="110"/>
      <c r="K67" s="110" t="s">
        <v>252</v>
      </c>
      <c r="L67" s="110" t="s">
        <v>603</v>
      </c>
      <c r="M67" s="110" t="s">
        <v>604</v>
      </c>
      <c r="N67" s="110" t="s">
        <v>943</v>
      </c>
      <c r="O67" s="110">
        <v>588695</v>
      </c>
      <c r="P67" s="110">
        <v>4672326</v>
      </c>
      <c r="Q67" s="140">
        <f t="shared" si="6"/>
        <v>300</v>
      </c>
      <c r="R67" s="36">
        <v>300</v>
      </c>
      <c r="S67" s="5"/>
      <c r="T67" s="6"/>
      <c r="U67" s="50"/>
      <c r="V67" s="20"/>
      <c r="W67" s="129"/>
      <c r="X67" s="20"/>
      <c r="Y67" s="129"/>
      <c r="Z67" s="20"/>
      <c r="AA67" s="129"/>
      <c r="AB67" s="20"/>
      <c r="AC67" s="129"/>
      <c r="AD67" s="20"/>
      <c r="AE67" s="19"/>
      <c r="AF67" s="8"/>
      <c r="AG67" s="17"/>
      <c r="AH67" s="38"/>
      <c r="AI67" s="18"/>
      <c r="AJ67" s="131"/>
      <c r="AK67" s="131" t="s">
        <v>301</v>
      </c>
      <c r="AL67" s="37"/>
      <c r="AM67" s="111" t="s">
        <v>29</v>
      </c>
      <c r="AN67" s="111" t="s">
        <v>179</v>
      </c>
      <c r="AO67" s="111" t="s">
        <v>162</v>
      </c>
      <c r="AP67" s="111" t="s">
        <v>179</v>
      </c>
      <c r="AQ67" s="111" t="s">
        <v>179</v>
      </c>
      <c r="AR67" s="111" t="s">
        <v>179</v>
      </c>
      <c r="AS67" s="132" t="s">
        <v>179</v>
      </c>
      <c r="AT67" s="216" t="s">
        <v>162</v>
      </c>
      <c r="AU67" s="215" t="s">
        <v>162</v>
      </c>
      <c r="AV67" s="170" t="str">
        <f t="shared" si="7"/>
        <v>E</v>
      </c>
    </row>
    <row r="68" spans="1:55" ht="15" customHeight="1" x14ac:dyDescent="0.25">
      <c r="A68" s="59">
        <v>43669</v>
      </c>
      <c r="B68" s="59" t="s">
        <v>595</v>
      </c>
      <c r="C68" s="59" t="s">
        <v>27</v>
      </c>
      <c r="D68" s="110" t="s">
        <v>27</v>
      </c>
      <c r="E68" s="60">
        <v>474</v>
      </c>
      <c r="F68" s="172"/>
      <c r="G68" s="156" t="s">
        <v>217</v>
      </c>
      <c r="H68" s="133" t="s">
        <v>585</v>
      </c>
      <c r="I68" s="110" t="s">
        <v>596</v>
      </c>
      <c r="J68" s="110"/>
      <c r="K68" s="110" t="s">
        <v>252</v>
      </c>
      <c r="L68" s="110" t="s">
        <v>597</v>
      </c>
      <c r="M68" s="110" t="s">
        <v>598</v>
      </c>
      <c r="N68" s="110" t="s">
        <v>599</v>
      </c>
      <c r="O68" s="110">
        <v>522064</v>
      </c>
      <c r="P68" s="110">
        <v>4779156</v>
      </c>
      <c r="Q68" s="140">
        <f t="shared" si="6"/>
        <v>0.1</v>
      </c>
      <c r="R68" s="36">
        <v>0.1</v>
      </c>
      <c r="S68" s="5"/>
      <c r="T68" s="6"/>
      <c r="U68" s="50"/>
      <c r="V68" s="20"/>
      <c r="W68" s="129"/>
      <c r="X68" s="20"/>
      <c r="Y68" s="129"/>
      <c r="Z68" s="20"/>
      <c r="AA68" s="129"/>
      <c r="AB68" s="20"/>
      <c r="AC68" s="129"/>
      <c r="AD68" s="20"/>
      <c r="AE68" s="19"/>
      <c r="AF68" s="8"/>
      <c r="AG68" s="17"/>
      <c r="AH68" s="38"/>
      <c r="AI68" s="18"/>
      <c r="AJ68" s="131"/>
      <c r="AK68" s="131"/>
      <c r="AL68" s="37"/>
      <c r="AM68" s="110" t="s">
        <v>140</v>
      </c>
      <c r="AN68" s="110" t="s">
        <v>179</v>
      </c>
      <c r="AO68" s="110" t="s">
        <v>162</v>
      </c>
      <c r="AP68" s="110" t="s">
        <v>179</v>
      </c>
      <c r="AQ68" s="110" t="s">
        <v>179</v>
      </c>
      <c r="AR68" s="110" t="s">
        <v>162</v>
      </c>
      <c r="AS68" s="131" t="s">
        <v>179</v>
      </c>
      <c r="AT68" s="215" t="s">
        <v>180</v>
      </c>
      <c r="AU68" s="215" t="s">
        <v>180</v>
      </c>
      <c r="AV68" s="170" t="str">
        <f t="shared" si="7"/>
        <v>A</v>
      </c>
    </row>
    <row r="69" spans="1:55" ht="15" customHeight="1" x14ac:dyDescent="0.25">
      <c r="A69" s="59">
        <v>43669</v>
      </c>
      <c r="B69" s="59" t="s">
        <v>594</v>
      </c>
      <c r="C69" s="59" t="s">
        <v>27</v>
      </c>
      <c r="D69" s="110" t="s">
        <v>27</v>
      </c>
      <c r="E69" s="60">
        <v>475</v>
      </c>
      <c r="F69" s="172"/>
      <c r="G69" s="156" t="s">
        <v>217</v>
      </c>
      <c r="H69" s="133" t="s">
        <v>591</v>
      </c>
      <c r="I69" s="110" t="s">
        <v>292</v>
      </c>
      <c r="J69" s="110"/>
      <c r="K69" s="110" t="s">
        <v>252</v>
      </c>
      <c r="L69" s="110" t="s">
        <v>601</v>
      </c>
      <c r="M69" s="110" t="s">
        <v>602</v>
      </c>
      <c r="N69" s="110" t="s">
        <v>1048</v>
      </c>
      <c r="O69" s="110">
        <v>521370</v>
      </c>
      <c r="P69" s="110">
        <v>4712931</v>
      </c>
      <c r="Q69" s="140">
        <f t="shared" si="6"/>
        <v>0.1</v>
      </c>
      <c r="R69" s="36">
        <v>0.1</v>
      </c>
      <c r="S69" s="5"/>
      <c r="T69" s="6"/>
      <c r="U69" s="50"/>
      <c r="V69" s="20"/>
      <c r="W69" s="129"/>
      <c r="X69" s="20"/>
      <c r="Y69" s="129"/>
      <c r="Z69" s="20"/>
      <c r="AA69" s="129"/>
      <c r="AB69" s="20"/>
      <c r="AC69" s="129"/>
      <c r="AD69" s="20"/>
      <c r="AE69" s="19"/>
      <c r="AF69" s="8"/>
      <c r="AG69" s="17"/>
      <c r="AH69" s="38"/>
      <c r="AI69" s="18"/>
      <c r="AJ69" s="131"/>
      <c r="AK69" s="131"/>
      <c r="AL69" s="37"/>
      <c r="AM69" s="110" t="s">
        <v>140</v>
      </c>
      <c r="AN69" s="110" t="s">
        <v>179</v>
      </c>
      <c r="AO69" s="110" t="s">
        <v>162</v>
      </c>
      <c r="AP69" s="110" t="s">
        <v>179</v>
      </c>
      <c r="AQ69" s="110" t="s">
        <v>179</v>
      </c>
      <c r="AR69" s="110" t="s">
        <v>179</v>
      </c>
      <c r="AS69" s="131" t="s">
        <v>179</v>
      </c>
      <c r="AT69" s="215" t="s">
        <v>180</v>
      </c>
      <c r="AU69" s="215" t="s">
        <v>180</v>
      </c>
      <c r="AV69" s="170" t="str">
        <f t="shared" si="7"/>
        <v>A</v>
      </c>
    </row>
    <row r="70" spans="1:55" ht="15" customHeight="1" x14ac:dyDescent="0.25">
      <c r="A70" s="59">
        <v>43669</v>
      </c>
      <c r="B70" s="59" t="s">
        <v>593</v>
      </c>
      <c r="C70" s="59" t="s">
        <v>27</v>
      </c>
      <c r="D70" s="110" t="s">
        <v>27</v>
      </c>
      <c r="E70" s="60">
        <v>476</v>
      </c>
      <c r="F70" s="172"/>
      <c r="G70" s="156" t="s">
        <v>217</v>
      </c>
      <c r="H70" s="133" t="s">
        <v>592</v>
      </c>
      <c r="I70" s="110" t="s">
        <v>610</v>
      </c>
      <c r="J70" s="110" t="s">
        <v>611</v>
      </c>
      <c r="K70" s="110" t="s">
        <v>252</v>
      </c>
      <c r="L70" s="110" t="s">
        <v>612</v>
      </c>
      <c r="M70" s="110" t="s">
        <v>1049</v>
      </c>
      <c r="N70" s="110" t="s">
        <v>1050</v>
      </c>
      <c r="O70" s="110">
        <v>515361</v>
      </c>
      <c r="P70" s="110">
        <v>4691976</v>
      </c>
      <c r="Q70" s="140">
        <f t="shared" si="6"/>
        <v>0.1</v>
      </c>
      <c r="R70" s="36">
        <v>0.1</v>
      </c>
      <c r="S70" s="5"/>
      <c r="T70" s="6"/>
      <c r="U70" s="50"/>
      <c r="V70" s="20"/>
      <c r="W70" s="129"/>
      <c r="X70" s="20"/>
      <c r="Y70" s="129"/>
      <c r="Z70" s="20"/>
      <c r="AA70" s="129"/>
      <c r="AB70" s="20"/>
      <c r="AC70" s="129"/>
      <c r="AD70" s="20"/>
      <c r="AE70" s="19"/>
      <c r="AF70" s="8"/>
      <c r="AG70" s="17"/>
      <c r="AH70" s="38"/>
      <c r="AI70" s="18"/>
      <c r="AJ70" s="131"/>
      <c r="AK70" s="131"/>
      <c r="AL70" s="37"/>
      <c r="AM70" s="111" t="s">
        <v>140</v>
      </c>
      <c r="AN70" s="111" t="s">
        <v>179</v>
      </c>
      <c r="AO70" s="111" t="s">
        <v>162</v>
      </c>
      <c r="AP70" s="111" t="s">
        <v>179</v>
      </c>
      <c r="AQ70" s="111" t="s">
        <v>179</v>
      </c>
      <c r="AR70" s="111" t="s">
        <v>179</v>
      </c>
      <c r="AS70" s="132" t="s">
        <v>179</v>
      </c>
      <c r="AT70" s="216" t="s">
        <v>180</v>
      </c>
      <c r="AU70" s="215" t="s">
        <v>180</v>
      </c>
      <c r="AV70" s="170" t="str">
        <f t="shared" si="7"/>
        <v>A</v>
      </c>
      <c r="AX70" s="42"/>
      <c r="AY70" s="42"/>
      <c r="AZ70" s="42"/>
      <c r="BA70" s="42"/>
      <c r="BB70" s="42"/>
      <c r="BC70" s="42"/>
    </row>
    <row r="71" spans="1:55" ht="15" customHeight="1" x14ac:dyDescent="0.25">
      <c r="A71" s="59">
        <v>43669</v>
      </c>
      <c r="B71" s="59" t="s">
        <v>609</v>
      </c>
      <c r="C71" s="59" t="s">
        <v>27</v>
      </c>
      <c r="D71" s="110" t="s">
        <v>68</v>
      </c>
      <c r="E71" s="60">
        <v>480</v>
      </c>
      <c r="F71" s="172"/>
      <c r="G71" s="156" t="s">
        <v>8</v>
      </c>
      <c r="H71" s="133" t="s">
        <v>600</v>
      </c>
      <c r="I71" s="110" t="s">
        <v>319</v>
      </c>
      <c r="J71" s="110" t="s">
        <v>374</v>
      </c>
      <c r="K71" s="110" t="s">
        <v>7</v>
      </c>
      <c r="L71" s="110" t="s">
        <v>606</v>
      </c>
      <c r="M71" s="110" t="s">
        <v>607</v>
      </c>
      <c r="N71" s="110" t="s">
        <v>608</v>
      </c>
      <c r="O71" s="110">
        <v>526539</v>
      </c>
      <c r="P71" s="110">
        <v>4823737</v>
      </c>
      <c r="Q71" s="140">
        <f t="shared" si="6"/>
        <v>0.45</v>
      </c>
      <c r="R71" s="36"/>
      <c r="S71" s="5"/>
      <c r="T71" s="6"/>
      <c r="U71" s="50"/>
      <c r="V71" s="20"/>
      <c r="W71" s="129"/>
      <c r="X71" s="20"/>
      <c r="Y71" s="129"/>
      <c r="Z71" s="20"/>
      <c r="AA71" s="129"/>
      <c r="AB71" s="20"/>
      <c r="AC71" s="129"/>
      <c r="AD71" s="20"/>
      <c r="AE71" s="19">
        <v>0.45</v>
      </c>
      <c r="AF71" s="8"/>
      <c r="AG71" s="17"/>
      <c r="AH71" s="38"/>
      <c r="AI71" s="18"/>
      <c r="AJ71" s="131"/>
      <c r="AK71" s="131"/>
      <c r="AL71" s="37"/>
      <c r="AM71" s="110" t="s">
        <v>29</v>
      </c>
      <c r="AN71" s="110" t="s">
        <v>179</v>
      </c>
      <c r="AO71" s="110" t="s">
        <v>179</v>
      </c>
      <c r="AP71" s="110" t="s">
        <v>179</v>
      </c>
      <c r="AQ71" s="110" t="s">
        <v>179</v>
      </c>
      <c r="AR71" s="110" t="s">
        <v>162</v>
      </c>
      <c r="AS71" s="131" t="s">
        <v>179</v>
      </c>
      <c r="AT71" s="215" t="s">
        <v>180</v>
      </c>
      <c r="AU71" s="215" t="s">
        <v>180</v>
      </c>
      <c r="AV71" s="170" t="str">
        <f t="shared" si="7"/>
        <v>B</v>
      </c>
      <c r="BB71" s="42"/>
    </row>
    <row r="72" spans="1:55" ht="15" customHeight="1" x14ac:dyDescent="0.25">
      <c r="A72" s="59">
        <v>43670</v>
      </c>
      <c r="B72" s="59" t="s">
        <v>616</v>
      </c>
      <c r="C72" s="59" t="s">
        <v>27</v>
      </c>
      <c r="D72" s="110" t="s">
        <v>28</v>
      </c>
      <c r="E72" s="60">
        <v>490</v>
      </c>
      <c r="F72" s="60">
        <v>23</v>
      </c>
      <c r="G72" s="156" t="s">
        <v>246</v>
      </c>
      <c r="H72" s="133" t="s">
        <v>613</v>
      </c>
      <c r="I72" s="223" t="s">
        <v>355</v>
      </c>
      <c r="J72" s="110" t="s">
        <v>614</v>
      </c>
      <c r="K72" s="110" t="s">
        <v>7</v>
      </c>
      <c r="L72" s="110" t="s">
        <v>615</v>
      </c>
      <c r="M72" s="110" t="s">
        <v>1051</v>
      </c>
      <c r="N72" s="110" t="s">
        <v>1052</v>
      </c>
      <c r="O72" s="110">
        <v>570786</v>
      </c>
      <c r="P72" s="110">
        <v>4843168</v>
      </c>
      <c r="Q72" s="140">
        <f t="shared" si="6"/>
        <v>0.1</v>
      </c>
      <c r="R72" s="36"/>
      <c r="S72" s="5">
        <v>0.1</v>
      </c>
      <c r="T72" s="6"/>
      <c r="U72" s="50"/>
      <c r="V72" s="20"/>
      <c r="W72" s="129"/>
      <c r="X72" s="20"/>
      <c r="Y72" s="129"/>
      <c r="Z72" s="20"/>
      <c r="AA72" s="129"/>
      <c r="AB72" s="20"/>
      <c r="AC72" s="129"/>
      <c r="AD72" s="20"/>
      <c r="AE72" s="19"/>
      <c r="AF72" s="8"/>
      <c r="AG72" s="17"/>
      <c r="AH72" s="38"/>
      <c r="AI72" s="18"/>
      <c r="AJ72" s="131"/>
      <c r="AK72" s="131"/>
      <c r="AL72" s="37"/>
      <c r="AM72" s="110" t="s">
        <v>140</v>
      </c>
      <c r="AN72" s="110" t="s">
        <v>179</v>
      </c>
      <c r="AO72" s="110" t="s">
        <v>179</v>
      </c>
      <c r="AP72" s="110" t="s">
        <v>179</v>
      </c>
      <c r="AQ72" s="110" t="s">
        <v>179</v>
      </c>
      <c r="AR72" s="110" t="s">
        <v>179</v>
      </c>
      <c r="AS72" s="131" t="s">
        <v>179</v>
      </c>
      <c r="AT72" s="215" t="s">
        <v>180</v>
      </c>
      <c r="AU72" s="215" t="s">
        <v>180</v>
      </c>
      <c r="AV72" s="170" t="str">
        <f t="shared" si="7"/>
        <v>A</v>
      </c>
    </row>
    <row r="73" spans="1:55" ht="15" customHeight="1" x14ac:dyDescent="0.25">
      <c r="A73" s="59">
        <v>43673</v>
      </c>
      <c r="B73" s="59" t="s">
        <v>639</v>
      </c>
      <c r="C73" s="59" t="s">
        <v>30</v>
      </c>
      <c r="D73" s="110" t="s">
        <v>28</v>
      </c>
      <c r="E73" s="60">
        <v>518</v>
      </c>
      <c r="F73" s="60">
        <v>24</v>
      </c>
      <c r="G73" s="156" t="s">
        <v>246</v>
      </c>
      <c r="H73" s="133" t="s">
        <v>596</v>
      </c>
      <c r="I73" s="223" t="s">
        <v>637</v>
      </c>
      <c r="J73" s="110"/>
      <c r="K73" s="110" t="s">
        <v>7</v>
      </c>
      <c r="L73" s="110" t="s">
        <v>638</v>
      </c>
      <c r="M73" s="110" t="s">
        <v>640</v>
      </c>
      <c r="N73" s="110" t="s">
        <v>1117</v>
      </c>
      <c r="O73" s="208"/>
      <c r="P73" s="208"/>
      <c r="Q73" s="140">
        <f t="shared" si="6"/>
        <v>0.1</v>
      </c>
      <c r="R73" s="36"/>
      <c r="S73" s="5">
        <v>0.1</v>
      </c>
      <c r="T73" s="6"/>
      <c r="U73" s="57"/>
      <c r="V73" s="20"/>
      <c r="W73" s="129"/>
      <c r="X73" s="20"/>
      <c r="Y73" s="129"/>
      <c r="Z73" s="20"/>
      <c r="AA73" s="129"/>
      <c r="AB73" s="20"/>
      <c r="AC73" s="129"/>
      <c r="AD73" s="20"/>
      <c r="AE73" s="19"/>
      <c r="AF73" s="8"/>
      <c r="AG73" s="17"/>
      <c r="AH73" s="38"/>
      <c r="AI73" s="18"/>
      <c r="AJ73" s="131"/>
      <c r="AK73" s="131" t="s">
        <v>301</v>
      </c>
      <c r="AL73" s="37"/>
      <c r="AM73" s="110" t="s">
        <v>29</v>
      </c>
      <c r="AN73" s="110" t="s">
        <v>179</v>
      </c>
      <c r="AO73" s="110" t="s">
        <v>179</v>
      </c>
      <c r="AP73" s="110" t="s">
        <v>179</v>
      </c>
      <c r="AQ73" s="110" t="s">
        <v>179</v>
      </c>
      <c r="AR73" s="110" t="s">
        <v>162</v>
      </c>
      <c r="AS73" s="131" t="s">
        <v>179</v>
      </c>
      <c r="AT73" s="215" t="s">
        <v>180</v>
      </c>
      <c r="AU73" s="215" t="s">
        <v>180</v>
      </c>
      <c r="AV73" s="170" t="str">
        <f t="shared" si="7"/>
        <v>A</v>
      </c>
      <c r="AX73" s="42"/>
      <c r="AY73" s="42"/>
      <c r="AZ73" s="42"/>
      <c r="BA73" s="42"/>
      <c r="BB73" s="42"/>
      <c r="BC73" s="42"/>
    </row>
    <row r="74" spans="1:55" s="42" customFormat="1" ht="15" customHeight="1" x14ac:dyDescent="0.25">
      <c r="A74" s="59">
        <v>43674</v>
      </c>
      <c r="B74" s="59" t="s">
        <v>644</v>
      </c>
      <c r="C74" s="59" t="s">
        <v>92</v>
      </c>
      <c r="D74" s="110" t="s">
        <v>28</v>
      </c>
      <c r="E74" s="60">
        <v>441</v>
      </c>
      <c r="F74" s="60">
        <v>25</v>
      </c>
      <c r="G74" s="156" t="s">
        <v>277</v>
      </c>
      <c r="H74" s="133" t="s">
        <v>643</v>
      </c>
      <c r="I74" s="223" t="s">
        <v>442</v>
      </c>
      <c r="J74" s="110" t="s">
        <v>443</v>
      </c>
      <c r="K74" s="110" t="s">
        <v>252</v>
      </c>
      <c r="L74" s="110" t="s">
        <v>622</v>
      </c>
      <c r="M74" s="110" t="s">
        <v>1043</v>
      </c>
      <c r="N74" s="110" t="s">
        <v>1044</v>
      </c>
      <c r="O74" s="208"/>
      <c r="P74" s="208"/>
      <c r="Q74" s="140">
        <f t="shared" si="6"/>
        <v>0.25</v>
      </c>
      <c r="R74" s="36"/>
      <c r="S74" s="5">
        <v>0.25</v>
      </c>
      <c r="T74" s="6"/>
      <c r="U74" s="72"/>
      <c r="V74" s="20"/>
      <c r="W74" s="129"/>
      <c r="X74" s="20"/>
      <c r="Y74" s="129"/>
      <c r="Z74" s="20"/>
      <c r="AA74" s="129"/>
      <c r="AB74" s="20"/>
      <c r="AC74" s="129"/>
      <c r="AD74" s="20"/>
      <c r="AE74" s="19"/>
      <c r="AF74" s="8"/>
      <c r="AG74" s="17"/>
      <c r="AH74" s="38"/>
      <c r="AI74" s="18"/>
      <c r="AJ74" s="131"/>
      <c r="AK74" s="131"/>
      <c r="AL74" s="37"/>
      <c r="AM74" s="208"/>
      <c r="AN74" s="208"/>
      <c r="AO74" s="208"/>
      <c r="AP74" s="208"/>
      <c r="AQ74" s="208"/>
      <c r="AR74" s="208"/>
      <c r="AS74" s="208"/>
      <c r="AT74" s="253"/>
      <c r="AU74" s="253"/>
      <c r="AV74" s="208" t="str">
        <f t="shared" ref="AV74:AV137" si="10">IF(Q74&gt;4999.9,"G",IF(Q74&gt;999.9,"F",IF(Q74&gt;299.9,"E",IF(Q74&gt;99.9,"D",IF(Q74&gt;9.9,"C",IF(Q74&gt;0.25,"B",IF(Q74&gt;0,"A","")))))))</f>
        <v>A</v>
      </c>
      <c r="AW74" s="22"/>
      <c r="AX74" s="2"/>
      <c r="AY74" s="2"/>
      <c r="AZ74" s="2"/>
      <c r="BA74" s="2"/>
      <c r="BB74" s="2"/>
      <c r="BC74" s="2"/>
    </row>
    <row r="75" spans="1:55" s="42" customFormat="1" ht="15" customHeight="1" x14ac:dyDescent="0.25">
      <c r="A75" s="59">
        <v>43674</v>
      </c>
      <c r="B75" s="59" t="s">
        <v>256</v>
      </c>
      <c r="C75" s="59" t="s">
        <v>28</v>
      </c>
      <c r="D75" s="110" t="s">
        <v>28</v>
      </c>
      <c r="E75" s="60">
        <v>528</v>
      </c>
      <c r="F75" s="60">
        <v>26</v>
      </c>
      <c r="G75" s="156" t="s">
        <v>237</v>
      </c>
      <c r="H75" s="133" t="s">
        <v>641</v>
      </c>
      <c r="I75" s="223" t="s">
        <v>642</v>
      </c>
      <c r="J75" s="110"/>
      <c r="K75" s="110" t="s">
        <v>252</v>
      </c>
      <c r="L75" s="225" t="s">
        <v>1045</v>
      </c>
      <c r="M75" s="225" t="s">
        <v>1046</v>
      </c>
      <c r="N75" s="225" t="s">
        <v>1047</v>
      </c>
      <c r="O75" s="208"/>
      <c r="P75" s="208"/>
      <c r="Q75" s="140">
        <f t="shared" ref="Q75:Q138" si="11">SUM(R75:AI75)</f>
        <v>0.1</v>
      </c>
      <c r="R75" s="36"/>
      <c r="S75" s="5">
        <v>0.1</v>
      </c>
      <c r="T75" s="6"/>
      <c r="U75" s="50"/>
      <c r="V75" s="20"/>
      <c r="W75" s="129"/>
      <c r="X75" s="20"/>
      <c r="Y75" s="129"/>
      <c r="Z75" s="20"/>
      <c r="AA75" s="129"/>
      <c r="AB75" s="20"/>
      <c r="AC75" s="129"/>
      <c r="AD75" s="20"/>
      <c r="AE75" s="19"/>
      <c r="AF75" s="8"/>
      <c r="AG75" s="17"/>
      <c r="AH75" s="38"/>
      <c r="AI75" s="18"/>
      <c r="AJ75" s="131"/>
      <c r="AK75" s="131"/>
      <c r="AL75" s="37"/>
      <c r="AM75" s="110" t="s">
        <v>415</v>
      </c>
      <c r="AN75" s="110" t="s">
        <v>179</v>
      </c>
      <c r="AO75" s="110" t="s">
        <v>179</v>
      </c>
      <c r="AP75" s="110" t="s">
        <v>179</v>
      </c>
      <c r="AQ75" s="110" t="s">
        <v>179</v>
      </c>
      <c r="AR75" s="110" t="s">
        <v>179</v>
      </c>
      <c r="AS75" s="131" t="s">
        <v>179</v>
      </c>
      <c r="AT75" s="215" t="s">
        <v>180</v>
      </c>
      <c r="AU75" s="215" t="s">
        <v>180</v>
      </c>
      <c r="AV75" s="170" t="str">
        <f t="shared" si="10"/>
        <v>A</v>
      </c>
      <c r="AW75" s="22"/>
      <c r="AX75" s="2"/>
      <c r="AY75" s="2"/>
      <c r="AZ75" s="2"/>
      <c r="BA75" s="2"/>
      <c r="BB75" s="2"/>
    </row>
    <row r="76" spans="1:55" ht="15" customHeight="1" x14ac:dyDescent="0.25">
      <c r="A76" s="59">
        <v>43675</v>
      </c>
      <c r="B76" s="59" t="s">
        <v>256</v>
      </c>
      <c r="C76" s="59" t="s">
        <v>28</v>
      </c>
      <c r="D76" s="110" t="s">
        <v>28</v>
      </c>
      <c r="E76" s="60">
        <v>532</v>
      </c>
      <c r="F76" s="60">
        <v>27</v>
      </c>
      <c r="G76" s="156" t="s">
        <v>473</v>
      </c>
      <c r="H76" s="133" t="s">
        <v>659</v>
      </c>
      <c r="I76" s="223" t="s">
        <v>680</v>
      </c>
      <c r="J76" s="110" t="s">
        <v>681</v>
      </c>
      <c r="K76" s="110" t="s">
        <v>252</v>
      </c>
      <c r="L76" s="110" t="s">
        <v>677</v>
      </c>
      <c r="M76" s="110" t="s">
        <v>678</v>
      </c>
      <c r="N76" s="110" t="s">
        <v>679</v>
      </c>
      <c r="O76" s="208"/>
      <c r="P76" s="208"/>
      <c r="Q76" s="140">
        <f t="shared" si="11"/>
        <v>0.3</v>
      </c>
      <c r="R76" s="36"/>
      <c r="S76" s="5">
        <v>0.3</v>
      </c>
      <c r="T76" s="6"/>
      <c r="U76" s="50"/>
      <c r="V76" s="20"/>
      <c r="W76" s="129"/>
      <c r="X76" s="20"/>
      <c r="Y76" s="129"/>
      <c r="Z76" s="20"/>
      <c r="AA76" s="129"/>
      <c r="AB76" s="20"/>
      <c r="AC76" s="129"/>
      <c r="AD76" s="20"/>
      <c r="AE76" s="19"/>
      <c r="AF76" s="8"/>
      <c r="AG76" s="17"/>
      <c r="AH76" s="38"/>
      <c r="AI76" s="18"/>
      <c r="AJ76" s="131"/>
      <c r="AK76" s="131"/>
      <c r="AL76" s="37"/>
      <c r="AM76" s="110" t="s">
        <v>161</v>
      </c>
      <c r="AN76" s="226" t="s">
        <v>179</v>
      </c>
      <c r="AO76" s="110" t="s">
        <v>179</v>
      </c>
      <c r="AP76" s="110" t="s">
        <v>179</v>
      </c>
      <c r="AQ76" s="110" t="s">
        <v>179</v>
      </c>
      <c r="AR76" s="110" t="s">
        <v>179</v>
      </c>
      <c r="AS76" s="131" t="s">
        <v>179</v>
      </c>
      <c r="AT76" s="215" t="s">
        <v>180</v>
      </c>
      <c r="AU76" s="215" t="s">
        <v>162</v>
      </c>
      <c r="AV76" s="170" t="str">
        <f t="shared" si="10"/>
        <v>B</v>
      </c>
      <c r="AX76" s="42"/>
      <c r="AY76" s="42"/>
      <c r="AZ76" s="42"/>
      <c r="BA76" s="42"/>
      <c r="BB76" s="42"/>
      <c r="BC76" s="42"/>
    </row>
    <row r="77" spans="1:55" ht="15" customHeight="1" x14ac:dyDescent="0.25">
      <c r="A77" s="59">
        <v>43675</v>
      </c>
      <c r="B77" s="59" t="s">
        <v>256</v>
      </c>
      <c r="C77" s="59" t="s">
        <v>28</v>
      </c>
      <c r="D77" s="110" t="s">
        <v>28</v>
      </c>
      <c r="E77" s="60">
        <v>533</v>
      </c>
      <c r="F77" s="60">
        <v>28</v>
      </c>
      <c r="G77" s="156" t="s">
        <v>221</v>
      </c>
      <c r="H77" s="133" t="s">
        <v>649</v>
      </c>
      <c r="I77" s="110" t="s">
        <v>683</v>
      </c>
      <c r="J77" s="110" t="s">
        <v>684</v>
      </c>
      <c r="K77" s="110" t="s">
        <v>252</v>
      </c>
      <c r="L77" s="110" t="s">
        <v>653</v>
      </c>
      <c r="M77" s="110" t="s">
        <v>682</v>
      </c>
      <c r="N77" s="110" t="s">
        <v>935</v>
      </c>
      <c r="O77" s="208"/>
      <c r="P77" s="208"/>
      <c r="Q77" s="140">
        <f t="shared" si="11"/>
        <v>0.1</v>
      </c>
      <c r="R77" s="36"/>
      <c r="S77" s="5">
        <v>0.1</v>
      </c>
      <c r="T77" s="6"/>
      <c r="U77" s="50"/>
      <c r="V77" s="20"/>
      <c r="W77" s="129"/>
      <c r="X77" s="20"/>
      <c r="Y77" s="129"/>
      <c r="Z77" s="20"/>
      <c r="AA77" s="129"/>
      <c r="AB77" s="20"/>
      <c r="AC77" s="129"/>
      <c r="AD77" s="20"/>
      <c r="AE77" s="19"/>
      <c r="AF77" s="8"/>
      <c r="AG77" s="17"/>
      <c r="AH77" s="38"/>
      <c r="AI77" s="18"/>
      <c r="AJ77" s="131"/>
      <c r="AK77" s="131"/>
      <c r="AL77" s="37"/>
      <c r="AM77" s="110" t="s">
        <v>415</v>
      </c>
      <c r="AN77" s="226" t="s">
        <v>179</v>
      </c>
      <c r="AO77" s="110" t="s">
        <v>179</v>
      </c>
      <c r="AP77" s="110" t="s">
        <v>179</v>
      </c>
      <c r="AQ77" s="110" t="s">
        <v>179</v>
      </c>
      <c r="AR77" s="110" t="s">
        <v>179</v>
      </c>
      <c r="AS77" s="131" t="s">
        <v>179</v>
      </c>
      <c r="AT77" s="215" t="s">
        <v>180</v>
      </c>
      <c r="AU77" s="215" t="s">
        <v>180</v>
      </c>
      <c r="AV77" s="170" t="str">
        <f t="shared" si="10"/>
        <v>A</v>
      </c>
    </row>
    <row r="78" spans="1:55" ht="15" customHeight="1" x14ac:dyDescent="0.25">
      <c r="A78" s="59">
        <v>43675</v>
      </c>
      <c r="B78" s="59" t="s">
        <v>256</v>
      </c>
      <c r="C78" s="59" t="s">
        <v>28</v>
      </c>
      <c r="D78" s="110" t="s">
        <v>28</v>
      </c>
      <c r="E78" s="60">
        <v>534</v>
      </c>
      <c r="F78" s="60">
        <v>29</v>
      </c>
      <c r="G78" s="156" t="s">
        <v>473</v>
      </c>
      <c r="H78" s="133" t="s">
        <v>650</v>
      </c>
      <c r="I78" s="110" t="s">
        <v>686</v>
      </c>
      <c r="J78" s="110" t="s">
        <v>687</v>
      </c>
      <c r="K78" s="110" t="s">
        <v>252</v>
      </c>
      <c r="L78" s="110" t="s">
        <v>654</v>
      </c>
      <c r="M78" s="110" t="s">
        <v>685</v>
      </c>
      <c r="N78" s="110" t="s">
        <v>944</v>
      </c>
      <c r="O78" s="208"/>
      <c r="P78" s="208"/>
      <c r="Q78" s="140">
        <f t="shared" si="11"/>
        <v>0.2</v>
      </c>
      <c r="R78" s="36"/>
      <c r="S78" s="5">
        <v>0.2</v>
      </c>
      <c r="T78" s="6"/>
      <c r="U78" s="50"/>
      <c r="V78" s="20"/>
      <c r="W78" s="129"/>
      <c r="X78" s="20"/>
      <c r="Y78" s="129"/>
      <c r="Z78" s="20"/>
      <c r="AA78" s="129"/>
      <c r="AB78" s="20"/>
      <c r="AC78" s="129"/>
      <c r="AD78" s="20"/>
      <c r="AE78" s="19"/>
      <c r="AF78" s="8"/>
      <c r="AG78" s="17"/>
      <c r="AH78" s="38"/>
      <c r="AI78" s="18"/>
      <c r="AJ78" s="131"/>
      <c r="AK78" s="131"/>
      <c r="AL78" s="37"/>
      <c r="AM78" s="110" t="s">
        <v>140</v>
      </c>
      <c r="AN78" s="226" t="s">
        <v>179</v>
      </c>
      <c r="AO78" s="110" t="s">
        <v>179</v>
      </c>
      <c r="AP78" s="110" t="s">
        <v>179</v>
      </c>
      <c r="AQ78" s="110" t="s">
        <v>179</v>
      </c>
      <c r="AR78" s="110" t="s">
        <v>179</v>
      </c>
      <c r="AS78" s="131" t="s">
        <v>179</v>
      </c>
      <c r="AT78" s="215" t="s">
        <v>180</v>
      </c>
      <c r="AU78" s="215" t="s">
        <v>180</v>
      </c>
      <c r="AV78" s="170" t="str">
        <f t="shared" si="10"/>
        <v>A</v>
      </c>
    </row>
    <row r="79" spans="1:55" ht="15" customHeight="1" x14ac:dyDescent="0.25">
      <c r="A79" s="59">
        <v>43675</v>
      </c>
      <c r="B79" s="59" t="s">
        <v>256</v>
      </c>
      <c r="C79" s="59" t="s">
        <v>28</v>
      </c>
      <c r="D79" s="110" t="s">
        <v>28</v>
      </c>
      <c r="E79" s="60">
        <v>535</v>
      </c>
      <c r="F79" s="60">
        <v>30</v>
      </c>
      <c r="G79" s="156" t="s">
        <v>473</v>
      </c>
      <c r="H79" s="133" t="s">
        <v>651</v>
      </c>
      <c r="I79" s="110" t="s">
        <v>688</v>
      </c>
      <c r="J79" s="110" t="s">
        <v>689</v>
      </c>
      <c r="K79" s="110" t="s">
        <v>252</v>
      </c>
      <c r="L79" s="110" t="s">
        <v>945</v>
      </c>
      <c r="M79" s="110" t="s">
        <v>946</v>
      </c>
      <c r="N79" s="110" t="s">
        <v>947</v>
      </c>
      <c r="O79" s="208"/>
      <c r="P79" s="208"/>
      <c r="Q79" s="140">
        <f t="shared" si="11"/>
        <v>0.1</v>
      </c>
      <c r="R79" s="36"/>
      <c r="S79" s="5">
        <v>0.1</v>
      </c>
      <c r="T79" s="6"/>
      <c r="U79" s="57"/>
      <c r="V79" s="20"/>
      <c r="W79" s="129"/>
      <c r="X79" s="20"/>
      <c r="Y79" s="129"/>
      <c r="Z79" s="20"/>
      <c r="AA79" s="129"/>
      <c r="AB79" s="20"/>
      <c r="AC79" s="129"/>
      <c r="AD79" s="20"/>
      <c r="AE79" s="19"/>
      <c r="AF79" s="8"/>
      <c r="AG79" s="17"/>
      <c r="AH79" s="38"/>
      <c r="AI79" s="18"/>
      <c r="AJ79" s="131"/>
      <c r="AK79" s="131"/>
      <c r="AL79" s="37"/>
      <c r="AM79" s="110" t="s">
        <v>140</v>
      </c>
      <c r="AN79" s="226" t="s">
        <v>179</v>
      </c>
      <c r="AO79" s="110" t="s">
        <v>179</v>
      </c>
      <c r="AP79" s="110" t="s">
        <v>179</v>
      </c>
      <c r="AQ79" s="110" t="s">
        <v>179</v>
      </c>
      <c r="AR79" s="110" t="s">
        <v>179</v>
      </c>
      <c r="AS79" s="131" t="s">
        <v>179</v>
      </c>
      <c r="AT79" s="215" t="s">
        <v>180</v>
      </c>
      <c r="AU79" s="215" t="s">
        <v>180</v>
      </c>
      <c r="AV79" s="170" t="str">
        <f t="shared" si="10"/>
        <v>A</v>
      </c>
    </row>
    <row r="80" spans="1:55" ht="15" customHeight="1" x14ac:dyDescent="0.25">
      <c r="A80" s="59">
        <v>43675</v>
      </c>
      <c r="B80" s="59" t="s">
        <v>256</v>
      </c>
      <c r="C80" s="59" t="s">
        <v>28</v>
      </c>
      <c r="D80" s="110" t="s">
        <v>28</v>
      </c>
      <c r="E80" s="60">
        <v>537</v>
      </c>
      <c r="F80" s="60">
        <v>31</v>
      </c>
      <c r="G80" s="156" t="s">
        <v>221</v>
      </c>
      <c r="H80" s="133" t="s">
        <v>652</v>
      </c>
      <c r="I80" s="110" t="s">
        <v>1332</v>
      </c>
      <c r="J80" s="110" t="s">
        <v>1333</v>
      </c>
      <c r="K80" s="110" t="s">
        <v>252</v>
      </c>
      <c r="L80" s="110" t="s">
        <v>655</v>
      </c>
      <c r="M80" s="110" t="s">
        <v>690</v>
      </c>
      <c r="N80" s="110" t="s">
        <v>679</v>
      </c>
      <c r="O80" s="208"/>
      <c r="P80" s="208"/>
      <c r="Q80" s="140">
        <f t="shared" si="11"/>
        <v>4.9000000000000004</v>
      </c>
      <c r="R80" s="36"/>
      <c r="S80" s="5">
        <v>4.9000000000000004</v>
      </c>
      <c r="T80" s="6"/>
      <c r="U80" s="50"/>
      <c r="V80" s="20"/>
      <c r="W80" s="129"/>
      <c r="X80" s="20"/>
      <c r="Y80" s="129"/>
      <c r="Z80" s="20"/>
      <c r="AA80" s="129"/>
      <c r="AB80" s="20"/>
      <c r="AC80" s="129"/>
      <c r="AD80" s="20"/>
      <c r="AE80" s="19"/>
      <c r="AF80" s="8"/>
      <c r="AG80" s="17"/>
      <c r="AH80" s="38"/>
      <c r="AI80" s="18"/>
      <c r="AJ80" s="131"/>
      <c r="AK80" s="131"/>
      <c r="AL80" s="37"/>
      <c r="AM80" s="110" t="s">
        <v>140</v>
      </c>
      <c r="AN80" s="226" t="s">
        <v>179</v>
      </c>
      <c r="AO80" s="110" t="s">
        <v>179</v>
      </c>
      <c r="AP80" s="110" t="s">
        <v>179</v>
      </c>
      <c r="AQ80" s="110" t="s">
        <v>179</v>
      </c>
      <c r="AR80" s="110" t="s">
        <v>179</v>
      </c>
      <c r="AS80" s="131" t="s">
        <v>179</v>
      </c>
      <c r="AT80" s="215" t="s">
        <v>180</v>
      </c>
      <c r="AU80" s="215" t="s">
        <v>180</v>
      </c>
      <c r="AV80" s="170" t="str">
        <f t="shared" si="10"/>
        <v>B</v>
      </c>
    </row>
    <row r="81" spans="1:55" ht="15" customHeight="1" x14ac:dyDescent="0.25">
      <c r="A81" s="59">
        <v>43675</v>
      </c>
      <c r="B81" s="59" t="s">
        <v>256</v>
      </c>
      <c r="C81" s="59" t="s">
        <v>28</v>
      </c>
      <c r="D81" s="110" t="s">
        <v>28</v>
      </c>
      <c r="E81" s="60">
        <v>538</v>
      </c>
      <c r="F81" s="60">
        <v>32</v>
      </c>
      <c r="G81" s="156" t="s">
        <v>221</v>
      </c>
      <c r="H81" s="133" t="s">
        <v>673</v>
      </c>
      <c r="I81" s="110" t="s">
        <v>1095</v>
      </c>
      <c r="J81" s="110" t="s">
        <v>1096</v>
      </c>
      <c r="K81" s="110" t="s">
        <v>252</v>
      </c>
      <c r="L81" s="110" t="s">
        <v>656</v>
      </c>
      <c r="M81" s="110" t="s">
        <v>691</v>
      </c>
      <c r="N81" s="110" t="s">
        <v>1097</v>
      </c>
      <c r="O81" s="208"/>
      <c r="P81" s="208"/>
      <c r="Q81" s="140">
        <f t="shared" si="11"/>
        <v>0.1</v>
      </c>
      <c r="R81" s="36"/>
      <c r="S81" s="5">
        <v>0.1</v>
      </c>
      <c r="T81" s="6"/>
      <c r="U81" s="50"/>
      <c r="V81" s="20"/>
      <c r="W81" s="129"/>
      <c r="X81" s="20"/>
      <c r="Y81" s="129"/>
      <c r="Z81" s="20"/>
      <c r="AA81" s="129"/>
      <c r="AB81" s="20"/>
      <c r="AC81" s="129"/>
      <c r="AD81" s="20"/>
      <c r="AE81" s="19"/>
      <c r="AF81" s="8"/>
      <c r="AG81" s="17"/>
      <c r="AH81" s="38"/>
      <c r="AI81" s="18"/>
      <c r="AJ81" s="131"/>
      <c r="AK81" s="131"/>
      <c r="AL81" s="37"/>
      <c r="AM81" s="110" t="s">
        <v>140</v>
      </c>
      <c r="AN81" s="226" t="s">
        <v>179</v>
      </c>
      <c r="AO81" s="110" t="s">
        <v>179</v>
      </c>
      <c r="AP81" s="110" t="s">
        <v>179</v>
      </c>
      <c r="AQ81" s="110" t="s">
        <v>179</v>
      </c>
      <c r="AR81" s="110" t="s">
        <v>179</v>
      </c>
      <c r="AS81" s="131" t="s">
        <v>179</v>
      </c>
      <c r="AT81" s="215" t="s">
        <v>180</v>
      </c>
      <c r="AU81" s="215" t="s">
        <v>180</v>
      </c>
      <c r="AV81" s="170" t="str">
        <f t="shared" si="10"/>
        <v>A</v>
      </c>
    </row>
    <row r="82" spans="1:55" ht="15" customHeight="1" x14ac:dyDescent="0.25">
      <c r="A82" s="59">
        <v>43675</v>
      </c>
      <c r="B82" s="59" t="s">
        <v>647</v>
      </c>
      <c r="C82" s="59" t="s">
        <v>27</v>
      </c>
      <c r="D82" s="110" t="s">
        <v>27</v>
      </c>
      <c r="E82" s="60">
        <v>539</v>
      </c>
      <c r="F82" s="172"/>
      <c r="G82" s="156" t="s">
        <v>8</v>
      </c>
      <c r="H82" s="133" t="s">
        <v>648</v>
      </c>
      <c r="I82" s="110" t="s">
        <v>362</v>
      </c>
      <c r="J82" s="110" t="s">
        <v>576</v>
      </c>
      <c r="K82" s="110" t="s">
        <v>252</v>
      </c>
      <c r="L82" s="110" t="s">
        <v>657</v>
      </c>
      <c r="M82" s="110" t="s">
        <v>658</v>
      </c>
      <c r="N82" s="110" t="s">
        <v>1056</v>
      </c>
      <c r="O82" s="110">
        <v>606559</v>
      </c>
      <c r="P82" s="110">
        <v>4789693</v>
      </c>
      <c r="Q82" s="140">
        <f t="shared" si="11"/>
        <v>0.5</v>
      </c>
      <c r="R82" s="36">
        <v>0.5</v>
      </c>
      <c r="S82" s="5"/>
      <c r="T82" s="6"/>
      <c r="U82" s="58"/>
      <c r="V82" s="20"/>
      <c r="W82" s="129"/>
      <c r="X82" s="20"/>
      <c r="Y82" s="129"/>
      <c r="Z82" s="20"/>
      <c r="AA82" s="129"/>
      <c r="AB82" s="20"/>
      <c r="AC82" s="129"/>
      <c r="AD82" s="20"/>
      <c r="AE82" s="19"/>
      <c r="AF82" s="8"/>
      <c r="AG82" s="17"/>
      <c r="AH82" s="38"/>
      <c r="AI82" s="18"/>
      <c r="AJ82" s="131"/>
      <c r="AK82" s="131"/>
      <c r="AL82" s="37"/>
      <c r="AM82" s="110" t="s">
        <v>226</v>
      </c>
      <c r="AN82" s="226" t="s">
        <v>179</v>
      </c>
      <c r="AO82" s="110" t="s">
        <v>162</v>
      </c>
      <c r="AP82" s="110" t="s">
        <v>179</v>
      </c>
      <c r="AQ82" s="110" t="s">
        <v>179</v>
      </c>
      <c r="AR82" s="110" t="s">
        <v>179</v>
      </c>
      <c r="AS82" s="131" t="s">
        <v>179</v>
      </c>
      <c r="AT82" s="215" t="s">
        <v>180</v>
      </c>
      <c r="AU82" s="215" t="s">
        <v>180</v>
      </c>
      <c r="AV82" s="170" t="str">
        <f t="shared" si="10"/>
        <v>B</v>
      </c>
    </row>
    <row r="83" spans="1:55" ht="15" customHeight="1" x14ac:dyDescent="0.25">
      <c r="A83" s="59">
        <v>43675</v>
      </c>
      <c r="B83" s="59" t="s">
        <v>256</v>
      </c>
      <c r="C83" s="59" t="s">
        <v>28</v>
      </c>
      <c r="D83" s="110" t="s">
        <v>28</v>
      </c>
      <c r="E83" s="60">
        <v>540</v>
      </c>
      <c r="F83" s="60">
        <v>33</v>
      </c>
      <c r="G83" s="156" t="s">
        <v>473</v>
      </c>
      <c r="H83" s="133" t="s">
        <v>660</v>
      </c>
      <c r="I83" s="110" t="s">
        <v>693</v>
      </c>
      <c r="J83" s="110" t="s">
        <v>694</v>
      </c>
      <c r="K83" s="110" t="s">
        <v>252</v>
      </c>
      <c r="L83" s="110" t="s">
        <v>670</v>
      </c>
      <c r="M83" s="110" t="s">
        <v>692</v>
      </c>
      <c r="N83" s="110" t="s">
        <v>951</v>
      </c>
      <c r="O83" s="208"/>
      <c r="P83" s="208"/>
      <c r="Q83" s="140">
        <f t="shared" si="11"/>
        <v>0.1</v>
      </c>
      <c r="R83" s="36"/>
      <c r="S83" s="5">
        <v>0.1</v>
      </c>
      <c r="T83" s="6"/>
      <c r="U83" s="57"/>
      <c r="V83" s="20"/>
      <c r="W83" s="129"/>
      <c r="X83" s="20"/>
      <c r="Y83" s="129"/>
      <c r="Z83" s="20"/>
      <c r="AA83" s="129"/>
      <c r="AB83" s="20"/>
      <c r="AC83" s="129"/>
      <c r="AD83" s="20"/>
      <c r="AE83" s="19"/>
      <c r="AF83" s="8"/>
      <c r="AG83" s="17"/>
      <c r="AH83" s="38"/>
      <c r="AI83" s="18"/>
      <c r="AJ83" s="131"/>
      <c r="AK83" s="131"/>
      <c r="AL83" s="37"/>
      <c r="AM83" s="110" t="s">
        <v>29</v>
      </c>
      <c r="AN83" s="226" t="s">
        <v>179</v>
      </c>
      <c r="AO83" s="110" t="s">
        <v>179</v>
      </c>
      <c r="AP83" s="110" t="s">
        <v>179</v>
      </c>
      <c r="AQ83" s="110" t="s">
        <v>179</v>
      </c>
      <c r="AR83" s="110" t="s">
        <v>179</v>
      </c>
      <c r="AS83" s="131" t="s">
        <v>179</v>
      </c>
      <c r="AT83" s="215" t="s">
        <v>180</v>
      </c>
      <c r="AU83" s="215" t="s">
        <v>180</v>
      </c>
      <c r="AV83" s="170" t="str">
        <f t="shared" si="10"/>
        <v>A</v>
      </c>
      <c r="AX83" s="42"/>
      <c r="AY83" s="42"/>
      <c r="AZ83" s="42"/>
      <c r="BA83" s="42"/>
    </row>
    <row r="84" spans="1:55" ht="15" customHeight="1" x14ac:dyDescent="0.25">
      <c r="A84" s="59">
        <v>43676</v>
      </c>
      <c r="B84" s="59" t="s">
        <v>671</v>
      </c>
      <c r="C84" s="59" t="s">
        <v>30</v>
      </c>
      <c r="D84" s="110" t="s">
        <v>28</v>
      </c>
      <c r="E84" s="60">
        <v>542</v>
      </c>
      <c r="F84" s="60">
        <v>34</v>
      </c>
      <c r="G84" s="156" t="s">
        <v>237</v>
      </c>
      <c r="H84" s="133" t="s">
        <v>663</v>
      </c>
      <c r="I84" s="110" t="s">
        <v>265</v>
      </c>
      <c r="J84" s="110"/>
      <c r="K84" s="110" t="s">
        <v>252</v>
      </c>
      <c r="L84" s="110" t="s">
        <v>662</v>
      </c>
      <c r="M84" s="110" t="s">
        <v>1118</v>
      </c>
      <c r="N84" s="110" t="s">
        <v>661</v>
      </c>
      <c r="O84" s="208"/>
      <c r="P84" s="208"/>
      <c r="Q84" s="140">
        <f t="shared" si="11"/>
        <v>0.2</v>
      </c>
      <c r="R84" s="36"/>
      <c r="S84" s="5">
        <v>0.2</v>
      </c>
      <c r="T84" s="6"/>
      <c r="U84" s="57"/>
      <c r="V84" s="20"/>
      <c r="W84" s="129"/>
      <c r="X84" s="20"/>
      <c r="Y84" s="129"/>
      <c r="Z84" s="20"/>
      <c r="AA84" s="129"/>
      <c r="AB84" s="20"/>
      <c r="AC84" s="129"/>
      <c r="AD84" s="20"/>
      <c r="AE84" s="19"/>
      <c r="AF84" s="8"/>
      <c r="AG84" s="17"/>
      <c r="AH84" s="38"/>
      <c r="AI84" s="18"/>
      <c r="AJ84" s="131"/>
      <c r="AK84" s="131"/>
      <c r="AL84" s="37"/>
      <c r="AM84" s="110" t="s">
        <v>140</v>
      </c>
      <c r="AN84" s="110" t="s">
        <v>179</v>
      </c>
      <c r="AO84" s="110" t="s">
        <v>179</v>
      </c>
      <c r="AP84" s="110" t="s">
        <v>179</v>
      </c>
      <c r="AQ84" s="110" t="s">
        <v>179</v>
      </c>
      <c r="AR84" s="110" t="s">
        <v>162</v>
      </c>
      <c r="AS84" s="131" t="s">
        <v>179</v>
      </c>
      <c r="AT84" s="215" t="s">
        <v>180</v>
      </c>
      <c r="AU84" s="215" t="s">
        <v>180</v>
      </c>
      <c r="AV84" s="170" t="str">
        <f t="shared" si="10"/>
        <v>A</v>
      </c>
    </row>
    <row r="85" spans="1:55" ht="15" customHeight="1" x14ac:dyDescent="0.25">
      <c r="A85" s="59">
        <v>43676</v>
      </c>
      <c r="B85" s="59" t="s">
        <v>668</v>
      </c>
      <c r="C85" s="59" t="s">
        <v>27</v>
      </c>
      <c r="D85" s="110" t="s">
        <v>30</v>
      </c>
      <c r="E85" s="60">
        <v>546</v>
      </c>
      <c r="F85" s="172"/>
      <c r="G85" s="156" t="s">
        <v>8</v>
      </c>
      <c r="H85" s="133" t="s">
        <v>666</v>
      </c>
      <c r="I85" s="110" t="s">
        <v>405</v>
      </c>
      <c r="J85" s="110" t="s">
        <v>669</v>
      </c>
      <c r="K85" s="110" t="s">
        <v>7</v>
      </c>
      <c r="L85" s="110" t="s">
        <v>667</v>
      </c>
      <c r="M85" s="110" t="s">
        <v>695</v>
      </c>
      <c r="N85" s="110" t="s">
        <v>1057</v>
      </c>
      <c r="O85" s="110">
        <v>561933</v>
      </c>
      <c r="P85" s="110">
        <v>4812630</v>
      </c>
      <c r="Q85" s="140">
        <f t="shared" si="11"/>
        <v>11.790000000000001</v>
      </c>
      <c r="R85" s="36"/>
      <c r="S85" s="5"/>
      <c r="T85" s="6">
        <v>11.74</v>
      </c>
      <c r="U85" s="70">
        <v>0.05</v>
      </c>
      <c r="V85" s="20"/>
      <c r="W85" s="129"/>
      <c r="X85" s="20"/>
      <c r="Y85" s="129"/>
      <c r="Z85" s="20"/>
      <c r="AA85" s="129"/>
      <c r="AB85" s="20"/>
      <c r="AC85" s="129"/>
      <c r="AD85" s="20"/>
      <c r="AE85" s="19"/>
      <c r="AF85" s="8"/>
      <c r="AG85" s="17"/>
      <c r="AH85" s="38"/>
      <c r="AI85" s="18"/>
      <c r="AJ85" s="131"/>
      <c r="AK85" s="131"/>
      <c r="AL85" s="37"/>
      <c r="AM85" s="111" t="s">
        <v>161</v>
      </c>
      <c r="AN85" s="111" t="s">
        <v>179</v>
      </c>
      <c r="AO85" s="111" t="s">
        <v>179</v>
      </c>
      <c r="AP85" s="111" t="s">
        <v>162</v>
      </c>
      <c r="AQ85" s="111" t="s">
        <v>179</v>
      </c>
      <c r="AR85" s="111" t="s">
        <v>162</v>
      </c>
      <c r="AS85" s="132" t="s">
        <v>179</v>
      </c>
      <c r="AT85" s="216" t="s">
        <v>180</v>
      </c>
      <c r="AU85" s="215" t="s">
        <v>180</v>
      </c>
      <c r="AV85" s="170" t="str">
        <f t="shared" si="10"/>
        <v>C</v>
      </c>
      <c r="AX85" s="42"/>
      <c r="AY85" s="42"/>
      <c r="AZ85" s="42"/>
      <c r="BA85" s="42"/>
    </row>
    <row r="86" spans="1:55" ht="15" customHeight="1" x14ac:dyDescent="0.25">
      <c r="A86" s="59">
        <v>43676</v>
      </c>
      <c r="B86" s="59" t="s">
        <v>256</v>
      </c>
      <c r="C86" s="59" t="s">
        <v>28</v>
      </c>
      <c r="D86" s="110" t="s">
        <v>28</v>
      </c>
      <c r="E86" s="60">
        <v>547</v>
      </c>
      <c r="F86" s="60">
        <v>35</v>
      </c>
      <c r="G86" s="156" t="s">
        <v>473</v>
      </c>
      <c r="H86" s="133" t="s">
        <v>676</v>
      </c>
      <c r="I86" s="110" t="s">
        <v>1058</v>
      </c>
      <c r="J86" s="110" t="s">
        <v>696</v>
      </c>
      <c r="K86" s="110" t="s">
        <v>252</v>
      </c>
      <c r="L86" s="110" t="s">
        <v>697</v>
      </c>
      <c r="M86" s="110" t="s">
        <v>698</v>
      </c>
      <c r="N86" s="110" t="s">
        <v>1059</v>
      </c>
      <c r="O86" s="208"/>
      <c r="P86" s="208"/>
      <c r="Q86" s="140">
        <f t="shared" si="11"/>
        <v>1</v>
      </c>
      <c r="R86" s="36"/>
      <c r="S86" s="5">
        <v>1</v>
      </c>
      <c r="T86" s="6"/>
      <c r="U86" s="50"/>
      <c r="V86" s="20"/>
      <c r="W86" s="129"/>
      <c r="X86" s="20"/>
      <c r="Y86" s="129"/>
      <c r="Z86" s="20"/>
      <c r="AA86" s="129"/>
      <c r="AB86" s="20"/>
      <c r="AC86" s="129"/>
      <c r="AD86" s="20"/>
      <c r="AE86" s="19"/>
      <c r="AF86" s="8"/>
      <c r="AG86" s="17"/>
      <c r="AH86" s="38"/>
      <c r="AI86" s="18"/>
      <c r="AJ86" s="131"/>
      <c r="AK86" s="131"/>
      <c r="AL86" s="37"/>
      <c r="AM86" s="110" t="s">
        <v>161</v>
      </c>
      <c r="AN86" s="110" t="s">
        <v>179</v>
      </c>
      <c r="AO86" s="110" t="s">
        <v>179</v>
      </c>
      <c r="AP86" s="110" t="s">
        <v>179</v>
      </c>
      <c r="AQ86" s="110" t="s">
        <v>179</v>
      </c>
      <c r="AR86" s="110" t="s">
        <v>179</v>
      </c>
      <c r="AS86" s="131" t="s">
        <v>179</v>
      </c>
      <c r="AT86" s="215" t="s">
        <v>180</v>
      </c>
      <c r="AU86" s="215" t="s">
        <v>180</v>
      </c>
      <c r="AV86" s="170" t="str">
        <f t="shared" si="10"/>
        <v>B</v>
      </c>
    </row>
    <row r="87" spans="1:55" ht="15" customHeight="1" x14ac:dyDescent="0.25">
      <c r="A87" s="59">
        <v>43677</v>
      </c>
      <c r="B87" s="59" t="s">
        <v>700</v>
      </c>
      <c r="C87" s="59" t="s">
        <v>27</v>
      </c>
      <c r="D87" s="110" t="s">
        <v>30</v>
      </c>
      <c r="E87" s="60">
        <v>549</v>
      </c>
      <c r="F87" s="172"/>
      <c r="G87" s="156" t="s">
        <v>8</v>
      </c>
      <c r="H87" s="133" t="s">
        <v>699</v>
      </c>
      <c r="I87" s="110" t="s">
        <v>706</v>
      </c>
      <c r="J87" s="110" t="s">
        <v>963</v>
      </c>
      <c r="K87" s="110" t="s">
        <v>7</v>
      </c>
      <c r="L87" s="110" t="s">
        <v>705</v>
      </c>
      <c r="M87" s="110" t="s">
        <v>707</v>
      </c>
      <c r="N87" s="110" t="s">
        <v>434</v>
      </c>
      <c r="O87" s="110">
        <v>577498</v>
      </c>
      <c r="P87" s="110">
        <v>4823459</v>
      </c>
      <c r="Q87" s="140">
        <f t="shared" si="11"/>
        <v>6</v>
      </c>
      <c r="R87" s="36">
        <v>3.5</v>
      </c>
      <c r="S87" s="5"/>
      <c r="T87" s="6">
        <v>2.1</v>
      </c>
      <c r="U87" s="50">
        <v>0.4</v>
      </c>
      <c r="V87" s="20"/>
      <c r="W87" s="129"/>
      <c r="X87" s="20"/>
      <c r="Y87" s="129"/>
      <c r="Z87" s="20"/>
      <c r="AA87" s="129"/>
      <c r="AB87" s="20"/>
      <c r="AC87" s="129"/>
      <c r="AD87" s="20"/>
      <c r="AE87" s="19"/>
      <c r="AF87" s="8"/>
      <c r="AG87" s="17"/>
      <c r="AH87" s="38"/>
      <c r="AI87" s="18"/>
      <c r="AJ87" s="131"/>
      <c r="AK87" s="131"/>
      <c r="AL87" s="37"/>
      <c r="AM87" s="111" t="s">
        <v>161</v>
      </c>
      <c r="AN87" s="111" t="s">
        <v>179</v>
      </c>
      <c r="AO87" s="111" t="s">
        <v>179</v>
      </c>
      <c r="AP87" s="111" t="s">
        <v>179</v>
      </c>
      <c r="AQ87" s="111" t="s">
        <v>179</v>
      </c>
      <c r="AR87" s="111" t="s">
        <v>179</v>
      </c>
      <c r="AS87" s="132" t="s">
        <v>179</v>
      </c>
      <c r="AT87" s="216" t="s">
        <v>180</v>
      </c>
      <c r="AU87" s="215" t="s">
        <v>180</v>
      </c>
      <c r="AV87" s="170" t="str">
        <f t="shared" si="10"/>
        <v>B</v>
      </c>
      <c r="AX87" s="42"/>
      <c r="AY87" s="42"/>
      <c r="AZ87" s="42"/>
      <c r="BA87" s="42"/>
      <c r="BB87" s="42"/>
      <c r="BC87" s="42"/>
    </row>
    <row r="88" spans="1:55" s="42" customFormat="1" ht="15" customHeight="1" x14ac:dyDescent="0.25">
      <c r="A88" s="59">
        <v>43678</v>
      </c>
      <c r="B88" s="59" t="s">
        <v>701</v>
      </c>
      <c r="C88" s="59" t="s">
        <v>28</v>
      </c>
      <c r="D88" s="110" t="s">
        <v>70</v>
      </c>
      <c r="E88" s="60">
        <v>550</v>
      </c>
      <c r="F88" s="60">
        <v>36</v>
      </c>
      <c r="G88" s="156" t="s">
        <v>246</v>
      </c>
      <c r="H88" s="133" t="s">
        <v>702</v>
      </c>
      <c r="I88" s="110" t="s">
        <v>706</v>
      </c>
      <c r="J88" s="110" t="s">
        <v>708</v>
      </c>
      <c r="K88" s="110" t="s">
        <v>7</v>
      </c>
      <c r="L88" s="110" t="s">
        <v>709</v>
      </c>
      <c r="M88" s="110" t="s">
        <v>714</v>
      </c>
      <c r="N88" s="110" t="s">
        <v>1098</v>
      </c>
      <c r="O88" s="227">
        <v>581974</v>
      </c>
      <c r="P88" s="227">
        <v>4827054</v>
      </c>
      <c r="Q88" s="140">
        <f t="shared" si="11"/>
        <v>106</v>
      </c>
      <c r="R88" s="36"/>
      <c r="S88" s="5"/>
      <c r="T88" s="6">
        <v>64</v>
      </c>
      <c r="U88" s="106"/>
      <c r="V88" s="20"/>
      <c r="W88" s="129"/>
      <c r="X88" s="20"/>
      <c r="Y88" s="129"/>
      <c r="Z88" s="20"/>
      <c r="AA88" s="129"/>
      <c r="AB88" s="20"/>
      <c r="AC88" s="129"/>
      <c r="AD88" s="20"/>
      <c r="AE88" s="19"/>
      <c r="AF88" s="8"/>
      <c r="AG88" s="17">
        <v>42</v>
      </c>
      <c r="AH88" s="38"/>
      <c r="AI88" s="18"/>
      <c r="AJ88" s="131" t="s">
        <v>301</v>
      </c>
      <c r="AK88" s="131"/>
      <c r="AL88" s="37"/>
      <c r="AM88" s="111" t="s">
        <v>161</v>
      </c>
      <c r="AN88" s="111" t="s">
        <v>179</v>
      </c>
      <c r="AO88" s="111" t="s">
        <v>179</v>
      </c>
      <c r="AP88" s="111" t="s">
        <v>179</v>
      </c>
      <c r="AQ88" s="111" t="s">
        <v>179</v>
      </c>
      <c r="AR88" s="111" t="s">
        <v>179</v>
      </c>
      <c r="AS88" s="132" t="s">
        <v>179</v>
      </c>
      <c r="AT88" s="216" t="s">
        <v>162</v>
      </c>
      <c r="AU88" s="215" t="s">
        <v>180</v>
      </c>
      <c r="AV88" s="170" t="str">
        <f t="shared" si="10"/>
        <v>D</v>
      </c>
      <c r="AW88" s="22"/>
    </row>
    <row r="89" spans="1:55" ht="15" customHeight="1" x14ac:dyDescent="0.25">
      <c r="A89" s="59">
        <v>43678</v>
      </c>
      <c r="B89" s="59" t="s">
        <v>703</v>
      </c>
      <c r="C89" s="59" t="s">
        <v>28</v>
      </c>
      <c r="D89" s="110" t="s">
        <v>70</v>
      </c>
      <c r="E89" s="60">
        <v>551</v>
      </c>
      <c r="F89" s="60">
        <v>37</v>
      </c>
      <c r="G89" s="156" t="s">
        <v>246</v>
      </c>
      <c r="H89" s="133" t="s">
        <v>704</v>
      </c>
      <c r="I89" s="110" t="s">
        <v>710</v>
      </c>
      <c r="J89" s="110"/>
      <c r="K89" s="110" t="s">
        <v>7</v>
      </c>
      <c r="L89" s="110" t="s">
        <v>711</v>
      </c>
      <c r="M89" s="110" t="s">
        <v>712</v>
      </c>
      <c r="N89" s="110" t="s">
        <v>713</v>
      </c>
      <c r="O89" s="254">
        <v>583954</v>
      </c>
      <c r="P89" s="254">
        <v>4826983</v>
      </c>
      <c r="Q89" s="140">
        <f t="shared" si="11"/>
        <v>0.1</v>
      </c>
      <c r="R89" s="36"/>
      <c r="S89" s="5"/>
      <c r="T89" s="6"/>
      <c r="U89" s="71"/>
      <c r="V89" s="20"/>
      <c r="W89" s="129"/>
      <c r="X89" s="20"/>
      <c r="Y89" s="129"/>
      <c r="Z89" s="20"/>
      <c r="AA89" s="129"/>
      <c r="AB89" s="20"/>
      <c r="AC89" s="129"/>
      <c r="AD89" s="20"/>
      <c r="AE89" s="19"/>
      <c r="AF89" s="8"/>
      <c r="AG89" s="17">
        <v>0.1</v>
      </c>
      <c r="AH89" s="38"/>
      <c r="AI89" s="18"/>
      <c r="AJ89" s="131" t="s">
        <v>301</v>
      </c>
      <c r="AK89" s="131"/>
      <c r="AL89" s="37"/>
      <c r="AM89" s="111" t="s">
        <v>161</v>
      </c>
      <c r="AN89" s="111" t="s">
        <v>179</v>
      </c>
      <c r="AO89" s="111" t="s">
        <v>179</v>
      </c>
      <c r="AP89" s="111" t="s">
        <v>179</v>
      </c>
      <c r="AQ89" s="111" t="s">
        <v>179</v>
      </c>
      <c r="AR89" s="111" t="s">
        <v>179</v>
      </c>
      <c r="AS89" s="132" t="s">
        <v>179</v>
      </c>
      <c r="AT89" s="216" t="s">
        <v>180</v>
      </c>
      <c r="AU89" s="215" t="s">
        <v>180</v>
      </c>
      <c r="AV89" s="170" t="str">
        <f t="shared" si="10"/>
        <v>A</v>
      </c>
      <c r="BB89" s="42"/>
    </row>
    <row r="90" spans="1:55" ht="15" customHeight="1" x14ac:dyDescent="0.25">
      <c r="A90" s="59">
        <v>43678</v>
      </c>
      <c r="B90" s="59" t="s">
        <v>715</v>
      </c>
      <c r="C90" s="59" t="s">
        <v>27</v>
      </c>
      <c r="D90" s="110" t="s">
        <v>79</v>
      </c>
      <c r="E90" s="60">
        <v>557</v>
      </c>
      <c r="F90" s="172"/>
      <c r="G90" s="156" t="s">
        <v>8</v>
      </c>
      <c r="H90" s="133" t="s">
        <v>716</v>
      </c>
      <c r="I90" s="110" t="s">
        <v>311</v>
      </c>
      <c r="J90" s="110" t="s">
        <v>652</v>
      </c>
      <c r="K90" s="110" t="s">
        <v>7</v>
      </c>
      <c r="L90" s="110" t="s">
        <v>717</v>
      </c>
      <c r="M90" s="110" t="s">
        <v>718</v>
      </c>
      <c r="N90" s="110" t="s">
        <v>719</v>
      </c>
      <c r="O90" s="110">
        <v>633108</v>
      </c>
      <c r="P90" s="110">
        <v>4757345</v>
      </c>
      <c r="Q90" s="140">
        <f t="shared" si="11"/>
        <v>1</v>
      </c>
      <c r="R90" s="36"/>
      <c r="S90" s="5"/>
      <c r="T90" s="6"/>
      <c r="U90" s="50"/>
      <c r="V90" s="20"/>
      <c r="W90" s="129"/>
      <c r="X90" s="20"/>
      <c r="Y90" s="129"/>
      <c r="Z90" s="20"/>
      <c r="AA90" s="129"/>
      <c r="AB90" s="20"/>
      <c r="AC90" s="129">
        <v>1</v>
      </c>
      <c r="AD90" s="20"/>
      <c r="AE90" s="19"/>
      <c r="AF90" s="8"/>
      <c r="AG90" s="17"/>
      <c r="AH90" s="38"/>
      <c r="AI90" s="18"/>
      <c r="AJ90" s="131"/>
      <c r="AK90" s="131"/>
      <c r="AL90" s="37"/>
      <c r="AM90" s="110" t="s">
        <v>226</v>
      </c>
      <c r="AN90" s="110" t="s">
        <v>179</v>
      </c>
      <c r="AO90" s="110" t="s">
        <v>179</v>
      </c>
      <c r="AP90" s="110" t="s">
        <v>179</v>
      </c>
      <c r="AQ90" s="110" t="s">
        <v>179</v>
      </c>
      <c r="AR90" s="110" t="s">
        <v>162</v>
      </c>
      <c r="AS90" s="131" t="s">
        <v>179</v>
      </c>
      <c r="AT90" s="215" t="s">
        <v>180</v>
      </c>
      <c r="AU90" s="215" t="s">
        <v>180</v>
      </c>
      <c r="AV90" s="170" t="str">
        <f t="shared" si="10"/>
        <v>B</v>
      </c>
    </row>
    <row r="91" spans="1:55" s="42" customFormat="1" ht="15" customHeight="1" x14ac:dyDescent="0.25">
      <c r="A91" s="59">
        <v>43679</v>
      </c>
      <c r="B91" s="59" t="s">
        <v>256</v>
      </c>
      <c r="C91" s="59" t="s">
        <v>28</v>
      </c>
      <c r="D91" s="110" t="s">
        <v>28</v>
      </c>
      <c r="E91" s="60">
        <v>560</v>
      </c>
      <c r="F91" s="60">
        <v>38</v>
      </c>
      <c r="G91" s="156" t="s">
        <v>473</v>
      </c>
      <c r="H91" s="133" t="s">
        <v>720</v>
      </c>
      <c r="I91" s="37" t="s">
        <v>1062</v>
      </c>
      <c r="J91" s="37" t="s">
        <v>1063</v>
      </c>
      <c r="K91" s="37" t="s">
        <v>252</v>
      </c>
      <c r="L91" s="37" t="s">
        <v>723</v>
      </c>
      <c r="M91" s="37" t="s">
        <v>1064</v>
      </c>
      <c r="N91" s="37" t="s">
        <v>1065</v>
      </c>
      <c r="O91" s="208"/>
      <c r="P91" s="208"/>
      <c r="Q91" s="140">
        <f t="shared" si="11"/>
        <v>1.7</v>
      </c>
      <c r="R91" s="36"/>
      <c r="S91" s="5">
        <v>1.7</v>
      </c>
      <c r="T91" s="6"/>
      <c r="U91" s="72"/>
      <c r="V91" s="20"/>
      <c r="W91" s="129"/>
      <c r="X91" s="20"/>
      <c r="Y91" s="129"/>
      <c r="Z91" s="20"/>
      <c r="AA91" s="129"/>
      <c r="AB91" s="20"/>
      <c r="AC91" s="129"/>
      <c r="AD91" s="20"/>
      <c r="AE91" s="19"/>
      <c r="AF91" s="8"/>
      <c r="AG91" s="17"/>
      <c r="AH91" s="38"/>
      <c r="AI91" s="18"/>
      <c r="AJ91" s="131"/>
      <c r="AK91" s="131"/>
      <c r="AL91" s="37"/>
      <c r="AM91" s="110" t="s">
        <v>415</v>
      </c>
      <c r="AN91" s="110" t="s">
        <v>179</v>
      </c>
      <c r="AO91" s="110" t="s">
        <v>179</v>
      </c>
      <c r="AP91" s="110" t="s">
        <v>179</v>
      </c>
      <c r="AQ91" s="110" t="s">
        <v>179</v>
      </c>
      <c r="AR91" s="110" t="s">
        <v>179</v>
      </c>
      <c r="AS91" s="131" t="s">
        <v>179</v>
      </c>
      <c r="AT91" s="215" t="s">
        <v>180</v>
      </c>
      <c r="AU91" s="215" t="s">
        <v>162</v>
      </c>
      <c r="AV91" s="170" t="str">
        <f t="shared" si="10"/>
        <v>B</v>
      </c>
      <c r="AW91" s="22"/>
      <c r="AX91" s="2"/>
      <c r="AY91" s="2"/>
      <c r="AZ91" s="2"/>
      <c r="BA91" s="2"/>
      <c r="BB91" s="2"/>
    </row>
    <row r="92" spans="1:55" ht="15" customHeight="1" x14ac:dyDescent="0.25">
      <c r="A92" s="59">
        <v>43679</v>
      </c>
      <c r="B92" s="59" t="s">
        <v>256</v>
      </c>
      <c r="C92" s="59" t="s">
        <v>28</v>
      </c>
      <c r="D92" s="110" t="s">
        <v>28</v>
      </c>
      <c r="E92" s="60">
        <v>561</v>
      </c>
      <c r="F92" s="60">
        <v>39</v>
      </c>
      <c r="G92" s="156" t="s">
        <v>277</v>
      </c>
      <c r="H92" s="133" t="s">
        <v>721</v>
      </c>
      <c r="I92" s="110" t="s">
        <v>1066</v>
      </c>
      <c r="J92" s="110" t="s">
        <v>746</v>
      </c>
      <c r="K92" s="110" t="s">
        <v>252</v>
      </c>
      <c r="L92" s="110" t="s">
        <v>1067</v>
      </c>
      <c r="M92" s="110" t="s">
        <v>758</v>
      </c>
      <c r="N92" s="110" t="s">
        <v>1068</v>
      </c>
      <c r="O92" s="208"/>
      <c r="P92" s="208"/>
      <c r="Q92" s="140">
        <f t="shared" si="11"/>
        <v>0.1</v>
      </c>
      <c r="R92" s="36"/>
      <c r="S92" s="5">
        <v>0.1</v>
      </c>
      <c r="T92" s="6"/>
      <c r="U92" s="50"/>
      <c r="V92" s="20"/>
      <c r="W92" s="129"/>
      <c r="X92" s="20"/>
      <c r="Y92" s="129"/>
      <c r="Z92" s="20"/>
      <c r="AA92" s="129"/>
      <c r="AB92" s="20"/>
      <c r="AC92" s="129"/>
      <c r="AD92" s="20"/>
      <c r="AE92" s="19"/>
      <c r="AF92" s="8"/>
      <c r="AG92" s="17"/>
      <c r="AH92" s="38"/>
      <c r="AI92" s="18"/>
      <c r="AJ92" s="131"/>
      <c r="AK92" s="131"/>
      <c r="AL92" s="37"/>
      <c r="AM92" s="110" t="s">
        <v>415</v>
      </c>
      <c r="AN92" s="110" t="s">
        <v>179</v>
      </c>
      <c r="AO92" s="110" t="s">
        <v>179</v>
      </c>
      <c r="AP92" s="110" t="s">
        <v>179</v>
      </c>
      <c r="AQ92" s="110" t="s">
        <v>179</v>
      </c>
      <c r="AR92" s="110" t="s">
        <v>179</v>
      </c>
      <c r="AS92" s="131" t="s">
        <v>179</v>
      </c>
      <c r="AT92" s="215" t="s">
        <v>180</v>
      </c>
      <c r="AU92" s="215" t="s">
        <v>180</v>
      </c>
      <c r="AV92" s="170" t="str">
        <f t="shared" si="10"/>
        <v>A</v>
      </c>
      <c r="BC92" s="42"/>
    </row>
    <row r="93" spans="1:55" s="42" customFormat="1" ht="15" customHeight="1" x14ac:dyDescent="0.25">
      <c r="A93" s="59">
        <v>43679</v>
      </c>
      <c r="B93" s="59" t="s">
        <v>256</v>
      </c>
      <c r="C93" s="59" t="s">
        <v>28</v>
      </c>
      <c r="D93" s="110" t="s">
        <v>28</v>
      </c>
      <c r="E93" s="60">
        <v>564</v>
      </c>
      <c r="F93" s="60">
        <v>40</v>
      </c>
      <c r="G93" s="156" t="s">
        <v>473</v>
      </c>
      <c r="H93" s="133" t="s">
        <v>722</v>
      </c>
      <c r="I93" s="110" t="s">
        <v>1069</v>
      </c>
      <c r="J93" s="110" t="s">
        <v>747</v>
      </c>
      <c r="K93" s="110" t="s">
        <v>252</v>
      </c>
      <c r="L93" s="110" t="s">
        <v>1070</v>
      </c>
      <c r="M93" s="110" t="s">
        <v>1071</v>
      </c>
      <c r="N93" s="110" t="s">
        <v>1072</v>
      </c>
      <c r="O93" s="208"/>
      <c r="P93" s="208"/>
      <c r="Q93" s="140">
        <f t="shared" si="11"/>
        <v>0.1</v>
      </c>
      <c r="R93" s="36"/>
      <c r="S93" s="5">
        <v>0.1</v>
      </c>
      <c r="T93" s="6"/>
      <c r="U93" s="57"/>
      <c r="V93" s="20"/>
      <c r="W93" s="129"/>
      <c r="X93" s="20"/>
      <c r="Y93" s="129"/>
      <c r="Z93" s="20"/>
      <c r="AA93" s="129"/>
      <c r="AB93" s="20"/>
      <c r="AC93" s="129"/>
      <c r="AD93" s="20"/>
      <c r="AE93" s="19"/>
      <c r="AF93" s="8"/>
      <c r="AG93" s="17"/>
      <c r="AH93" s="38"/>
      <c r="AI93" s="18"/>
      <c r="AJ93" s="131"/>
      <c r="AK93" s="131"/>
      <c r="AL93" s="37"/>
      <c r="AM93" s="111" t="s">
        <v>140</v>
      </c>
      <c r="AN93" s="111" t="s">
        <v>179</v>
      </c>
      <c r="AO93" s="111" t="s">
        <v>179</v>
      </c>
      <c r="AP93" s="111" t="s">
        <v>179</v>
      </c>
      <c r="AQ93" s="111" t="s">
        <v>179</v>
      </c>
      <c r="AR93" s="111" t="s">
        <v>179</v>
      </c>
      <c r="AS93" s="132" t="s">
        <v>179</v>
      </c>
      <c r="AT93" s="216" t="s">
        <v>180</v>
      </c>
      <c r="AU93" s="215" t="s">
        <v>162</v>
      </c>
      <c r="AV93" s="170" t="str">
        <f t="shared" si="10"/>
        <v>A</v>
      </c>
      <c r="AW93" s="22"/>
      <c r="AX93" s="2"/>
      <c r="AY93" s="2"/>
      <c r="AZ93" s="2"/>
      <c r="BA93" s="2"/>
      <c r="BB93" s="2"/>
      <c r="BC93" s="2"/>
    </row>
    <row r="94" spans="1:55" s="42" customFormat="1" ht="15" customHeight="1" x14ac:dyDescent="0.25">
      <c r="A94" s="59">
        <v>43679</v>
      </c>
      <c r="B94" s="59" t="s">
        <v>256</v>
      </c>
      <c r="C94" s="59" t="s">
        <v>28</v>
      </c>
      <c r="D94" s="110" t="s">
        <v>28</v>
      </c>
      <c r="E94" s="60">
        <v>565</v>
      </c>
      <c r="F94" s="60">
        <v>41</v>
      </c>
      <c r="G94" s="156" t="s">
        <v>473</v>
      </c>
      <c r="H94" s="133" t="s">
        <v>724</v>
      </c>
      <c r="I94" s="110" t="s">
        <v>765</v>
      </c>
      <c r="J94" s="110" t="s">
        <v>766</v>
      </c>
      <c r="K94" s="110" t="s">
        <v>252</v>
      </c>
      <c r="L94" s="110" t="s">
        <v>727</v>
      </c>
      <c r="M94" s="110" t="s">
        <v>759</v>
      </c>
      <c r="N94" s="110" t="s">
        <v>1073</v>
      </c>
      <c r="O94" s="208"/>
      <c r="P94" s="208"/>
      <c r="Q94" s="140">
        <f t="shared" si="11"/>
        <v>13</v>
      </c>
      <c r="R94" s="36"/>
      <c r="S94" s="5">
        <v>5</v>
      </c>
      <c r="T94" s="6"/>
      <c r="U94" s="94"/>
      <c r="V94" s="20"/>
      <c r="W94" s="129"/>
      <c r="X94" s="20"/>
      <c r="Y94" s="129"/>
      <c r="Z94" s="20"/>
      <c r="AA94" s="129"/>
      <c r="AB94" s="20"/>
      <c r="AC94" s="129"/>
      <c r="AD94" s="20"/>
      <c r="AE94" s="19"/>
      <c r="AF94" s="8"/>
      <c r="AG94" s="17"/>
      <c r="AH94" s="38"/>
      <c r="AI94" s="18">
        <v>8</v>
      </c>
      <c r="AJ94" s="131"/>
      <c r="AK94" s="131"/>
      <c r="AL94" s="37"/>
      <c r="AM94" s="111" t="s">
        <v>29</v>
      </c>
      <c r="AN94" s="111" t="s">
        <v>179</v>
      </c>
      <c r="AO94" s="111" t="s">
        <v>179</v>
      </c>
      <c r="AP94" s="111" t="s">
        <v>179</v>
      </c>
      <c r="AQ94" s="111" t="s">
        <v>179</v>
      </c>
      <c r="AR94" s="111" t="s">
        <v>179</v>
      </c>
      <c r="AS94" s="132" t="s">
        <v>179</v>
      </c>
      <c r="AT94" s="216" t="s">
        <v>180</v>
      </c>
      <c r="AU94" s="215" t="s">
        <v>162</v>
      </c>
      <c r="AV94" s="170" t="str">
        <f t="shared" si="10"/>
        <v>C</v>
      </c>
      <c r="AW94" s="22"/>
      <c r="AX94" s="2"/>
      <c r="AY94" s="2"/>
      <c r="AZ94" s="2"/>
      <c r="BA94" s="2"/>
      <c r="BB94" s="2"/>
      <c r="BC94" s="2"/>
    </row>
    <row r="95" spans="1:55" ht="15" customHeight="1" x14ac:dyDescent="0.25">
      <c r="A95" s="59">
        <v>43679</v>
      </c>
      <c r="B95" s="59" t="s">
        <v>726</v>
      </c>
      <c r="C95" s="59" t="s">
        <v>27</v>
      </c>
      <c r="D95" s="110" t="s">
        <v>27</v>
      </c>
      <c r="E95" s="60">
        <v>569</v>
      </c>
      <c r="F95" s="172"/>
      <c r="G95" s="156" t="s">
        <v>8</v>
      </c>
      <c r="H95" s="133" t="s">
        <v>725</v>
      </c>
      <c r="I95" s="110" t="s">
        <v>740</v>
      </c>
      <c r="J95" s="110"/>
      <c r="K95" s="110" t="s">
        <v>7</v>
      </c>
      <c r="L95" s="110" t="s">
        <v>728</v>
      </c>
      <c r="M95" s="110" t="s">
        <v>738</v>
      </c>
      <c r="N95" s="110" t="s">
        <v>739</v>
      </c>
      <c r="O95" s="110">
        <v>509704</v>
      </c>
      <c r="P95" s="110">
        <v>4853759</v>
      </c>
      <c r="Q95" s="140">
        <f t="shared" si="11"/>
        <v>0.1</v>
      </c>
      <c r="R95" s="36">
        <v>0.1</v>
      </c>
      <c r="S95" s="5"/>
      <c r="T95" s="6"/>
      <c r="U95" s="50"/>
      <c r="V95" s="20"/>
      <c r="W95" s="129"/>
      <c r="X95" s="20"/>
      <c r="Y95" s="129"/>
      <c r="Z95" s="20"/>
      <c r="AA95" s="129"/>
      <c r="AB95" s="20"/>
      <c r="AC95" s="129"/>
      <c r="AD95" s="20"/>
      <c r="AE95" s="19"/>
      <c r="AF95" s="8"/>
      <c r="AG95" s="17"/>
      <c r="AH95" s="38"/>
      <c r="AI95" s="18"/>
      <c r="AJ95" s="131"/>
      <c r="AK95" s="131"/>
      <c r="AL95" s="37"/>
      <c r="AM95" s="110" t="s">
        <v>161</v>
      </c>
      <c r="AN95" s="110" t="s">
        <v>179</v>
      </c>
      <c r="AO95" s="110" t="s">
        <v>179</v>
      </c>
      <c r="AP95" s="110" t="s">
        <v>179</v>
      </c>
      <c r="AQ95" s="110" t="s">
        <v>179</v>
      </c>
      <c r="AR95" s="110" t="s">
        <v>162</v>
      </c>
      <c r="AS95" s="131" t="s">
        <v>179</v>
      </c>
      <c r="AT95" s="215" t="s">
        <v>180</v>
      </c>
      <c r="AU95" s="215" t="s">
        <v>180</v>
      </c>
      <c r="AV95" s="170" t="str">
        <f t="shared" si="10"/>
        <v>A</v>
      </c>
    </row>
    <row r="96" spans="1:55" ht="15" customHeight="1" x14ac:dyDescent="0.25">
      <c r="A96" s="59">
        <v>43680</v>
      </c>
      <c r="B96" s="59" t="s">
        <v>256</v>
      </c>
      <c r="C96" s="59" t="s">
        <v>28</v>
      </c>
      <c r="D96" s="110" t="s">
        <v>28</v>
      </c>
      <c r="E96" s="60">
        <v>571</v>
      </c>
      <c r="F96" s="60">
        <v>42</v>
      </c>
      <c r="G96" s="156" t="s">
        <v>473</v>
      </c>
      <c r="H96" s="133" t="s">
        <v>729</v>
      </c>
      <c r="I96" s="110" t="s">
        <v>804</v>
      </c>
      <c r="J96" s="110" t="s">
        <v>764</v>
      </c>
      <c r="K96" s="110" t="s">
        <v>252</v>
      </c>
      <c r="L96" s="110" t="s">
        <v>730</v>
      </c>
      <c r="M96" s="110" t="s">
        <v>753</v>
      </c>
      <c r="N96" s="110" t="s">
        <v>1074</v>
      </c>
      <c r="O96" s="208"/>
      <c r="P96" s="208"/>
      <c r="Q96" s="140">
        <f t="shared" si="11"/>
        <v>1.2</v>
      </c>
      <c r="R96" s="36"/>
      <c r="S96" s="5">
        <v>1.2</v>
      </c>
      <c r="T96" s="6"/>
      <c r="U96" s="55"/>
      <c r="V96" s="20"/>
      <c r="W96" s="129"/>
      <c r="X96" s="20"/>
      <c r="Y96" s="129"/>
      <c r="Z96" s="20"/>
      <c r="AA96" s="129"/>
      <c r="AB96" s="20"/>
      <c r="AC96" s="129"/>
      <c r="AD96" s="20"/>
      <c r="AE96" s="19"/>
      <c r="AF96" s="8"/>
      <c r="AG96" s="17"/>
      <c r="AH96" s="38"/>
      <c r="AI96" s="18"/>
      <c r="AJ96" s="131"/>
      <c r="AK96" s="131"/>
      <c r="AL96" s="37"/>
      <c r="AM96" s="111" t="s">
        <v>140</v>
      </c>
      <c r="AN96" s="111" t="s">
        <v>179</v>
      </c>
      <c r="AO96" s="111" t="s">
        <v>179</v>
      </c>
      <c r="AP96" s="111" t="s">
        <v>179</v>
      </c>
      <c r="AQ96" s="111" t="s">
        <v>179</v>
      </c>
      <c r="AR96" s="111" t="s">
        <v>179</v>
      </c>
      <c r="AS96" s="132" t="s">
        <v>179</v>
      </c>
      <c r="AT96" s="216" t="s">
        <v>180</v>
      </c>
      <c r="AU96" s="215" t="s">
        <v>180</v>
      </c>
      <c r="AV96" s="170" t="str">
        <f t="shared" si="10"/>
        <v>B</v>
      </c>
    </row>
    <row r="97" spans="1:55" ht="15" customHeight="1" x14ac:dyDescent="0.25">
      <c r="A97" s="59">
        <v>43680</v>
      </c>
      <c r="B97" s="59" t="s">
        <v>256</v>
      </c>
      <c r="C97" s="59" t="s">
        <v>28</v>
      </c>
      <c r="D97" s="110" t="s">
        <v>28</v>
      </c>
      <c r="E97" s="60">
        <v>572</v>
      </c>
      <c r="F97" s="60">
        <v>43</v>
      </c>
      <c r="G97" s="156" t="s">
        <v>473</v>
      </c>
      <c r="H97" s="133" t="s">
        <v>731</v>
      </c>
      <c r="I97" s="110" t="s">
        <v>642</v>
      </c>
      <c r="J97" s="110" t="s">
        <v>732</v>
      </c>
      <c r="K97" s="110" t="s">
        <v>252</v>
      </c>
      <c r="L97" s="110" t="s">
        <v>733</v>
      </c>
      <c r="M97" s="110" t="s">
        <v>760</v>
      </c>
      <c r="N97" s="110" t="s">
        <v>761</v>
      </c>
      <c r="O97" s="208"/>
      <c r="P97" s="208"/>
      <c r="Q97" s="140">
        <f t="shared" si="11"/>
        <v>4</v>
      </c>
      <c r="R97" s="36"/>
      <c r="S97" s="5">
        <v>4</v>
      </c>
      <c r="T97" s="6"/>
      <c r="U97" s="57"/>
      <c r="V97" s="20"/>
      <c r="W97" s="129"/>
      <c r="X97" s="20"/>
      <c r="Y97" s="129"/>
      <c r="Z97" s="20"/>
      <c r="AA97" s="129"/>
      <c r="AB97" s="20"/>
      <c r="AC97" s="129"/>
      <c r="AD97" s="20"/>
      <c r="AE97" s="19"/>
      <c r="AF97" s="8"/>
      <c r="AG97" s="17"/>
      <c r="AH97" s="38"/>
      <c r="AI97" s="18"/>
      <c r="AJ97" s="131"/>
      <c r="AK97" s="131"/>
      <c r="AL97" s="37"/>
      <c r="AM97" s="110" t="s">
        <v>415</v>
      </c>
      <c r="AN97" s="110" t="s">
        <v>179</v>
      </c>
      <c r="AO97" s="110" t="s">
        <v>179</v>
      </c>
      <c r="AP97" s="110" t="s">
        <v>179</v>
      </c>
      <c r="AQ97" s="110" t="s">
        <v>179</v>
      </c>
      <c r="AR97" s="110" t="s">
        <v>179</v>
      </c>
      <c r="AS97" s="131" t="s">
        <v>179</v>
      </c>
      <c r="AT97" s="215" t="s">
        <v>180</v>
      </c>
      <c r="AU97" s="215" t="s">
        <v>162</v>
      </c>
      <c r="AV97" s="170" t="str">
        <f t="shared" si="10"/>
        <v>B</v>
      </c>
    </row>
    <row r="98" spans="1:55" ht="15" customHeight="1" x14ac:dyDescent="0.25">
      <c r="A98" s="59">
        <v>43680</v>
      </c>
      <c r="B98" s="59" t="s">
        <v>741</v>
      </c>
      <c r="C98" s="59" t="s">
        <v>27</v>
      </c>
      <c r="D98" s="110" t="s">
        <v>27</v>
      </c>
      <c r="E98" s="60">
        <v>578</v>
      </c>
      <c r="F98" s="172"/>
      <c r="G98" s="156" t="s">
        <v>216</v>
      </c>
      <c r="H98" s="133" t="s">
        <v>742</v>
      </c>
      <c r="I98" s="110" t="s">
        <v>362</v>
      </c>
      <c r="J98" s="110"/>
      <c r="K98" s="110" t="s">
        <v>7</v>
      </c>
      <c r="L98" s="110" t="s">
        <v>743</v>
      </c>
      <c r="M98" s="110" t="s">
        <v>1082</v>
      </c>
      <c r="N98" s="110" t="s">
        <v>1083</v>
      </c>
      <c r="O98" s="227">
        <v>586386</v>
      </c>
      <c r="P98" s="227">
        <v>4770286</v>
      </c>
      <c r="Q98" s="140">
        <f t="shared" si="11"/>
        <v>285</v>
      </c>
      <c r="R98" s="7">
        <v>274</v>
      </c>
      <c r="S98" s="5"/>
      <c r="T98" s="6"/>
      <c r="U98" s="89"/>
      <c r="V98" s="20"/>
      <c r="W98" s="131"/>
      <c r="X98" s="20"/>
      <c r="Y98" s="131"/>
      <c r="Z98" s="20"/>
      <c r="AA98" s="131"/>
      <c r="AB98" s="20"/>
      <c r="AC98" s="131">
        <v>11</v>
      </c>
      <c r="AD98" s="20"/>
      <c r="AE98" s="19"/>
      <c r="AF98" s="8"/>
      <c r="AG98" s="17"/>
      <c r="AH98" s="38"/>
      <c r="AI98" s="18"/>
      <c r="AJ98" s="131"/>
      <c r="AK98" s="131" t="s">
        <v>301</v>
      </c>
      <c r="AL98" s="131"/>
      <c r="AM98" s="110" t="s">
        <v>161</v>
      </c>
      <c r="AN98" s="110" t="s">
        <v>179</v>
      </c>
      <c r="AO98" s="110" t="s">
        <v>179</v>
      </c>
      <c r="AP98" s="110" t="s">
        <v>179</v>
      </c>
      <c r="AQ98" s="110" t="s">
        <v>179</v>
      </c>
      <c r="AR98" s="110" t="s">
        <v>179</v>
      </c>
      <c r="AS98" s="131" t="s">
        <v>179</v>
      </c>
      <c r="AT98" s="215" t="s">
        <v>162</v>
      </c>
      <c r="AU98" s="215" t="s">
        <v>180</v>
      </c>
      <c r="AV98" s="170" t="str">
        <f t="shared" si="10"/>
        <v>D</v>
      </c>
    </row>
    <row r="99" spans="1:55" ht="15" customHeight="1" x14ac:dyDescent="0.25">
      <c r="A99" s="59">
        <v>43680</v>
      </c>
      <c r="B99" s="59" t="s">
        <v>757</v>
      </c>
      <c r="C99" s="59" t="s">
        <v>28</v>
      </c>
      <c r="D99" s="110" t="s">
        <v>28</v>
      </c>
      <c r="E99" s="60">
        <v>580</v>
      </c>
      <c r="F99" s="60">
        <v>44</v>
      </c>
      <c r="G99" s="156" t="s">
        <v>473</v>
      </c>
      <c r="H99" s="133" t="s">
        <v>748</v>
      </c>
      <c r="I99" s="110" t="s">
        <v>442</v>
      </c>
      <c r="J99" s="110" t="s">
        <v>443</v>
      </c>
      <c r="K99" s="110" t="s">
        <v>7</v>
      </c>
      <c r="L99" s="110" t="s">
        <v>744</v>
      </c>
      <c r="M99" s="110" t="s">
        <v>762</v>
      </c>
      <c r="N99" s="110" t="s">
        <v>441</v>
      </c>
      <c r="O99" s="208"/>
      <c r="P99" s="208"/>
      <c r="Q99" s="140">
        <f t="shared" si="11"/>
        <v>0.1</v>
      </c>
      <c r="R99" s="36"/>
      <c r="S99" s="5">
        <v>0.1</v>
      </c>
      <c r="T99" s="6"/>
      <c r="U99" s="50"/>
      <c r="V99" s="20"/>
      <c r="W99" s="129"/>
      <c r="X99" s="20"/>
      <c r="Y99" s="129"/>
      <c r="Z99" s="20"/>
      <c r="AA99" s="129"/>
      <c r="AB99" s="20"/>
      <c r="AC99" s="129"/>
      <c r="AD99" s="20"/>
      <c r="AE99" s="19"/>
      <c r="AF99" s="8"/>
      <c r="AG99" s="17"/>
      <c r="AH99" s="38"/>
      <c r="AI99" s="18"/>
      <c r="AJ99" s="131"/>
      <c r="AK99" s="131"/>
      <c r="AL99" s="37"/>
      <c r="AM99" s="110" t="s">
        <v>140</v>
      </c>
      <c r="AN99" s="110" t="s">
        <v>179</v>
      </c>
      <c r="AO99" s="110" t="s">
        <v>179</v>
      </c>
      <c r="AP99" s="110" t="s">
        <v>179</v>
      </c>
      <c r="AQ99" s="110" t="s">
        <v>179</v>
      </c>
      <c r="AR99" s="110" t="s">
        <v>179</v>
      </c>
      <c r="AS99" s="131" t="s">
        <v>179</v>
      </c>
      <c r="AT99" s="215" t="s">
        <v>180</v>
      </c>
      <c r="AU99" s="215" t="s">
        <v>180</v>
      </c>
      <c r="AV99" s="170" t="str">
        <f t="shared" si="10"/>
        <v>A</v>
      </c>
    </row>
    <row r="100" spans="1:55" ht="15" customHeight="1" x14ac:dyDescent="0.25">
      <c r="A100" s="59">
        <v>43680</v>
      </c>
      <c r="B100" s="59" t="s">
        <v>751</v>
      </c>
      <c r="C100" s="59" t="s">
        <v>28</v>
      </c>
      <c r="D100" s="110" t="s">
        <v>28</v>
      </c>
      <c r="E100" s="60">
        <v>581</v>
      </c>
      <c r="F100" s="60">
        <v>45</v>
      </c>
      <c r="G100" s="156" t="s">
        <v>473</v>
      </c>
      <c r="H100" s="133" t="s">
        <v>749</v>
      </c>
      <c r="I100" s="110" t="s">
        <v>529</v>
      </c>
      <c r="J100" s="110" t="s">
        <v>884</v>
      </c>
      <c r="K100" s="110" t="s">
        <v>7</v>
      </c>
      <c r="L100" s="110" t="s">
        <v>745</v>
      </c>
      <c r="M100" s="110" t="s">
        <v>1099</v>
      </c>
      <c r="N100" s="110" t="s">
        <v>1100</v>
      </c>
      <c r="O100" s="208"/>
      <c r="P100" s="208"/>
      <c r="Q100" s="140">
        <f t="shared" si="11"/>
        <v>1.7</v>
      </c>
      <c r="R100" s="36"/>
      <c r="S100" s="5">
        <v>1.7</v>
      </c>
      <c r="T100" s="6"/>
      <c r="U100" s="50"/>
      <c r="V100" s="20"/>
      <c r="W100" s="129"/>
      <c r="X100" s="20"/>
      <c r="Y100" s="129"/>
      <c r="Z100" s="20"/>
      <c r="AA100" s="129"/>
      <c r="AB100" s="20"/>
      <c r="AC100" s="129"/>
      <c r="AD100" s="20"/>
      <c r="AE100" s="19"/>
      <c r="AF100" s="8"/>
      <c r="AG100" s="17"/>
      <c r="AH100" s="38"/>
      <c r="AI100" s="18"/>
      <c r="AJ100" s="131"/>
      <c r="AK100" s="131"/>
      <c r="AL100" s="37" t="s">
        <v>301</v>
      </c>
      <c r="AM100" s="110" t="s">
        <v>140</v>
      </c>
      <c r="AN100" s="110" t="s">
        <v>179</v>
      </c>
      <c r="AO100" s="110" t="s">
        <v>179</v>
      </c>
      <c r="AP100" s="110" t="s">
        <v>179</v>
      </c>
      <c r="AQ100" s="110" t="s">
        <v>179</v>
      </c>
      <c r="AR100" s="110" t="s">
        <v>179</v>
      </c>
      <c r="AS100" s="131" t="s">
        <v>179</v>
      </c>
      <c r="AT100" s="215" t="s">
        <v>180</v>
      </c>
      <c r="AU100" s="215" t="s">
        <v>180</v>
      </c>
      <c r="AV100" s="170" t="str">
        <f t="shared" si="10"/>
        <v>B</v>
      </c>
    </row>
    <row r="101" spans="1:55" ht="15" customHeight="1" x14ac:dyDescent="0.25">
      <c r="A101" s="59">
        <v>43680</v>
      </c>
      <c r="B101" s="59" t="s">
        <v>752</v>
      </c>
      <c r="C101" s="59" t="s">
        <v>28</v>
      </c>
      <c r="D101" s="110" t="s">
        <v>28</v>
      </c>
      <c r="E101" s="60">
        <v>583</v>
      </c>
      <c r="F101" s="228">
        <v>46</v>
      </c>
      <c r="G101" s="156" t="s">
        <v>473</v>
      </c>
      <c r="H101" s="133" t="s">
        <v>750</v>
      </c>
      <c r="I101" s="110" t="s">
        <v>754</v>
      </c>
      <c r="J101" s="110"/>
      <c r="K101" s="110" t="s">
        <v>7</v>
      </c>
      <c r="L101" s="110" t="s">
        <v>755</v>
      </c>
      <c r="M101" s="110" t="s">
        <v>756</v>
      </c>
      <c r="N101" s="110" t="s">
        <v>763</v>
      </c>
      <c r="O101" s="208"/>
      <c r="P101" s="208"/>
      <c r="Q101" s="140">
        <f t="shared" si="11"/>
        <v>0.1</v>
      </c>
      <c r="R101" s="7"/>
      <c r="S101" s="5">
        <v>0.1</v>
      </c>
      <c r="T101" s="6"/>
      <c r="U101" s="89"/>
      <c r="V101" s="20"/>
      <c r="W101" s="131"/>
      <c r="X101" s="20"/>
      <c r="Y101" s="131"/>
      <c r="Z101" s="20"/>
      <c r="AA101" s="131"/>
      <c r="AB101" s="20"/>
      <c r="AC101" s="131"/>
      <c r="AD101" s="20"/>
      <c r="AE101" s="19"/>
      <c r="AF101" s="8"/>
      <c r="AG101" s="17"/>
      <c r="AH101" s="38"/>
      <c r="AI101" s="18"/>
      <c r="AJ101" s="131"/>
      <c r="AK101" s="131"/>
      <c r="AL101" s="131"/>
      <c r="AM101" s="110" t="s">
        <v>161</v>
      </c>
      <c r="AN101" s="110" t="s">
        <v>179</v>
      </c>
      <c r="AO101" s="110" t="s">
        <v>179</v>
      </c>
      <c r="AP101" s="110" t="s">
        <v>179</v>
      </c>
      <c r="AQ101" s="110" t="s">
        <v>179</v>
      </c>
      <c r="AR101" s="110" t="s">
        <v>179</v>
      </c>
      <c r="AS101" s="131" t="s">
        <v>179</v>
      </c>
      <c r="AT101" s="215" t="s">
        <v>180</v>
      </c>
      <c r="AU101" s="215" t="s">
        <v>180</v>
      </c>
      <c r="AV101" s="170" t="str">
        <f t="shared" si="10"/>
        <v>A</v>
      </c>
    </row>
    <row r="102" spans="1:55" ht="16.5" customHeight="1" x14ac:dyDescent="0.25">
      <c r="A102" s="59">
        <v>43682</v>
      </c>
      <c r="B102" s="59" t="s">
        <v>767</v>
      </c>
      <c r="C102" s="59" t="s">
        <v>27</v>
      </c>
      <c r="D102" s="110" t="s">
        <v>30</v>
      </c>
      <c r="E102" s="60">
        <v>596</v>
      </c>
      <c r="F102" s="172"/>
      <c r="G102" s="156" t="s">
        <v>216</v>
      </c>
      <c r="H102" s="133" t="s">
        <v>768</v>
      </c>
      <c r="I102" s="110" t="s">
        <v>769</v>
      </c>
      <c r="J102" s="110"/>
      <c r="K102" s="110" t="s">
        <v>7</v>
      </c>
      <c r="L102" s="110" t="s">
        <v>770</v>
      </c>
      <c r="M102" s="110" t="s">
        <v>771</v>
      </c>
      <c r="N102" s="110" t="s">
        <v>1084</v>
      </c>
      <c r="O102" s="110">
        <v>558278</v>
      </c>
      <c r="P102" s="110">
        <v>4793979</v>
      </c>
      <c r="Q102" s="140">
        <f t="shared" si="11"/>
        <v>3</v>
      </c>
      <c r="R102" s="36"/>
      <c r="S102" s="5"/>
      <c r="T102" s="6">
        <v>3</v>
      </c>
      <c r="U102" s="50"/>
      <c r="V102" s="20"/>
      <c r="W102" s="129"/>
      <c r="X102" s="20"/>
      <c r="Y102" s="129"/>
      <c r="Z102" s="20"/>
      <c r="AA102" s="129"/>
      <c r="AB102" s="20"/>
      <c r="AC102" s="129"/>
      <c r="AD102" s="20"/>
      <c r="AE102" s="19"/>
      <c r="AF102" s="8"/>
      <c r="AG102" s="17"/>
      <c r="AH102" s="38"/>
      <c r="AI102" s="18"/>
      <c r="AJ102" s="131"/>
      <c r="AK102" s="131"/>
      <c r="AL102" s="37"/>
      <c r="AM102" s="110" t="s">
        <v>29</v>
      </c>
      <c r="AN102" s="110" t="s">
        <v>179</v>
      </c>
      <c r="AO102" s="110" t="s">
        <v>179</v>
      </c>
      <c r="AP102" s="110" t="s">
        <v>179</v>
      </c>
      <c r="AQ102" s="110" t="s">
        <v>179</v>
      </c>
      <c r="AR102" s="110" t="s">
        <v>162</v>
      </c>
      <c r="AS102" s="131" t="s">
        <v>179</v>
      </c>
      <c r="AT102" s="215" t="s">
        <v>180</v>
      </c>
      <c r="AU102" s="215" t="s">
        <v>180</v>
      </c>
      <c r="AV102" s="170" t="str">
        <f t="shared" si="10"/>
        <v>B</v>
      </c>
    </row>
    <row r="103" spans="1:55" ht="16.5" customHeight="1" x14ac:dyDescent="0.25">
      <c r="A103" s="59">
        <v>43685</v>
      </c>
      <c r="B103" s="59" t="s">
        <v>805</v>
      </c>
      <c r="C103" s="59" t="s">
        <v>27</v>
      </c>
      <c r="D103" s="110" t="s">
        <v>27</v>
      </c>
      <c r="E103" s="60">
        <v>615</v>
      </c>
      <c r="F103" s="172"/>
      <c r="G103" s="156" t="s">
        <v>8</v>
      </c>
      <c r="H103" s="133" t="s">
        <v>806</v>
      </c>
      <c r="I103" s="110" t="s">
        <v>292</v>
      </c>
      <c r="J103" s="110"/>
      <c r="K103" s="110" t="s">
        <v>7</v>
      </c>
      <c r="L103" s="110" t="s">
        <v>807</v>
      </c>
      <c r="M103" s="110" t="s">
        <v>808</v>
      </c>
      <c r="N103" s="110" t="s">
        <v>809</v>
      </c>
      <c r="O103" s="110">
        <v>565122</v>
      </c>
      <c r="P103" s="110">
        <v>4809604</v>
      </c>
      <c r="Q103" s="140">
        <f t="shared" si="11"/>
        <v>329</v>
      </c>
      <c r="R103" s="36">
        <v>118</v>
      </c>
      <c r="S103" s="5"/>
      <c r="T103" s="6"/>
      <c r="U103" s="50">
        <v>211</v>
      </c>
      <c r="V103" s="20"/>
      <c r="W103" s="129"/>
      <c r="X103" s="20"/>
      <c r="Y103" s="129"/>
      <c r="Z103" s="20"/>
      <c r="AA103" s="129"/>
      <c r="AB103" s="20"/>
      <c r="AC103" s="129"/>
      <c r="AD103" s="20"/>
      <c r="AE103" s="19"/>
      <c r="AF103" s="8"/>
      <c r="AG103" s="17"/>
      <c r="AH103" s="38"/>
      <c r="AI103" s="18"/>
      <c r="AJ103" s="131"/>
      <c r="AK103" s="131" t="s">
        <v>301</v>
      </c>
      <c r="AL103" s="37"/>
      <c r="AM103" s="110" t="s">
        <v>226</v>
      </c>
      <c r="AN103" s="110" t="s">
        <v>162</v>
      </c>
      <c r="AO103" s="110" t="s">
        <v>179</v>
      </c>
      <c r="AP103" s="110" t="s">
        <v>179</v>
      </c>
      <c r="AQ103" s="110" t="s">
        <v>179</v>
      </c>
      <c r="AR103" s="110" t="s">
        <v>162</v>
      </c>
      <c r="AS103" s="131" t="s">
        <v>179</v>
      </c>
      <c r="AT103" s="215" t="s">
        <v>162</v>
      </c>
      <c r="AU103" s="215" t="s">
        <v>162</v>
      </c>
      <c r="AV103" s="170" t="str">
        <f t="shared" si="10"/>
        <v>E</v>
      </c>
    </row>
    <row r="104" spans="1:55" ht="16.5" customHeight="1" x14ac:dyDescent="0.25">
      <c r="A104" s="59">
        <v>43686</v>
      </c>
      <c r="B104" s="59" t="s">
        <v>256</v>
      </c>
      <c r="C104" s="59" t="s">
        <v>28</v>
      </c>
      <c r="D104" s="110" t="s">
        <v>28</v>
      </c>
      <c r="E104" s="60">
        <v>620</v>
      </c>
      <c r="F104" s="60">
        <v>47</v>
      </c>
      <c r="G104" s="156" t="s">
        <v>221</v>
      </c>
      <c r="H104" s="133" t="s">
        <v>821</v>
      </c>
      <c r="I104" s="110" t="s">
        <v>642</v>
      </c>
      <c r="J104" s="110" t="s">
        <v>245</v>
      </c>
      <c r="K104" s="110" t="s">
        <v>252</v>
      </c>
      <c r="L104" s="110" t="s">
        <v>822</v>
      </c>
      <c r="M104" s="110" t="s">
        <v>1101</v>
      </c>
      <c r="N104" s="110" t="s">
        <v>1102</v>
      </c>
      <c r="O104" s="208"/>
      <c r="P104" s="208"/>
      <c r="Q104" s="140">
        <f t="shared" si="11"/>
        <v>0.1</v>
      </c>
      <c r="R104" s="36"/>
      <c r="S104" s="5">
        <v>0.1</v>
      </c>
      <c r="T104" s="6"/>
      <c r="U104" s="50"/>
      <c r="V104" s="20"/>
      <c r="W104" s="129"/>
      <c r="X104" s="20"/>
      <c r="Y104" s="129"/>
      <c r="Z104" s="20"/>
      <c r="AA104" s="129"/>
      <c r="AB104" s="20"/>
      <c r="AC104" s="129"/>
      <c r="AD104" s="20"/>
      <c r="AE104" s="19"/>
      <c r="AF104" s="8"/>
      <c r="AG104" s="17"/>
      <c r="AH104" s="38"/>
      <c r="AI104" s="18"/>
      <c r="AJ104" s="131"/>
      <c r="AK104" s="131"/>
      <c r="AL104" s="37"/>
      <c r="AM104" s="110" t="s">
        <v>161</v>
      </c>
      <c r="AN104" s="110" t="s">
        <v>179</v>
      </c>
      <c r="AO104" s="110" t="s">
        <v>179</v>
      </c>
      <c r="AP104" s="110" t="s">
        <v>179</v>
      </c>
      <c r="AQ104" s="110" t="s">
        <v>179</v>
      </c>
      <c r="AR104" s="110" t="s">
        <v>179</v>
      </c>
      <c r="AS104" s="131" t="s">
        <v>179</v>
      </c>
      <c r="AT104" s="215" t="s">
        <v>180</v>
      </c>
      <c r="AU104" s="215" t="s">
        <v>180</v>
      </c>
      <c r="AV104" s="170" t="str">
        <f t="shared" si="10"/>
        <v>A</v>
      </c>
    </row>
    <row r="105" spans="1:55" s="42" customFormat="1" ht="16.5" customHeight="1" x14ac:dyDescent="0.25">
      <c r="A105" s="59">
        <v>43686</v>
      </c>
      <c r="B105" s="59" t="s">
        <v>834</v>
      </c>
      <c r="C105" s="59" t="s">
        <v>27</v>
      </c>
      <c r="D105" s="110" t="s">
        <v>27</v>
      </c>
      <c r="E105" s="60">
        <v>623</v>
      </c>
      <c r="F105" s="172"/>
      <c r="G105" s="156" t="s">
        <v>295</v>
      </c>
      <c r="H105" s="133" t="s">
        <v>829</v>
      </c>
      <c r="I105" s="110" t="s">
        <v>302</v>
      </c>
      <c r="J105" s="110"/>
      <c r="K105" s="110" t="s">
        <v>252</v>
      </c>
      <c r="L105" s="110" t="s">
        <v>833</v>
      </c>
      <c r="M105" s="110" t="s">
        <v>1103</v>
      </c>
      <c r="N105" s="110" t="s">
        <v>1104</v>
      </c>
      <c r="O105" s="110">
        <v>588070</v>
      </c>
      <c r="P105" s="110">
        <v>4713802</v>
      </c>
      <c r="Q105" s="140">
        <f t="shared" si="11"/>
        <v>4</v>
      </c>
      <c r="R105" s="36">
        <v>4</v>
      </c>
      <c r="S105" s="5"/>
      <c r="T105" s="6"/>
      <c r="U105" s="72"/>
      <c r="V105" s="20"/>
      <c r="W105" s="129"/>
      <c r="X105" s="20"/>
      <c r="Y105" s="129"/>
      <c r="Z105" s="20"/>
      <c r="AA105" s="129"/>
      <c r="AB105" s="20"/>
      <c r="AC105" s="129"/>
      <c r="AD105" s="20"/>
      <c r="AE105" s="19"/>
      <c r="AF105" s="8"/>
      <c r="AG105" s="17"/>
      <c r="AH105" s="38"/>
      <c r="AI105" s="18"/>
      <c r="AJ105" s="131"/>
      <c r="AK105" s="131"/>
      <c r="AL105" s="37"/>
      <c r="AM105" s="110" t="s">
        <v>29</v>
      </c>
      <c r="AN105" s="110" t="s">
        <v>179</v>
      </c>
      <c r="AO105" s="110" t="s">
        <v>162</v>
      </c>
      <c r="AP105" s="110" t="s">
        <v>179</v>
      </c>
      <c r="AQ105" s="110" t="s">
        <v>179</v>
      </c>
      <c r="AR105" s="110" t="s">
        <v>179</v>
      </c>
      <c r="AS105" s="131" t="s">
        <v>179</v>
      </c>
      <c r="AT105" s="215" t="s">
        <v>162</v>
      </c>
      <c r="AU105" s="215" t="s">
        <v>180</v>
      </c>
      <c r="AV105" s="170" t="str">
        <f t="shared" si="10"/>
        <v>B</v>
      </c>
      <c r="AW105" s="22"/>
      <c r="AX105" s="2"/>
      <c r="AY105" s="2"/>
      <c r="AZ105" s="2"/>
      <c r="BA105" s="2"/>
      <c r="BB105" s="2"/>
      <c r="BC105" s="2"/>
    </row>
    <row r="106" spans="1:55" s="42" customFormat="1" ht="16.5" customHeight="1" x14ac:dyDescent="0.25">
      <c r="A106" s="59">
        <v>43686</v>
      </c>
      <c r="B106" s="59" t="s">
        <v>835</v>
      </c>
      <c r="C106" s="59" t="s">
        <v>27</v>
      </c>
      <c r="D106" s="110" t="s">
        <v>27</v>
      </c>
      <c r="E106" s="60">
        <v>624</v>
      </c>
      <c r="F106" s="172"/>
      <c r="G106" s="156" t="s">
        <v>295</v>
      </c>
      <c r="H106" s="133" t="s">
        <v>830</v>
      </c>
      <c r="I106" s="110" t="s">
        <v>832</v>
      </c>
      <c r="J106" s="110"/>
      <c r="K106" s="110" t="s">
        <v>252</v>
      </c>
      <c r="L106" s="110" t="s">
        <v>837</v>
      </c>
      <c r="M106" s="110" t="s">
        <v>838</v>
      </c>
      <c r="N106" s="110" t="s">
        <v>1303</v>
      </c>
      <c r="O106" s="110">
        <v>578093</v>
      </c>
      <c r="P106" s="110">
        <v>4729839</v>
      </c>
      <c r="Q106" s="140">
        <f t="shared" si="11"/>
        <v>0.3</v>
      </c>
      <c r="R106" s="36">
        <v>0.3</v>
      </c>
      <c r="S106" s="5"/>
      <c r="T106" s="6"/>
      <c r="U106" s="72"/>
      <c r="V106" s="20"/>
      <c r="W106" s="129"/>
      <c r="X106" s="20"/>
      <c r="Y106" s="129"/>
      <c r="Z106" s="20"/>
      <c r="AA106" s="129"/>
      <c r="AB106" s="20"/>
      <c r="AC106" s="129"/>
      <c r="AD106" s="20"/>
      <c r="AE106" s="19"/>
      <c r="AF106" s="8"/>
      <c r="AG106" s="17"/>
      <c r="AH106" s="38"/>
      <c r="AI106" s="18"/>
      <c r="AJ106" s="131"/>
      <c r="AK106" s="131"/>
      <c r="AL106" s="37"/>
      <c r="AM106" s="110" t="s">
        <v>29</v>
      </c>
      <c r="AN106" s="110" t="s">
        <v>179</v>
      </c>
      <c r="AO106" s="110" t="s">
        <v>179</v>
      </c>
      <c r="AP106" s="110" t="s">
        <v>179</v>
      </c>
      <c r="AQ106" s="110" t="s">
        <v>179</v>
      </c>
      <c r="AR106" s="110" t="s">
        <v>179</v>
      </c>
      <c r="AS106" s="131" t="s">
        <v>179</v>
      </c>
      <c r="AT106" s="215" t="s">
        <v>180</v>
      </c>
      <c r="AU106" s="215" t="s">
        <v>180</v>
      </c>
      <c r="AV106" s="170" t="str">
        <f t="shared" si="10"/>
        <v>B</v>
      </c>
      <c r="AW106" s="22"/>
      <c r="AX106" s="2"/>
      <c r="AY106" s="2"/>
      <c r="AZ106" s="2"/>
      <c r="BA106" s="2"/>
      <c r="BB106" s="2"/>
      <c r="BC106" s="2"/>
    </row>
    <row r="107" spans="1:55" ht="16.5" customHeight="1" x14ac:dyDescent="0.25">
      <c r="A107" s="59">
        <v>43686</v>
      </c>
      <c r="B107" s="59" t="s">
        <v>836</v>
      </c>
      <c r="C107" s="59" t="s">
        <v>27</v>
      </c>
      <c r="D107" s="110" t="s">
        <v>30</v>
      </c>
      <c r="E107" s="60">
        <v>625</v>
      </c>
      <c r="F107" s="172"/>
      <c r="G107" s="156" t="s">
        <v>8</v>
      </c>
      <c r="H107" s="133" t="s">
        <v>831</v>
      </c>
      <c r="I107" s="110" t="s">
        <v>405</v>
      </c>
      <c r="J107" s="110" t="s">
        <v>841</v>
      </c>
      <c r="K107" s="110" t="s">
        <v>252</v>
      </c>
      <c r="L107" s="110" t="s">
        <v>839</v>
      </c>
      <c r="M107" s="110" t="s">
        <v>840</v>
      </c>
      <c r="N107" s="110" t="s">
        <v>1105</v>
      </c>
      <c r="O107" s="110">
        <v>573414</v>
      </c>
      <c r="P107" s="110">
        <v>4799250</v>
      </c>
      <c r="Q107" s="208">
        <f t="shared" si="11"/>
        <v>8.6</v>
      </c>
      <c r="R107" s="36"/>
      <c r="S107" s="5"/>
      <c r="T107" s="6">
        <v>8.6</v>
      </c>
      <c r="U107" s="50"/>
      <c r="V107" s="20"/>
      <c r="W107" s="129"/>
      <c r="X107" s="20"/>
      <c r="Y107" s="129"/>
      <c r="Z107" s="20"/>
      <c r="AA107" s="129"/>
      <c r="AB107" s="20"/>
      <c r="AC107" s="129"/>
      <c r="AD107" s="20"/>
      <c r="AE107" s="19"/>
      <c r="AF107" s="8"/>
      <c r="AG107" s="17"/>
      <c r="AH107" s="38"/>
      <c r="AI107" s="18"/>
      <c r="AJ107" s="131"/>
      <c r="AK107" s="131"/>
      <c r="AL107" s="37"/>
      <c r="AM107" s="110" t="s">
        <v>29</v>
      </c>
      <c r="AN107" s="110" t="s">
        <v>179</v>
      </c>
      <c r="AO107" s="110" t="s">
        <v>179</v>
      </c>
      <c r="AP107" s="110" t="s">
        <v>179</v>
      </c>
      <c r="AQ107" s="110" t="s">
        <v>179</v>
      </c>
      <c r="AR107" s="110" t="s">
        <v>179</v>
      </c>
      <c r="AS107" s="131" t="s">
        <v>162</v>
      </c>
      <c r="AT107" s="215" t="s">
        <v>180</v>
      </c>
      <c r="AU107" s="215" t="s">
        <v>180</v>
      </c>
      <c r="AV107" s="170" t="str">
        <f t="shared" si="10"/>
        <v>B</v>
      </c>
    </row>
    <row r="108" spans="1:55" ht="16.5" customHeight="1" x14ac:dyDescent="0.25">
      <c r="A108" s="59">
        <v>43686</v>
      </c>
      <c r="B108" s="59" t="s">
        <v>256</v>
      </c>
      <c r="C108" s="59" t="s">
        <v>28</v>
      </c>
      <c r="D108" s="110" t="s">
        <v>82</v>
      </c>
      <c r="E108" s="60">
        <v>630</v>
      </c>
      <c r="F108" s="60">
        <v>48</v>
      </c>
      <c r="G108" s="156" t="s">
        <v>237</v>
      </c>
      <c r="H108" s="133" t="s">
        <v>22</v>
      </c>
      <c r="I108" s="110" t="s">
        <v>846</v>
      </c>
      <c r="J108" s="110" t="s">
        <v>847</v>
      </c>
      <c r="K108" s="110" t="s">
        <v>252</v>
      </c>
      <c r="L108" s="110" t="s">
        <v>848</v>
      </c>
      <c r="M108" s="110" t="s">
        <v>849</v>
      </c>
      <c r="N108" s="110" t="s">
        <v>1106</v>
      </c>
      <c r="O108" s="208"/>
      <c r="P108" s="208"/>
      <c r="Q108" s="208">
        <f t="shared" si="11"/>
        <v>0.1</v>
      </c>
      <c r="R108" s="36"/>
      <c r="S108" s="5"/>
      <c r="T108" s="6"/>
      <c r="U108" s="50"/>
      <c r="V108" s="20"/>
      <c r="W108" s="129"/>
      <c r="X108" s="20"/>
      <c r="Y108" s="129"/>
      <c r="Z108" s="20"/>
      <c r="AA108" s="129">
        <v>0.1</v>
      </c>
      <c r="AB108" s="20"/>
      <c r="AC108" s="129"/>
      <c r="AD108" s="20"/>
      <c r="AE108" s="19"/>
      <c r="AF108" s="8"/>
      <c r="AG108" s="17"/>
      <c r="AH108" s="38"/>
      <c r="AI108" s="18"/>
      <c r="AJ108" s="131"/>
      <c r="AK108" s="131"/>
      <c r="AL108" s="37"/>
      <c r="AM108" s="110" t="s">
        <v>161</v>
      </c>
      <c r="AN108" s="110" t="s">
        <v>179</v>
      </c>
      <c r="AO108" s="110" t="s">
        <v>179</v>
      </c>
      <c r="AP108" s="110" t="s">
        <v>179</v>
      </c>
      <c r="AQ108" s="110" t="s">
        <v>179</v>
      </c>
      <c r="AR108" s="110" t="s">
        <v>162</v>
      </c>
      <c r="AS108" s="131" t="s">
        <v>179</v>
      </c>
      <c r="AT108" s="215" t="s">
        <v>180</v>
      </c>
      <c r="AU108" s="215" t="s">
        <v>180</v>
      </c>
      <c r="AV108" s="170" t="str">
        <f t="shared" si="10"/>
        <v>A</v>
      </c>
    </row>
    <row r="109" spans="1:55" s="42" customFormat="1" ht="16.5" customHeight="1" x14ac:dyDescent="0.25">
      <c r="A109" s="59">
        <v>43686</v>
      </c>
      <c r="B109" s="59" t="s">
        <v>256</v>
      </c>
      <c r="C109" s="59" t="s">
        <v>28</v>
      </c>
      <c r="D109" s="110" t="s">
        <v>28</v>
      </c>
      <c r="E109" s="60">
        <v>631</v>
      </c>
      <c r="F109" s="60">
        <v>49</v>
      </c>
      <c r="G109" s="156" t="s">
        <v>473</v>
      </c>
      <c r="H109" s="133" t="s">
        <v>850</v>
      </c>
      <c r="I109" s="110" t="s">
        <v>851</v>
      </c>
      <c r="J109" s="110" t="s">
        <v>852</v>
      </c>
      <c r="K109" s="110" t="s">
        <v>252</v>
      </c>
      <c r="L109" s="110" t="s">
        <v>853</v>
      </c>
      <c r="M109" s="110" t="s">
        <v>1107</v>
      </c>
      <c r="N109" s="110" t="s">
        <v>1108</v>
      </c>
      <c r="O109" s="208"/>
      <c r="P109" s="208"/>
      <c r="Q109" s="208">
        <f t="shared" si="11"/>
        <v>0.1</v>
      </c>
      <c r="R109" s="36"/>
      <c r="S109" s="5">
        <v>0.1</v>
      </c>
      <c r="T109" s="6"/>
      <c r="U109" s="50"/>
      <c r="V109" s="20"/>
      <c r="W109" s="129"/>
      <c r="X109" s="20"/>
      <c r="Y109" s="129"/>
      <c r="Z109" s="20"/>
      <c r="AA109" s="129"/>
      <c r="AB109" s="20"/>
      <c r="AC109" s="129"/>
      <c r="AD109" s="20"/>
      <c r="AE109" s="19"/>
      <c r="AF109" s="8"/>
      <c r="AG109" s="17"/>
      <c r="AH109" s="38"/>
      <c r="AI109" s="18"/>
      <c r="AJ109" s="131"/>
      <c r="AK109" s="131"/>
      <c r="AL109" s="37"/>
      <c r="AM109" s="110" t="s">
        <v>415</v>
      </c>
      <c r="AN109" s="110" t="s">
        <v>179</v>
      </c>
      <c r="AO109" s="110" t="s">
        <v>179</v>
      </c>
      <c r="AP109" s="110" t="s">
        <v>179</v>
      </c>
      <c r="AQ109" s="110" t="s">
        <v>179</v>
      </c>
      <c r="AR109" s="110" t="s">
        <v>179</v>
      </c>
      <c r="AS109" s="131" t="s">
        <v>179</v>
      </c>
      <c r="AT109" s="215" t="s">
        <v>180</v>
      </c>
      <c r="AU109" s="215" t="s">
        <v>180</v>
      </c>
      <c r="AV109" s="170" t="str">
        <f t="shared" si="10"/>
        <v>A</v>
      </c>
      <c r="AW109" s="22"/>
      <c r="AX109" s="2"/>
      <c r="AY109" s="2"/>
      <c r="AZ109" s="2"/>
      <c r="BA109" s="2"/>
      <c r="BB109" s="2"/>
      <c r="BC109" s="2"/>
    </row>
    <row r="110" spans="1:55" s="42" customFormat="1" ht="16.5" customHeight="1" x14ac:dyDescent="0.25">
      <c r="A110" s="59">
        <v>43687</v>
      </c>
      <c r="B110" s="59" t="s">
        <v>256</v>
      </c>
      <c r="C110" s="59" t="s">
        <v>28</v>
      </c>
      <c r="D110" s="110" t="s">
        <v>28</v>
      </c>
      <c r="E110" s="60">
        <v>632</v>
      </c>
      <c r="F110" s="60">
        <v>50</v>
      </c>
      <c r="G110" s="156" t="s">
        <v>473</v>
      </c>
      <c r="H110" s="133" t="s">
        <v>872</v>
      </c>
      <c r="I110" s="110" t="s">
        <v>1110</v>
      </c>
      <c r="J110" s="110" t="s">
        <v>1109</v>
      </c>
      <c r="K110" s="110" t="s">
        <v>252</v>
      </c>
      <c r="L110" s="110" t="s">
        <v>869</v>
      </c>
      <c r="M110" s="110" t="s">
        <v>878</v>
      </c>
      <c r="N110" s="110" t="s">
        <v>1111</v>
      </c>
      <c r="O110" s="208"/>
      <c r="P110" s="208"/>
      <c r="Q110" s="208">
        <f t="shared" si="11"/>
        <v>0.1</v>
      </c>
      <c r="R110" s="36"/>
      <c r="S110" s="5">
        <v>0.1</v>
      </c>
      <c r="T110" s="6"/>
      <c r="U110" s="50"/>
      <c r="V110" s="20"/>
      <c r="W110" s="129"/>
      <c r="X110" s="20"/>
      <c r="Y110" s="129"/>
      <c r="Z110" s="20"/>
      <c r="AA110" s="129"/>
      <c r="AB110" s="20"/>
      <c r="AC110" s="129"/>
      <c r="AD110" s="20"/>
      <c r="AE110" s="19"/>
      <c r="AF110" s="8"/>
      <c r="AG110" s="17"/>
      <c r="AH110" s="38"/>
      <c r="AI110" s="18"/>
      <c r="AJ110" s="131"/>
      <c r="AK110" s="131"/>
      <c r="AL110" s="37"/>
      <c r="AM110" s="110" t="s">
        <v>415</v>
      </c>
      <c r="AN110" s="110" t="s">
        <v>179</v>
      </c>
      <c r="AO110" s="110" t="s">
        <v>179</v>
      </c>
      <c r="AP110" s="110" t="s">
        <v>179</v>
      </c>
      <c r="AQ110" s="110" t="s">
        <v>179</v>
      </c>
      <c r="AR110" s="110" t="s">
        <v>179</v>
      </c>
      <c r="AS110" s="131" t="s">
        <v>179</v>
      </c>
      <c r="AT110" s="215" t="s">
        <v>179</v>
      </c>
      <c r="AU110" s="215" t="s">
        <v>180</v>
      </c>
      <c r="AV110" s="170" t="str">
        <f t="shared" si="10"/>
        <v>A</v>
      </c>
      <c r="AW110" s="22"/>
      <c r="AX110" s="2"/>
      <c r="AY110" s="2"/>
      <c r="AZ110" s="2"/>
      <c r="BA110" s="2"/>
      <c r="BB110" s="2"/>
      <c r="BC110" s="2"/>
    </row>
    <row r="111" spans="1:55" ht="15" customHeight="1" x14ac:dyDescent="0.25">
      <c r="A111" s="59">
        <v>43687</v>
      </c>
      <c r="B111" s="59" t="s">
        <v>256</v>
      </c>
      <c r="C111" s="59" t="s">
        <v>28</v>
      </c>
      <c r="D111" s="110" t="s">
        <v>82</v>
      </c>
      <c r="E111" s="60">
        <v>633</v>
      </c>
      <c r="F111" s="60">
        <v>51</v>
      </c>
      <c r="G111" s="156" t="s">
        <v>473</v>
      </c>
      <c r="H111" s="133" t="s">
        <v>854</v>
      </c>
      <c r="I111" s="110" t="s">
        <v>855</v>
      </c>
      <c r="J111" s="110"/>
      <c r="K111" s="110" t="s">
        <v>252</v>
      </c>
      <c r="L111" s="110" t="s">
        <v>321</v>
      </c>
      <c r="M111" s="110" t="s">
        <v>856</v>
      </c>
      <c r="N111" s="110" t="s">
        <v>857</v>
      </c>
      <c r="O111" s="208"/>
      <c r="P111" s="208"/>
      <c r="Q111" s="208">
        <f t="shared" si="11"/>
        <v>0.1</v>
      </c>
      <c r="R111" s="36"/>
      <c r="S111" s="5"/>
      <c r="T111" s="6"/>
      <c r="U111" s="88"/>
      <c r="V111" s="20"/>
      <c r="W111" s="129"/>
      <c r="X111" s="20"/>
      <c r="Y111" s="129"/>
      <c r="Z111" s="20"/>
      <c r="AA111" s="129">
        <v>0.1</v>
      </c>
      <c r="AB111" s="20"/>
      <c r="AC111" s="129"/>
      <c r="AD111" s="20"/>
      <c r="AE111" s="19"/>
      <c r="AF111" s="8"/>
      <c r="AG111" s="17"/>
      <c r="AH111" s="38"/>
      <c r="AI111" s="18"/>
      <c r="AJ111" s="131"/>
      <c r="AK111" s="131"/>
      <c r="AL111" s="37"/>
      <c r="AM111" s="110" t="s">
        <v>161</v>
      </c>
      <c r="AN111" s="110" t="s">
        <v>179</v>
      </c>
      <c r="AO111" s="110" t="s">
        <v>179</v>
      </c>
      <c r="AP111" s="110" t="s">
        <v>179</v>
      </c>
      <c r="AQ111" s="110" t="s">
        <v>179</v>
      </c>
      <c r="AR111" s="110" t="s">
        <v>179</v>
      </c>
      <c r="AS111" s="131" t="s">
        <v>179</v>
      </c>
      <c r="AT111" s="215" t="s">
        <v>179</v>
      </c>
      <c r="AU111" s="215" t="s">
        <v>180</v>
      </c>
      <c r="AV111" s="170" t="str">
        <f t="shared" si="10"/>
        <v>A</v>
      </c>
      <c r="AW111" s="22" t="s">
        <v>5</v>
      </c>
    </row>
    <row r="112" spans="1:55" ht="15" customHeight="1" x14ac:dyDescent="0.25">
      <c r="A112" s="59">
        <v>43687</v>
      </c>
      <c r="B112" s="59" t="s">
        <v>256</v>
      </c>
      <c r="C112" s="59" t="s">
        <v>28</v>
      </c>
      <c r="D112" s="110" t="s">
        <v>28</v>
      </c>
      <c r="E112" s="60">
        <v>634</v>
      </c>
      <c r="F112" s="60">
        <v>52</v>
      </c>
      <c r="G112" s="156" t="s">
        <v>473</v>
      </c>
      <c r="H112" s="133" t="s">
        <v>858</v>
      </c>
      <c r="I112" s="110" t="s">
        <v>517</v>
      </c>
      <c r="J112" s="110" t="s">
        <v>859</v>
      </c>
      <c r="K112" s="110" t="s">
        <v>252</v>
      </c>
      <c r="L112" s="110" t="s">
        <v>860</v>
      </c>
      <c r="M112" s="110" t="s">
        <v>1112</v>
      </c>
      <c r="N112" s="110" t="s">
        <v>861</v>
      </c>
      <c r="O112" s="208"/>
      <c r="P112" s="208"/>
      <c r="Q112" s="208">
        <f t="shared" si="11"/>
        <v>0.1</v>
      </c>
      <c r="R112" s="36"/>
      <c r="S112" s="5">
        <v>0.1</v>
      </c>
      <c r="T112" s="6"/>
      <c r="U112" s="88"/>
      <c r="V112" s="20"/>
      <c r="W112" s="129"/>
      <c r="X112" s="20"/>
      <c r="Y112" s="129"/>
      <c r="Z112" s="20"/>
      <c r="AA112" s="129"/>
      <c r="AB112" s="20"/>
      <c r="AC112" s="129"/>
      <c r="AD112" s="20"/>
      <c r="AE112" s="19"/>
      <c r="AF112" s="8"/>
      <c r="AG112" s="17"/>
      <c r="AH112" s="38"/>
      <c r="AI112" s="18"/>
      <c r="AJ112" s="131"/>
      <c r="AK112" s="131"/>
      <c r="AL112" s="37"/>
      <c r="AM112" s="110" t="s">
        <v>140</v>
      </c>
      <c r="AN112" s="110" t="s">
        <v>179</v>
      </c>
      <c r="AO112" s="110" t="s">
        <v>179</v>
      </c>
      <c r="AP112" s="110" t="s">
        <v>179</v>
      </c>
      <c r="AQ112" s="110" t="s">
        <v>179</v>
      </c>
      <c r="AR112" s="110" t="s">
        <v>179</v>
      </c>
      <c r="AS112" s="131" t="s">
        <v>179</v>
      </c>
      <c r="AT112" s="215" t="s">
        <v>179</v>
      </c>
      <c r="AU112" s="215" t="s">
        <v>180</v>
      </c>
      <c r="AV112" s="170" t="str">
        <f t="shared" si="10"/>
        <v>A</v>
      </c>
    </row>
    <row r="113" spans="1:55" ht="15" customHeight="1" x14ac:dyDescent="0.25">
      <c r="A113" s="59">
        <v>43687</v>
      </c>
      <c r="B113" s="59" t="s">
        <v>256</v>
      </c>
      <c r="C113" s="59" t="s">
        <v>28</v>
      </c>
      <c r="D113" s="110" t="s">
        <v>28</v>
      </c>
      <c r="E113" s="60">
        <v>635</v>
      </c>
      <c r="F113" s="60">
        <v>53</v>
      </c>
      <c r="G113" s="156" t="s">
        <v>473</v>
      </c>
      <c r="H113" s="133" t="s">
        <v>862</v>
      </c>
      <c r="I113" s="110" t="s">
        <v>312</v>
      </c>
      <c r="J113" s="110" t="s">
        <v>732</v>
      </c>
      <c r="K113" s="110" t="s">
        <v>252</v>
      </c>
      <c r="L113" s="110" t="s">
        <v>863</v>
      </c>
      <c r="M113" s="110" t="s">
        <v>864</v>
      </c>
      <c r="N113" s="110" t="s">
        <v>1113</v>
      </c>
      <c r="O113" s="208"/>
      <c r="P113" s="208"/>
      <c r="Q113" s="208">
        <f t="shared" si="11"/>
        <v>0.1</v>
      </c>
      <c r="R113" s="36"/>
      <c r="S113" s="5">
        <v>0.1</v>
      </c>
      <c r="T113" s="6"/>
      <c r="U113" s="88"/>
      <c r="V113" s="20"/>
      <c r="W113" s="129"/>
      <c r="X113" s="20"/>
      <c r="Y113" s="129"/>
      <c r="Z113" s="20"/>
      <c r="AA113" s="129"/>
      <c r="AB113" s="20"/>
      <c r="AC113" s="129"/>
      <c r="AD113" s="20"/>
      <c r="AE113" s="19"/>
      <c r="AF113" s="8"/>
      <c r="AG113" s="17"/>
      <c r="AH113" s="38"/>
      <c r="AI113" s="18"/>
      <c r="AJ113" s="131"/>
      <c r="AK113" s="131"/>
      <c r="AL113" s="37"/>
      <c r="AM113" s="110" t="s">
        <v>140</v>
      </c>
      <c r="AN113" s="110" t="s">
        <v>179</v>
      </c>
      <c r="AO113" s="110" t="s">
        <v>179</v>
      </c>
      <c r="AP113" s="110" t="s">
        <v>179</v>
      </c>
      <c r="AQ113" s="110" t="s">
        <v>179</v>
      </c>
      <c r="AR113" s="110" t="s">
        <v>179</v>
      </c>
      <c r="AS113" s="131" t="s">
        <v>179</v>
      </c>
      <c r="AT113" s="215" t="s">
        <v>179</v>
      </c>
      <c r="AU113" s="215" t="s">
        <v>180</v>
      </c>
      <c r="AV113" s="170" t="str">
        <f t="shared" si="10"/>
        <v>A</v>
      </c>
    </row>
    <row r="114" spans="1:55" ht="15" customHeight="1" x14ac:dyDescent="0.25">
      <c r="A114" s="59">
        <v>43687</v>
      </c>
      <c r="B114" s="59" t="s">
        <v>256</v>
      </c>
      <c r="C114" s="59" t="s">
        <v>28</v>
      </c>
      <c r="D114" s="110" t="s">
        <v>28</v>
      </c>
      <c r="E114" s="60">
        <v>636</v>
      </c>
      <c r="F114" s="60">
        <v>54</v>
      </c>
      <c r="G114" s="156" t="s">
        <v>473</v>
      </c>
      <c r="H114" s="133" t="s">
        <v>865</v>
      </c>
      <c r="I114" s="110" t="s">
        <v>517</v>
      </c>
      <c r="J114" s="110" t="s">
        <v>866</v>
      </c>
      <c r="K114" s="110" t="s">
        <v>252</v>
      </c>
      <c r="L114" s="110" t="s">
        <v>867</v>
      </c>
      <c r="M114" s="110" t="s">
        <v>1114</v>
      </c>
      <c r="N114" s="110" t="s">
        <v>1115</v>
      </c>
      <c r="O114" s="208"/>
      <c r="P114" s="208"/>
      <c r="Q114" s="208">
        <f t="shared" si="11"/>
        <v>0.1</v>
      </c>
      <c r="R114" s="36"/>
      <c r="S114" s="5">
        <v>0.1</v>
      </c>
      <c r="T114" s="6"/>
      <c r="U114" s="88"/>
      <c r="V114" s="20"/>
      <c r="W114" s="129"/>
      <c r="X114" s="20"/>
      <c r="Y114" s="129"/>
      <c r="Z114" s="20"/>
      <c r="AA114" s="129"/>
      <c r="AB114" s="20"/>
      <c r="AC114" s="129"/>
      <c r="AD114" s="20"/>
      <c r="AE114" s="19"/>
      <c r="AF114" s="8"/>
      <c r="AG114" s="17"/>
      <c r="AH114" s="38"/>
      <c r="AI114" s="18"/>
      <c r="AJ114" s="131"/>
      <c r="AK114" s="131"/>
      <c r="AL114" s="37"/>
      <c r="AM114" s="110" t="s">
        <v>140</v>
      </c>
      <c r="AN114" s="110" t="s">
        <v>179</v>
      </c>
      <c r="AO114" s="110" t="s">
        <v>179</v>
      </c>
      <c r="AP114" s="110" t="s">
        <v>179</v>
      </c>
      <c r="AQ114" s="110" t="s">
        <v>179</v>
      </c>
      <c r="AR114" s="110" t="s">
        <v>179</v>
      </c>
      <c r="AS114" s="131" t="s">
        <v>179</v>
      </c>
      <c r="AT114" s="215" t="s">
        <v>179</v>
      </c>
      <c r="AU114" s="215" t="s">
        <v>180</v>
      </c>
      <c r="AV114" s="170" t="str">
        <f t="shared" si="10"/>
        <v>A</v>
      </c>
    </row>
    <row r="115" spans="1:55" ht="15" customHeight="1" x14ac:dyDescent="0.25">
      <c r="A115" s="59">
        <v>43687</v>
      </c>
      <c r="B115" s="59" t="s">
        <v>256</v>
      </c>
      <c r="C115" s="59" t="s">
        <v>28</v>
      </c>
      <c r="D115" s="110" t="s">
        <v>28</v>
      </c>
      <c r="E115" s="60">
        <v>641</v>
      </c>
      <c r="F115" s="60">
        <v>55</v>
      </c>
      <c r="G115" s="156" t="s">
        <v>473</v>
      </c>
      <c r="H115" s="133" t="s">
        <v>868</v>
      </c>
      <c r="I115" s="110" t="s">
        <v>879</v>
      </c>
      <c r="J115" s="110"/>
      <c r="K115" s="110" t="s">
        <v>252</v>
      </c>
      <c r="L115" s="110" t="s">
        <v>871</v>
      </c>
      <c r="M115" s="110" t="s">
        <v>880</v>
      </c>
      <c r="N115" s="110" t="s">
        <v>1116</v>
      </c>
      <c r="O115" s="208"/>
      <c r="P115" s="208"/>
      <c r="Q115" s="208">
        <f t="shared" si="11"/>
        <v>0.1</v>
      </c>
      <c r="R115" s="36"/>
      <c r="S115" s="5">
        <v>0.1</v>
      </c>
      <c r="T115" s="6"/>
      <c r="U115" s="88"/>
      <c r="V115" s="20"/>
      <c r="W115" s="129"/>
      <c r="X115" s="20"/>
      <c r="Y115" s="129"/>
      <c r="Z115" s="20"/>
      <c r="AA115" s="129"/>
      <c r="AB115" s="20"/>
      <c r="AC115" s="129"/>
      <c r="AD115" s="20"/>
      <c r="AE115" s="19"/>
      <c r="AF115" s="8"/>
      <c r="AG115" s="17"/>
      <c r="AH115" s="38"/>
      <c r="AI115" s="18"/>
      <c r="AJ115" s="131"/>
      <c r="AK115" s="131"/>
      <c r="AL115" s="37"/>
      <c r="AM115" s="110" t="s">
        <v>140</v>
      </c>
      <c r="AN115" s="110" t="s">
        <v>179</v>
      </c>
      <c r="AO115" s="110" t="s">
        <v>179</v>
      </c>
      <c r="AP115" s="110" t="s">
        <v>179</v>
      </c>
      <c r="AQ115" s="110" t="s">
        <v>179</v>
      </c>
      <c r="AR115" s="110" t="s">
        <v>179</v>
      </c>
      <c r="AS115" s="131" t="s">
        <v>179</v>
      </c>
      <c r="AT115" s="215" t="s">
        <v>179</v>
      </c>
      <c r="AU115" s="215" t="s">
        <v>180</v>
      </c>
      <c r="AV115" s="170" t="str">
        <f t="shared" si="10"/>
        <v>A</v>
      </c>
    </row>
    <row r="116" spans="1:55" ht="15" customHeight="1" x14ac:dyDescent="0.25">
      <c r="A116" s="59">
        <v>43687</v>
      </c>
      <c r="B116" s="59" t="s">
        <v>887</v>
      </c>
      <c r="C116" s="59" t="s">
        <v>30</v>
      </c>
      <c r="D116" s="110" t="s">
        <v>28</v>
      </c>
      <c r="E116" s="60">
        <v>642</v>
      </c>
      <c r="F116" s="60">
        <v>56</v>
      </c>
      <c r="G116" s="156" t="s">
        <v>237</v>
      </c>
      <c r="H116" s="133" t="s">
        <v>881</v>
      </c>
      <c r="I116" s="110" t="s">
        <v>265</v>
      </c>
      <c r="J116" s="110" t="s">
        <v>266</v>
      </c>
      <c r="K116" s="110" t="s">
        <v>252</v>
      </c>
      <c r="L116" s="110" t="s">
        <v>876</v>
      </c>
      <c r="M116" s="110" t="s">
        <v>1119</v>
      </c>
      <c r="N116" s="110" t="s">
        <v>1120</v>
      </c>
      <c r="O116" s="208"/>
      <c r="P116" s="208"/>
      <c r="Q116" s="208">
        <f t="shared" si="11"/>
        <v>0.1</v>
      </c>
      <c r="R116" s="36"/>
      <c r="S116" s="5">
        <v>0.1</v>
      </c>
      <c r="T116" s="6"/>
      <c r="U116" s="88"/>
      <c r="V116" s="20"/>
      <c r="W116" s="129"/>
      <c r="X116" s="20"/>
      <c r="Y116" s="129"/>
      <c r="Z116" s="20"/>
      <c r="AA116" s="129"/>
      <c r="AB116" s="20"/>
      <c r="AC116" s="129"/>
      <c r="AD116" s="20"/>
      <c r="AE116" s="19"/>
      <c r="AF116" s="8"/>
      <c r="AG116" s="17"/>
      <c r="AH116" s="38"/>
      <c r="AI116" s="18"/>
      <c r="AJ116" s="131"/>
      <c r="AK116" s="131" t="s">
        <v>301</v>
      </c>
      <c r="AL116" s="37"/>
      <c r="AM116" s="110" t="s">
        <v>140</v>
      </c>
      <c r="AN116" s="110" t="s">
        <v>179</v>
      </c>
      <c r="AO116" s="110" t="s">
        <v>179</v>
      </c>
      <c r="AP116" s="110" t="s">
        <v>179</v>
      </c>
      <c r="AQ116" s="110" t="s">
        <v>179</v>
      </c>
      <c r="AR116" s="110" t="s">
        <v>179</v>
      </c>
      <c r="AS116" s="131" t="s">
        <v>179</v>
      </c>
      <c r="AT116" s="215" t="s">
        <v>179</v>
      </c>
      <c r="AU116" s="215" t="s">
        <v>180</v>
      </c>
      <c r="AV116" s="170" t="str">
        <f t="shared" si="10"/>
        <v>A</v>
      </c>
    </row>
    <row r="117" spans="1:55" ht="15" customHeight="1" x14ac:dyDescent="0.25">
      <c r="A117" s="59">
        <v>43687</v>
      </c>
      <c r="B117" s="59" t="s">
        <v>256</v>
      </c>
      <c r="C117" s="59" t="s">
        <v>28</v>
      </c>
      <c r="D117" s="110" t="s">
        <v>28</v>
      </c>
      <c r="E117" s="60">
        <v>643</v>
      </c>
      <c r="F117" s="60">
        <v>57</v>
      </c>
      <c r="G117" s="156" t="s">
        <v>237</v>
      </c>
      <c r="H117" s="133" t="s">
        <v>882</v>
      </c>
      <c r="I117" s="110" t="s">
        <v>884</v>
      </c>
      <c r="J117" s="110" t="s">
        <v>885</v>
      </c>
      <c r="K117" s="110" t="s">
        <v>252</v>
      </c>
      <c r="L117" s="110" t="s">
        <v>877</v>
      </c>
      <c r="M117" s="110" t="s">
        <v>1121</v>
      </c>
      <c r="N117" s="110" t="s">
        <v>886</v>
      </c>
      <c r="O117" s="208"/>
      <c r="P117" s="208"/>
      <c r="Q117" s="208">
        <f t="shared" si="11"/>
        <v>0.1</v>
      </c>
      <c r="R117" s="36"/>
      <c r="S117" s="5">
        <v>0.1</v>
      </c>
      <c r="T117" s="6"/>
      <c r="U117" s="50"/>
      <c r="V117" s="20"/>
      <c r="W117" s="129"/>
      <c r="X117" s="20"/>
      <c r="Y117" s="129"/>
      <c r="Z117" s="20"/>
      <c r="AA117" s="129"/>
      <c r="AB117" s="20"/>
      <c r="AC117" s="129"/>
      <c r="AD117" s="20"/>
      <c r="AE117" s="19"/>
      <c r="AF117" s="8"/>
      <c r="AG117" s="17"/>
      <c r="AH117" s="38"/>
      <c r="AI117" s="18"/>
      <c r="AJ117" s="131"/>
      <c r="AK117" s="131"/>
      <c r="AL117" s="37"/>
      <c r="AM117" s="110" t="s">
        <v>140</v>
      </c>
      <c r="AN117" s="110" t="s">
        <v>179</v>
      </c>
      <c r="AO117" s="110" t="s">
        <v>179</v>
      </c>
      <c r="AP117" s="110" t="s">
        <v>179</v>
      </c>
      <c r="AQ117" s="110" t="s">
        <v>179</v>
      </c>
      <c r="AR117" s="110" t="s">
        <v>179</v>
      </c>
      <c r="AS117" s="131" t="s">
        <v>179</v>
      </c>
      <c r="AT117" s="215" t="s">
        <v>179</v>
      </c>
      <c r="AU117" s="215" t="s">
        <v>180</v>
      </c>
      <c r="AV117" s="170" t="str">
        <f t="shared" si="10"/>
        <v>A</v>
      </c>
    </row>
    <row r="118" spans="1:55" ht="15" customHeight="1" x14ac:dyDescent="0.25">
      <c r="A118" s="59">
        <v>43687</v>
      </c>
      <c r="B118" s="59" t="s">
        <v>256</v>
      </c>
      <c r="C118" s="59" t="s">
        <v>28</v>
      </c>
      <c r="D118" s="110" t="s">
        <v>28</v>
      </c>
      <c r="E118" s="60">
        <v>644</v>
      </c>
      <c r="F118" s="60">
        <v>58</v>
      </c>
      <c r="G118" s="156" t="s">
        <v>237</v>
      </c>
      <c r="H118" s="133" t="s">
        <v>891</v>
      </c>
      <c r="I118" s="110" t="s">
        <v>892</v>
      </c>
      <c r="J118" s="110" t="s">
        <v>893</v>
      </c>
      <c r="K118" s="110" t="s">
        <v>252</v>
      </c>
      <c r="L118" s="110" t="s">
        <v>883</v>
      </c>
      <c r="M118" s="110" t="s">
        <v>1122</v>
      </c>
      <c r="N118" s="110" t="s">
        <v>1123</v>
      </c>
      <c r="O118" s="208"/>
      <c r="P118" s="208"/>
      <c r="Q118" s="208">
        <f t="shared" si="11"/>
        <v>0.1</v>
      </c>
      <c r="R118" s="36"/>
      <c r="S118" s="5">
        <v>0.1</v>
      </c>
      <c r="T118" s="6"/>
      <c r="U118" s="50"/>
      <c r="V118" s="20"/>
      <c r="W118" s="129"/>
      <c r="X118" s="20"/>
      <c r="Y118" s="129"/>
      <c r="Z118" s="20"/>
      <c r="AA118" s="129"/>
      <c r="AB118" s="20"/>
      <c r="AC118" s="129"/>
      <c r="AD118" s="20"/>
      <c r="AE118" s="19"/>
      <c r="AF118" s="8"/>
      <c r="AG118" s="17"/>
      <c r="AH118" s="38"/>
      <c r="AI118" s="18"/>
      <c r="AJ118" s="131"/>
      <c r="AK118" s="131"/>
      <c r="AL118" s="37"/>
      <c r="AM118" s="110" t="s">
        <v>415</v>
      </c>
      <c r="AN118" s="110" t="s">
        <v>179</v>
      </c>
      <c r="AO118" s="110" t="s">
        <v>179</v>
      </c>
      <c r="AP118" s="110" t="s">
        <v>179</v>
      </c>
      <c r="AQ118" s="110" t="s">
        <v>179</v>
      </c>
      <c r="AR118" s="110" t="s">
        <v>179</v>
      </c>
      <c r="AS118" s="131" t="s">
        <v>179</v>
      </c>
      <c r="AT118" s="215" t="s">
        <v>179</v>
      </c>
      <c r="AU118" s="215" t="s">
        <v>180</v>
      </c>
      <c r="AV118" s="170" t="str">
        <f t="shared" si="10"/>
        <v>A</v>
      </c>
      <c r="AX118" s="42"/>
      <c r="AY118" s="42"/>
      <c r="AZ118" s="42"/>
      <c r="BA118" s="42"/>
      <c r="BB118" s="42"/>
      <c r="BC118" s="42"/>
    </row>
    <row r="119" spans="1:55" ht="15" customHeight="1" x14ac:dyDescent="0.25">
      <c r="A119" s="59">
        <v>43687</v>
      </c>
      <c r="B119" s="59" t="s">
        <v>256</v>
      </c>
      <c r="C119" s="59" t="s">
        <v>28</v>
      </c>
      <c r="D119" s="110" t="s">
        <v>28</v>
      </c>
      <c r="E119" s="60">
        <v>646</v>
      </c>
      <c r="F119" s="60">
        <v>59</v>
      </c>
      <c r="G119" s="156" t="s">
        <v>473</v>
      </c>
      <c r="H119" s="133" t="s">
        <v>888</v>
      </c>
      <c r="I119" s="110" t="s">
        <v>855</v>
      </c>
      <c r="J119" s="110"/>
      <c r="K119" s="110" t="s">
        <v>252</v>
      </c>
      <c r="L119" s="110" t="s">
        <v>889</v>
      </c>
      <c r="M119" s="110" t="s">
        <v>890</v>
      </c>
      <c r="N119" s="110" t="s">
        <v>1124</v>
      </c>
      <c r="O119" s="208"/>
      <c r="P119" s="208"/>
      <c r="Q119" s="208">
        <f t="shared" si="11"/>
        <v>0.1</v>
      </c>
      <c r="R119" s="36"/>
      <c r="S119" s="5">
        <v>0.1</v>
      </c>
      <c r="T119" s="6"/>
      <c r="U119" s="50"/>
      <c r="V119" s="20"/>
      <c r="W119" s="129"/>
      <c r="X119" s="20"/>
      <c r="Y119" s="129"/>
      <c r="Z119" s="20"/>
      <c r="AA119" s="129"/>
      <c r="AB119" s="20"/>
      <c r="AC119" s="129"/>
      <c r="AD119" s="20"/>
      <c r="AE119" s="19"/>
      <c r="AF119" s="8"/>
      <c r="AG119" s="17"/>
      <c r="AH119" s="38"/>
      <c r="AI119" s="18"/>
      <c r="AJ119" s="131"/>
      <c r="AK119" s="131"/>
      <c r="AL119" s="37"/>
      <c r="AM119" s="110" t="s">
        <v>29</v>
      </c>
      <c r="AN119" s="110" t="s">
        <v>179</v>
      </c>
      <c r="AO119" s="110" t="s">
        <v>179</v>
      </c>
      <c r="AP119" s="110" t="s">
        <v>179</v>
      </c>
      <c r="AQ119" s="110" t="s">
        <v>179</v>
      </c>
      <c r="AR119" s="110" t="s">
        <v>179</v>
      </c>
      <c r="AS119" s="131" t="s">
        <v>179</v>
      </c>
      <c r="AT119" s="215" t="s">
        <v>179</v>
      </c>
      <c r="AU119" s="215" t="s">
        <v>180</v>
      </c>
      <c r="AV119" s="170" t="str">
        <f t="shared" si="10"/>
        <v>A</v>
      </c>
      <c r="AX119" s="42"/>
      <c r="AY119" s="42"/>
      <c r="AZ119" s="42"/>
      <c r="BA119" s="42"/>
      <c r="BB119" s="42"/>
      <c r="BC119" s="42"/>
    </row>
    <row r="120" spans="1:55" ht="15" customHeight="1" x14ac:dyDescent="0.25">
      <c r="A120" s="59">
        <v>43688</v>
      </c>
      <c r="B120" s="59" t="s">
        <v>900</v>
      </c>
      <c r="C120" s="59" t="s">
        <v>30</v>
      </c>
      <c r="D120" s="110" t="s">
        <v>82</v>
      </c>
      <c r="E120" s="60">
        <v>648</v>
      </c>
      <c r="F120" s="172"/>
      <c r="G120" s="156" t="s">
        <v>30</v>
      </c>
      <c r="H120" s="133" t="s">
        <v>899</v>
      </c>
      <c r="I120" s="110" t="s">
        <v>907</v>
      </c>
      <c r="J120" s="110"/>
      <c r="K120" s="110" t="s">
        <v>252</v>
      </c>
      <c r="L120" s="110" t="s">
        <v>898</v>
      </c>
      <c r="M120" s="110" t="s">
        <v>901</v>
      </c>
      <c r="N120" s="110" t="s">
        <v>713</v>
      </c>
      <c r="O120" s="208"/>
      <c r="P120" s="208"/>
      <c r="Q120" s="208">
        <f t="shared" si="11"/>
        <v>0.1</v>
      </c>
      <c r="R120" s="36"/>
      <c r="S120" s="5"/>
      <c r="T120" s="6"/>
      <c r="U120" s="50"/>
      <c r="V120" s="20"/>
      <c r="W120" s="129"/>
      <c r="X120" s="20"/>
      <c r="Y120" s="129"/>
      <c r="Z120" s="20"/>
      <c r="AA120" s="129">
        <v>0.1</v>
      </c>
      <c r="AB120" s="20"/>
      <c r="AC120" s="129"/>
      <c r="AD120" s="20"/>
      <c r="AE120" s="19"/>
      <c r="AF120" s="8"/>
      <c r="AG120" s="17"/>
      <c r="AH120" s="38"/>
      <c r="AI120" s="18"/>
      <c r="AJ120" s="131"/>
      <c r="AK120" s="131"/>
      <c r="AL120" s="37"/>
      <c r="AM120" s="110" t="s">
        <v>161</v>
      </c>
      <c r="AN120" s="110" t="s">
        <v>179</v>
      </c>
      <c r="AO120" s="110" t="s">
        <v>179</v>
      </c>
      <c r="AP120" s="110" t="s">
        <v>179</v>
      </c>
      <c r="AQ120" s="110" t="s">
        <v>179</v>
      </c>
      <c r="AR120" s="110" t="s">
        <v>162</v>
      </c>
      <c r="AS120" s="131" t="s">
        <v>179</v>
      </c>
      <c r="AT120" s="215" t="s">
        <v>180</v>
      </c>
      <c r="AU120" s="215" t="s">
        <v>180</v>
      </c>
      <c r="AV120" s="170" t="str">
        <f t="shared" si="10"/>
        <v>A</v>
      </c>
      <c r="AX120" s="42"/>
      <c r="AY120" s="42"/>
      <c r="AZ120" s="42"/>
      <c r="BA120" s="42"/>
    </row>
    <row r="121" spans="1:55" ht="15" customHeight="1" x14ac:dyDescent="0.25">
      <c r="A121" s="59">
        <v>43688</v>
      </c>
      <c r="B121" s="59" t="s">
        <v>904</v>
      </c>
      <c r="C121" s="59" t="s">
        <v>30</v>
      </c>
      <c r="D121" s="110" t="s">
        <v>28</v>
      </c>
      <c r="E121" s="60">
        <v>650</v>
      </c>
      <c r="F121" s="60">
        <v>60</v>
      </c>
      <c r="G121" s="156" t="s">
        <v>246</v>
      </c>
      <c r="H121" s="133" t="s">
        <v>902</v>
      </c>
      <c r="I121" s="110" t="s">
        <v>225</v>
      </c>
      <c r="J121" s="110"/>
      <c r="K121" s="110" t="s">
        <v>252</v>
      </c>
      <c r="L121" s="110" t="s">
        <v>905</v>
      </c>
      <c r="M121" s="110" t="s">
        <v>903</v>
      </c>
      <c r="N121" s="110" t="s">
        <v>1125</v>
      </c>
      <c r="O121" s="208"/>
      <c r="P121" s="208"/>
      <c r="Q121" s="208">
        <f t="shared" si="11"/>
        <v>1</v>
      </c>
      <c r="R121" s="36"/>
      <c r="S121" s="5">
        <v>1</v>
      </c>
      <c r="T121" s="6"/>
      <c r="U121" s="50"/>
      <c r="V121" s="20"/>
      <c r="W121" s="129"/>
      <c r="X121" s="20"/>
      <c r="Y121" s="129"/>
      <c r="Z121" s="20"/>
      <c r="AA121" s="129"/>
      <c r="AB121" s="20"/>
      <c r="AC121" s="129"/>
      <c r="AD121" s="20"/>
      <c r="AE121" s="19"/>
      <c r="AF121" s="8"/>
      <c r="AG121" s="17"/>
      <c r="AH121" s="38"/>
      <c r="AI121" s="18"/>
      <c r="AJ121" s="131"/>
      <c r="AK121" s="131" t="s">
        <v>301</v>
      </c>
      <c r="AL121" s="37"/>
      <c r="AM121" s="110" t="s">
        <v>161</v>
      </c>
      <c r="AN121" s="110" t="s">
        <v>179</v>
      </c>
      <c r="AO121" s="110" t="s">
        <v>179</v>
      </c>
      <c r="AP121" s="110" t="s">
        <v>179</v>
      </c>
      <c r="AQ121" s="110" t="s">
        <v>179</v>
      </c>
      <c r="AR121" s="110" t="s">
        <v>179</v>
      </c>
      <c r="AS121" s="131" t="s">
        <v>179</v>
      </c>
      <c r="AT121" s="215" t="s">
        <v>179</v>
      </c>
      <c r="AU121" s="215" t="s">
        <v>180</v>
      </c>
      <c r="AV121" s="170" t="str">
        <f t="shared" si="10"/>
        <v>B</v>
      </c>
    </row>
    <row r="122" spans="1:55" ht="15" customHeight="1" x14ac:dyDescent="0.25">
      <c r="A122" s="59">
        <v>43688</v>
      </c>
      <c r="B122" s="59" t="s">
        <v>906</v>
      </c>
      <c r="C122" s="59" t="s">
        <v>30</v>
      </c>
      <c r="D122" s="110" t="s">
        <v>27</v>
      </c>
      <c r="E122" s="60">
        <v>654</v>
      </c>
      <c r="F122" s="172"/>
      <c r="G122" s="156" t="s">
        <v>8</v>
      </c>
      <c r="H122" s="133" t="s">
        <v>611</v>
      </c>
      <c r="I122" s="110" t="s">
        <v>907</v>
      </c>
      <c r="J122" s="110"/>
      <c r="K122" s="110" t="s">
        <v>252</v>
      </c>
      <c r="L122" s="110" t="s">
        <v>908</v>
      </c>
      <c r="M122" s="110" t="s">
        <v>909</v>
      </c>
      <c r="N122" s="110" t="s">
        <v>1126</v>
      </c>
      <c r="O122" s="208"/>
      <c r="P122" s="208"/>
      <c r="Q122" s="208">
        <f t="shared" si="11"/>
        <v>0.1</v>
      </c>
      <c r="R122" s="36">
        <v>0.1</v>
      </c>
      <c r="S122" s="5"/>
      <c r="T122" s="6"/>
      <c r="U122" s="50"/>
      <c r="V122" s="20"/>
      <c r="W122" s="129"/>
      <c r="X122" s="20"/>
      <c r="Y122" s="129"/>
      <c r="Z122" s="20"/>
      <c r="AA122" s="129"/>
      <c r="AB122" s="20"/>
      <c r="AC122" s="129"/>
      <c r="AD122" s="20"/>
      <c r="AE122" s="19"/>
      <c r="AF122" s="8"/>
      <c r="AG122" s="17"/>
      <c r="AH122" s="38"/>
      <c r="AI122" s="18"/>
      <c r="AJ122" s="131"/>
      <c r="AK122" s="131"/>
      <c r="AL122" s="37"/>
      <c r="AM122" s="110" t="s">
        <v>161</v>
      </c>
      <c r="AN122" s="110" t="s">
        <v>179</v>
      </c>
      <c r="AO122" s="110" t="s">
        <v>179</v>
      </c>
      <c r="AP122" s="110" t="s">
        <v>179</v>
      </c>
      <c r="AQ122" s="110" t="s">
        <v>179</v>
      </c>
      <c r="AR122" s="110" t="s">
        <v>162</v>
      </c>
      <c r="AS122" s="131" t="s">
        <v>179</v>
      </c>
      <c r="AT122" s="215" t="s">
        <v>179</v>
      </c>
      <c r="AU122" s="215" t="s">
        <v>180</v>
      </c>
      <c r="AV122" s="170" t="str">
        <f t="shared" si="10"/>
        <v>A</v>
      </c>
    </row>
    <row r="123" spans="1:55" ht="15" customHeight="1" x14ac:dyDescent="0.25">
      <c r="A123" s="59">
        <v>43690</v>
      </c>
      <c r="B123" s="59" t="s">
        <v>256</v>
      </c>
      <c r="C123" s="59" t="s">
        <v>28</v>
      </c>
      <c r="D123" s="110" t="s">
        <v>28</v>
      </c>
      <c r="E123" s="60">
        <v>657</v>
      </c>
      <c r="F123" s="60">
        <v>61</v>
      </c>
      <c r="G123" s="156" t="s">
        <v>221</v>
      </c>
      <c r="H123" s="133" t="s">
        <v>921</v>
      </c>
      <c r="I123" s="110" t="s">
        <v>923</v>
      </c>
      <c r="J123" s="110" t="s">
        <v>1143</v>
      </c>
      <c r="K123" s="110" t="s">
        <v>252</v>
      </c>
      <c r="L123" s="110" t="s">
        <v>926</v>
      </c>
      <c r="M123" s="110" t="s">
        <v>927</v>
      </c>
      <c r="N123" s="110" t="s">
        <v>1144</v>
      </c>
      <c r="O123" s="208"/>
      <c r="P123" s="208"/>
      <c r="Q123" s="208">
        <f t="shared" si="11"/>
        <v>0.1</v>
      </c>
      <c r="R123" s="36"/>
      <c r="S123" s="5">
        <v>0.1</v>
      </c>
      <c r="T123" s="6"/>
      <c r="U123" s="50"/>
      <c r="V123" s="20"/>
      <c r="W123" s="129"/>
      <c r="X123" s="20"/>
      <c r="Y123" s="129"/>
      <c r="Z123" s="20"/>
      <c r="AA123" s="129"/>
      <c r="AB123" s="20"/>
      <c r="AC123" s="129"/>
      <c r="AD123" s="20"/>
      <c r="AE123" s="19"/>
      <c r="AF123" s="8"/>
      <c r="AG123" s="17"/>
      <c r="AH123" s="38"/>
      <c r="AI123" s="18"/>
      <c r="AJ123" s="131"/>
      <c r="AK123" s="131"/>
      <c r="AL123" s="37"/>
      <c r="AM123" s="110" t="s">
        <v>29</v>
      </c>
      <c r="AN123" s="110" t="s">
        <v>179</v>
      </c>
      <c r="AO123" s="110" t="s">
        <v>179</v>
      </c>
      <c r="AP123" s="110" t="s">
        <v>179</v>
      </c>
      <c r="AQ123" s="110" t="s">
        <v>179</v>
      </c>
      <c r="AR123" s="110" t="s">
        <v>179</v>
      </c>
      <c r="AS123" s="131" t="s">
        <v>179</v>
      </c>
      <c r="AT123" s="215" t="s">
        <v>179</v>
      </c>
      <c r="AU123" s="215" t="s">
        <v>180</v>
      </c>
      <c r="AV123" s="170" t="str">
        <f t="shared" si="10"/>
        <v>A</v>
      </c>
    </row>
    <row r="124" spans="1:55" ht="15" customHeight="1" x14ac:dyDescent="0.25">
      <c r="A124" s="59">
        <v>43690</v>
      </c>
      <c r="B124" s="59" t="s">
        <v>256</v>
      </c>
      <c r="C124" s="59" t="s">
        <v>28</v>
      </c>
      <c r="D124" s="110" t="s">
        <v>28</v>
      </c>
      <c r="E124" s="60">
        <v>658</v>
      </c>
      <c r="F124" s="60">
        <v>62</v>
      </c>
      <c r="G124" s="156" t="s">
        <v>277</v>
      </c>
      <c r="H124" s="133" t="s">
        <v>922</v>
      </c>
      <c r="I124" s="110" t="s">
        <v>475</v>
      </c>
      <c r="J124" s="110" t="s">
        <v>924</v>
      </c>
      <c r="K124" s="110" t="s">
        <v>252</v>
      </c>
      <c r="L124" s="110" t="s">
        <v>1334</v>
      </c>
      <c r="M124" s="110" t="s">
        <v>1335</v>
      </c>
      <c r="N124" s="110" t="s">
        <v>1336</v>
      </c>
      <c r="O124" s="208"/>
      <c r="P124" s="208"/>
      <c r="Q124" s="208">
        <f t="shared" si="11"/>
        <v>0.1</v>
      </c>
      <c r="R124" s="36"/>
      <c r="S124" s="5">
        <v>0.1</v>
      </c>
      <c r="T124" s="6"/>
      <c r="U124" s="50"/>
      <c r="V124" s="20"/>
      <c r="W124" s="129"/>
      <c r="X124" s="20"/>
      <c r="Y124" s="129"/>
      <c r="Z124" s="20"/>
      <c r="AA124" s="129"/>
      <c r="AB124" s="20"/>
      <c r="AC124" s="129"/>
      <c r="AD124" s="20"/>
      <c r="AE124" s="19"/>
      <c r="AF124" s="8"/>
      <c r="AG124" s="17"/>
      <c r="AH124" s="38"/>
      <c r="AI124" s="18"/>
      <c r="AJ124" s="131"/>
      <c r="AK124" s="131"/>
      <c r="AL124" s="37"/>
      <c r="AM124" s="110" t="s">
        <v>415</v>
      </c>
      <c r="AN124" s="110" t="s">
        <v>179</v>
      </c>
      <c r="AO124" s="110" t="s">
        <v>179</v>
      </c>
      <c r="AP124" s="110" t="s">
        <v>179</v>
      </c>
      <c r="AQ124" s="110" t="s">
        <v>179</v>
      </c>
      <c r="AR124" s="110" t="s">
        <v>179</v>
      </c>
      <c r="AS124" s="131" t="s">
        <v>179</v>
      </c>
      <c r="AT124" s="215" t="s">
        <v>179</v>
      </c>
      <c r="AU124" s="215" t="s">
        <v>180</v>
      </c>
      <c r="AV124" s="170" t="str">
        <f t="shared" si="10"/>
        <v>A</v>
      </c>
    </row>
    <row r="125" spans="1:55" ht="15" customHeight="1" x14ac:dyDescent="0.25">
      <c r="A125" s="59">
        <v>43690</v>
      </c>
      <c r="B125" s="59" t="s">
        <v>936</v>
      </c>
      <c r="C125" s="59" t="s">
        <v>28</v>
      </c>
      <c r="D125" s="110" t="s">
        <v>28</v>
      </c>
      <c r="E125" s="60">
        <v>660</v>
      </c>
      <c r="F125" s="60">
        <v>63</v>
      </c>
      <c r="G125" s="156" t="s">
        <v>473</v>
      </c>
      <c r="H125" s="133" t="s">
        <v>932</v>
      </c>
      <c r="I125" s="110" t="s">
        <v>938</v>
      </c>
      <c r="J125" s="110" t="s">
        <v>937</v>
      </c>
      <c r="K125" s="110" t="s">
        <v>7</v>
      </c>
      <c r="L125" s="110" t="s">
        <v>933</v>
      </c>
      <c r="M125" s="110" t="s">
        <v>934</v>
      </c>
      <c r="N125" s="110" t="s">
        <v>1145</v>
      </c>
      <c r="O125" s="208"/>
      <c r="P125" s="208"/>
      <c r="Q125" s="208">
        <f t="shared" si="11"/>
        <v>0.1</v>
      </c>
      <c r="R125" s="36"/>
      <c r="S125" s="5">
        <v>0.1</v>
      </c>
      <c r="T125" s="6"/>
      <c r="U125" s="50"/>
      <c r="V125" s="20"/>
      <c r="W125" s="129"/>
      <c r="X125" s="20"/>
      <c r="Y125" s="129"/>
      <c r="Z125" s="20"/>
      <c r="AA125" s="129"/>
      <c r="AB125" s="20"/>
      <c r="AC125" s="129"/>
      <c r="AD125" s="20"/>
      <c r="AE125" s="19"/>
      <c r="AF125" s="8"/>
      <c r="AG125" s="17"/>
      <c r="AH125" s="38"/>
      <c r="AI125" s="18"/>
      <c r="AJ125" s="131"/>
      <c r="AK125" s="131"/>
      <c r="AL125" s="37"/>
      <c r="AM125" s="110" t="s">
        <v>226</v>
      </c>
      <c r="AN125" s="110" t="s">
        <v>179</v>
      </c>
      <c r="AO125" s="110" t="s">
        <v>179</v>
      </c>
      <c r="AP125" s="110" t="s">
        <v>179</v>
      </c>
      <c r="AQ125" s="110" t="s">
        <v>179</v>
      </c>
      <c r="AR125" s="110" t="s">
        <v>179</v>
      </c>
      <c r="AS125" s="131" t="s">
        <v>179</v>
      </c>
      <c r="AT125" s="215" t="s">
        <v>179</v>
      </c>
      <c r="AU125" s="215" t="s">
        <v>180</v>
      </c>
      <c r="AV125" s="170" t="str">
        <f t="shared" si="10"/>
        <v>A</v>
      </c>
      <c r="BB125" s="42"/>
    </row>
    <row r="126" spans="1:55" ht="15.75" customHeight="1" x14ac:dyDescent="0.25">
      <c r="A126" s="59">
        <v>43691</v>
      </c>
      <c r="B126" s="59" t="s">
        <v>948</v>
      </c>
      <c r="C126" s="59" t="s">
        <v>30</v>
      </c>
      <c r="D126" s="110" t="s">
        <v>28</v>
      </c>
      <c r="E126" s="60">
        <v>667</v>
      </c>
      <c r="F126" s="228">
        <v>64</v>
      </c>
      <c r="G126" s="156" t="s">
        <v>246</v>
      </c>
      <c r="H126" s="133" t="s">
        <v>949</v>
      </c>
      <c r="I126" s="110" t="s">
        <v>950</v>
      </c>
      <c r="J126" s="110"/>
      <c r="K126" s="110" t="s">
        <v>7</v>
      </c>
      <c r="L126" s="227" t="s">
        <v>205</v>
      </c>
      <c r="M126" s="110" t="s">
        <v>952</v>
      </c>
      <c r="N126" s="110" t="s">
        <v>953</v>
      </c>
      <c r="O126" s="229">
        <v>582602</v>
      </c>
      <c r="P126" s="229">
        <v>4836724</v>
      </c>
      <c r="Q126" s="208">
        <f t="shared" si="11"/>
        <v>0.5</v>
      </c>
      <c r="R126" s="36"/>
      <c r="S126" s="5">
        <v>0.5</v>
      </c>
      <c r="T126" s="6"/>
      <c r="U126" s="50"/>
      <c r="V126" s="20"/>
      <c r="W126" s="129"/>
      <c r="X126" s="20"/>
      <c r="Y126" s="129"/>
      <c r="Z126" s="20"/>
      <c r="AA126" s="129"/>
      <c r="AB126" s="20"/>
      <c r="AC126" s="129"/>
      <c r="AD126" s="20"/>
      <c r="AE126" s="19"/>
      <c r="AF126" s="8"/>
      <c r="AG126" s="17"/>
      <c r="AH126" s="38"/>
      <c r="AI126" s="18"/>
      <c r="AJ126" s="131" t="s">
        <v>301</v>
      </c>
      <c r="AK126" s="131" t="s">
        <v>301</v>
      </c>
      <c r="AL126" s="37"/>
      <c r="AM126" s="110" t="s">
        <v>161</v>
      </c>
      <c r="AN126" s="110" t="s">
        <v>179</v>
      </c>
      <c r="AO126" s="110" t="s">
        <v>179</v>
      </c>
      <c r="AP126" s="110" t="s">
        <v>179</v>
      </c>
      <c r="AQ126" s="110" t="s">
        <v>179</v>
      </c>
      <c r="AR126" s="110" t="s">
        <v>162</v>
      </c>
      <c r="AS126" s="131" t="s">
        <v>179</v>
      </c>
      <c r="AT126" s="215" t="s">
        <v>179</v>
      </c>
      <c r="AU126" s="215" t="s">
        <v>180</v>
      </c>
      <c r="AV126" s="170" t="str">
        <f t="shared" si="10"/>
        <v>B</v>
      </c>
    </row>
    <row r="127" spans="1:55" ht="15" customHeight="1" x14ac:dyDescent="0.25">
      <c r="A127" s="59">
        <v>43692</v>
      </c>
      <c r="B127" s="59" t="s">
        <v>954</v>
      </c>
      <c r="C127" s="59" t="s">
        <v>27</v>
      </c>
      <c r="D127" s="110" t="s">
        <v>83</v>
      </c>
      <c r="E127" s="60">
        <v>672</v>
      </c>
      <c r="F127" s="172"/>
      <c r="G127" s="156" t="s">
        <v>8</v>
      </c>
      <c r="H127" s="133" t="s">
        <v>955</v>
      </c>
      <c r="I127" s="110" t="s">
        <v>405</v>
      </c>
      <c r="J127" s="110"/>
      <c r="K127" s="110" t="s">
        <v>7</v>
      </c>
      <c r="L127" s="110" t="s">
        <v>1162</v>
      </c>
      <c r="M127" s="110" t="s">
        <v>1163</v>
      </c>
      <c r="N127" s="110" t="s">
        <v>1164</v>
      </c>
      <c r="O127" s="110">
        <v>581546</v>
      </c>
      <c r="P127" s="110">
        <v>4793012</v>
      </c>
      <c r="Q127" s="208">
        <f t="shared" si="11"/>
        <v>69</v>
      </c>
      <c r="R127" s="36"/>
      <c r="S127" s="5"/>
      <c r="T127" s="6"/>
      <c r="U127" s="50">
        <v>69</v>
      </c>
      <c r="V127" s="20"/>
      <c r="W127" s="129"/>
      <c r="X127" s="20"/>
      <c r="Y127" s="129"/>
      <c r="Z127" s="20"/>
      <c r="AA127" s="129"/>
      <c r="AB127" s="20"/>
      <c r="AC127" s="129"/>
      <c r="AD127" s="20"/>
      <c r="AE127" s="19"/>
      <c r="AF127" s="8"/>
      <c r="AG127" s="17"/>
      <c r="AH127" s="38"/>
      <c r="AI127" s="18"/>
      <c r="AJ127" s="131"/>
      <c r="AK127" s="131"/>
      <c r="AL127" s="37"/>
      <c r="AM127" s="110" t="s">
        <v>29</v>
      </c>
      <c r="AN127" s="110" t="s">
        <v>179</v>
      </c>
      <c r="AO127" s="110" t="s">
        <v>179</v>
      </c>
      <c r="AP127" s="110" t="s">
        <v>179</v>
      </c>
      <c r="AQ127" s="110" t="s">
        <v>179</v>
      </c>
      <c r="AR127" s="110" t="s">
        <v>162</v>
      </c>
      <c r="AS127" s="131" t="s">
        <v>179</v>
      </c>
      <c r="AT127" s="215" t="s">
        <v>179</v>
      </c>
      <c r="AU127" s="215" t="s">
        <v>180</v>
      </c>
      <c r="AV127" s="170" t="str">
        <f t="shared" si="10"/>
        <v>C</v>
      </c>
    </row>
    <row r="128" spans="1:55" ht="15" customHeight="1" x14ac:dyDescent="0.25">
      <c r="A128" s="59">
        <v>43692</v>
      </c>
      <c r="B128" s="59" t="s">
        <v>956</v>
      </c>
      <c r="C128" s="59" t="s">
        <v>27</v>
      </c>
      <c r="D128" s="110" t="s">
        <v>83</v>
      </c>
      <c r="E128" s="60">
        <v>675</v>
      </c>
      <c r="F128" s="172"/>
      <c r="G128" s="156" t="s">
        <v>8</v>
      </c>
      <c r="H128" s="133" t="s">
        <v>958</v>
      </c>
      <c r="I128" s="110" t="s">
        <v>292</v>
      </c>
      <c r="J128" s="110" t="s">
        <v>1172</v>
      </c>
      <c r="K128" s="110" t="s">
        <v>7</v>
      </c>
      <c r="L128" s="110" t="s">
        <v>509</v>
      </c>
      <c r="M128" s="110" t="s">
        <v>1173</v>
      </c>
      <c r="N128" s="110" t="s">
        <v>1174</v>
      </c>
      <c r="O128" s="110">
        <v>573939</v>
      </c>
      <c r="P128" s="110">
        <v>4819804</v>
      </c>
      <c r="Q128" s="208">
        <f t="shared" si="11"/>
        <v>2.4</v>
      </c>
      <c r="R128" s="36"/>
      <c r="S128" s="5"/>
      <c r="T128" s="6"/>
      <c r="U128" s="50">
        <v>2.4</v>
      </c>
      <c r="V128" s="20"/>
      <c r="W128" s="129"/>
      <c r="X128" s="20"/>
      <c r="Y128" s="129"/>
      <c r="Z128" s="20"/>
      <c r="AA128" s="129"/>
      <c r="AB128" s="20"/>
      <c r="AC128" s="129"/>
      <c r="AD128" s="20"/>
      <c r="AE128" s="19"/>
      <c r="AF128" s="8"/>
      <c r="AG128" s="17"/>
      <c r="AH128" s="38"/>
      <c r="AI128" s="18"/>
      <c r="AJ128" s="131"/>
      <c r="AK128" s="131"/>
      <c r="AL128" s="37"/>
      <c r="AM128" s="110" t="s">
        <v>161</v>
      </c>
      <c r="AN128" s="110" t="s">
        <v>179</v>
      </c>
      <c r="AO128" s="110" t="s">
        <v>179</v>
      </c>
      <c r="AP128" s="110" t="s">
        <v>179</v>
      </c>
      <c r="AQ128" s="110" t="s">
        <v>179</v>
      </c>
      <c r="AR128" s="110" t="s">
        <v>162</v>
      </c>
      <c r="AS128" s="131" t="s">
        <v>179</v>
      </c>
      <c r="AT128" s="215" t="s">
        <v>179</v>
      </c>
      <c r="AU128" s="215" t="s">
        <v>180</v>
      </c>
      <c r="AV128" s="170" t="str">
        <f t="shared" si="10"/>
        <v>B</v>
      </c>
      <c r="BC128" s="42"/>
    </row>
    <row r="129" spans="1:55" ht="15" customHeight="1" x14ac:dyDescent="0.25">
      <c r="A129" s="59">
        <v>43692</v>
      </c>
      <c r="B129" s="59" t="s">
        <v>957</v>
      </c>
      <c r="C129" s="59" t="s">
        <v>27</v>
      </c>
      <c r="D129" s="110" t="s">
        <v>83</v>
      </c>
      <c r="E129" s="60">
        <v>676</v>
      </c>
      <c r="F129" s="172"/>
      <c r="G129" s="156" t="s">
        <v>8</v>
      </c>
      <c r="H129" s="133" t="s">
        <v>959</v>
      </c>
      <c r="I129" s="110" t="s">
        <v>963</v>
      </c>
      <c r="J129" s="110" t="s">
        <v>1179</v>
      </c>
      <c r="K129" s="110" t="s">
        <v>7</v>
      </c>
      <c r="L129" s="110" t="s">
        <v>964</v>
      </c>
      <c r="M129" s="110" t="s">
        <v>1180</v>
      </c>
      <c r="N129" s="110" t="s">
        <v>1181</v>
      </c>
      <c r="O129" s="110">
        <v>573118</v>
      </c>
      <c r="P129" s="110">
        <v>4811746</v>
      </c>
      <c r="Q129" s="208">
        <f t="shared" si="11"/>
        <v>0.1</v>
      </c>
      <c r="R129" s="36"/>
      <c r="S129" s="5"/>
      <c r="T129" s="6"/>
      <c r="U129" s="50">
        <v>0.1</v>
      </c>
      <c r="V129" s="20"/>
      <c r="W129" s="129"/>
      <c r="X129" s="20"/>
      <c r="Y129" s="129"/>
      <c r="Z129" s="20"/>
      <c r="AA129" s="129"/>
      <c r="AB129" s="20"/>
      <c r="AC129" s="129"/>
      <c r="AD129" s="20"/>
      <c r="AE129" s="19"/>
      <c r="AF129" s="8"/>
      <c r="AG129" s="17"/>
      <c r="AH129" s="38"/>
      <c r="AI129" s="18"/>
      <c r="AJ129" s="131"/>
      <c r="AK129" s="131"/>
      <c r="AL129" s="37"/>
      <c r="AM129" s="110" t="s">
        <v>161</v>
      </c>
      <c r="AN129" s="110" t="s">
        <v>179</v>
      </c>
      <c r="AO129" s="110" t="s">
        <v>179</v>
      </c>
      <c r="AP129" s="110" t="s">
        <v>179</v>
      </c>
      <c r="AQ129" s="110" t="s">
        <v>179</v>
      </c>
      <c r="AR129" s="110" t="s">
        <v>179</v>
      </c>
      <c r="AS129" s="131" t="s">
        <v>179</v>
      </c>
      <c r="AT129" s="215" t="s">
        <v>179</v>
      </c>
      <c r="AU129" s="215" t="s">
        <v>180</v>
      </c>
      <c r="AV129" s="170" t="str">
        <f t="shared" si="10"/>
        <v>A</v>
      </c>
    </row>
    <row r="130" spans="1:55" ht="15" customHeight="1" x14ac:dyDescent="0.25">
      <c r="A130" s="59">
        <v>43692</v>
      </c>
      <c r="B130" s="59" t="s">
        <v>968</v>
      </c>
      <c r="C130" s="59" t="s">
        <v>27</v>
      </c>
      <c r="D130" s="110" t="s">
        <v>79</v>
      </c>
      <c r="E130" s="60">
        <v>677</v>
      </c>
      <c r="F130" s="172"/>
      <c r="G130" s="156" t="s">
        <v>8</v>
      </c>
      <c r="H130" s="133" t="s">
        <v>961</v>
      </c>
      <c r="I130" s="110" t="s">
        <v>524</v>
      </c>
      <c r="J130" s="110" t="s">
        <v>357</v>
      </c>
      <c r="K130" s="110" t="s">
        <v>7</v>
      </c>
      <c r="L130" s="110" t="s">
        <v>1289</v>
      </c>
      <c r="M130" s="110" t="s">
        <v>1290</v>
      </c>
      <c r="N130" s="110" t="s">
        <v>1291</v>
      </c>
      <c r="O130" s="110">
        <v>582816</v>
      </c>
      <c r="P130" s="110">
        <v>4814882</v>
      </c>
      <c r="Q130" s="208">
        <f t="shared" si="11"/>
        <v>373</v>
      </c>
      <c r="R130" s="36"/>
      <c r="S130" s="5"/>
      <c r="T130" s="6"/>
      <c r="U130" s="50">
        <v>166</v>
      </c>
      <c r="V130" s="20"/>
      <c r="W130" s="129"/>
      <c r="X130" s="20"/>
      <c r="Y130" s="129"/>
      <c r="Z130" s="20"/>
      <c r="AA130" s="129"/>
      <c r="AB130" s="20"/>
      <c r="AC130" s="129">
        <v>207</v>
      </c>
      <c r="AD130" s="20"/>
      <c r="AE130" s="19"/>
      <c r="AF130" s="8"/>
      <c r="AG130" s="17"/>
      <c r="AH130" s="38"/>
      <c r="AI130" s="18"/>
      <c r="AJ130" s="131"/>
      <c r="AK130" s="131" t="s">
        <v>301</v>
      </c>
      <c r="AL130" s="37"/>
      <c r="AM130" s="110" t="s">
        <v>161</v>
      </c>
      <c r="AN130" s="110" t="s">
        <v>162</v>
      </c>
      <c r="AO130" s="110" t="s">
        <v>179</v>
      </c>
      <c r="AP130" s="110" t="s">
        <v>179</v>
      </c>
      <c r="AQ130" s="110" t="s">
        <v>179</v>
      </c>
      <c r="AR130" s="110" t="s">
        <v>179</v>
      </c>
      <c r="AS130" s="131" t="s">
        <v>162</v>
      </c>
      <c r="AT130" s="215" t="s">
        <v>162</v>
      </c>
      <c r="AU130" s="215" t="s">
        <v>162</v>
      </c>
      <c r="AV130" s="170" t="str">
        <f t="shared" si="10"/>
        <v>E</v>
      </c>
    </row>
    <row r="131" spans="1:55" ht="15" customHeight="1" x14ac:dyDescent="0.25">
      <c r="A131" s="59">
        <v>43692</v>
      </c>
      <c r="B131" s="59" t="s">
        <v>967</v>
      </c>
      <c r="C131" s="59" t="s">
        <v>27</v>
      </c>
      <c r="D131" s="110" t="s">
        <v>79</v>
      </c>
      <c r="E131" s="60">
        <v>678</v>
      </c>
      <c r="F131" s="172"/>
      <c r="G131" s="156" t="s">
        <v>8</v>
      </c>
      <c r="H131" s="133" t="s">
        <v>960</v>
      </c>
      <c r="I131" s="110" t="s">
        <v>292</v>
      </c>
      <c r="J131" s="110"/>
      <c r="K131" s="110" t="s">
        <v>7</v>
      </c>
      <c r="L131" s="110" t="s">
        <v>965</v>
      </c>
      <c r="M131" s="110" t="s">
        <v>1009</v>
      </c>
      <c r="N131" s="110" t="s">
        <v>1292</v>
      </c>
      <c r="O131" s="110">
        <v>585313</v>
      </c>
      <c r="P131" s="110">
        <v>4811592</v>
      </c>
      <c r="Q131" s="208">
        <f t="shared" si="11"/>
        <v>1218</v>
      </c>
      <c r="R131" s="36">
        <v>250</v>
      </c>
      <c r="S131" s="5"/>
      <c r="T131" s="6">
        <v>14</v>
      </c>
      <c r="U131" s="50"/>
      <c r="V131" s="20"/>
      <c r="W131" s="129"/>
      <c r="X131" s="20"/>
      <c r="Y131" s="129"/>
      <c r="Z131" s="20"/>
      <c r="AA131" s="129"/>
      <c r="AB131" s="20"/>
      <c r="AC131" s="129">
        <v>954</v>
      </c>
      <c r="AD131" s="20"/>
      <c r="AE131" s="19"/>
      <c r="AF131" s="8"/>
      <c r="AG131" s="17"/>
      <c r="AH131" s="38"/>
      <c r="AI131" s="18"/>
      <c r="AJ131" s="131"/>
      <c r="AK131" s="131" t="s">
        <v>301</v>
      </c>
      <c r="AL131" s="37"/>
      <c r="AM131" s="110" t="s">
        <v>161</v>
      </c>
      <c r="AN131" s="110" t="s">
        <v>162</v>
      </c>
      <c r="AO131" s="110" t="s">
        <v>179</v>
      </c>
      <c r="AP131" s="110" t="s">
        <v>179</v>
      </c>
      <c r="AQ131" s="110" t="s">
        <v>179</v>
      </c>
      <c r="AR131" s="110" t="s">
        <v>179</v>
      </c>
      <c r="AS131" s="131" t="s">
        <v>162</v>
      </c>
      <c r="AT131" s="215" t="s">
        <v>162</v>
      </c>
      <c r="AU131" s="215" t="s">
        <v>162</v>
      </c>
      <c r="AV131" s="170" t="str">
        <f t="shared" si="10"/>
        <v>F</v>
      </c>
    </row>
    <row r="132" spans="1:55" ht="15" customHeight="1" x14ac:dyDescent="0.25">
      <c r="A132" s="59">
        <v>43692</v>
      </c>
      <c r="B132" s="59" t="s">
        <v>969</v>
      </c>
      <c r="C132" s="59" t="s">
        <v>27</v>
      </c>
      <c r="D132" s="110" t="s">
        <v>30</v>
      </c>
      <c r="E132" s="60">
        <v>679</v>
      </c>
      <c r="F132" s="172"/>
      <c r="G132" s="156" t="s">
        <v>8</v>
      </c>
      <c r="H132" s="133" t="s">
        <v>962</v>
      </c>
      <c r="I132" s="110" t="s">
        <v>524</v>
      </c>
      <c r="J132" s="110" t="s">
        <v>357</v>
      </c>
      <c r="K132" s="110" t="s">
        <v>7</v>
      </c>
      <c r="L132" s="110" t="s">
        <v>966</v>
      </c>
      <c r="M132" s="110" t="s">
        <v>1304</v>
      </c>
      <c r="N132" s="110" t="s">
        <v>1305</v>
      </c>
      <c r="O132" s="110">
        <v>584210</v>
      </c>
      <c r="P132" s="110">
        <v>4814957</v>
      </c>
      <c r="Q132" s="208">
        <f t="shared" si="11"/>
        <v>19</v>
      </c>
      <c r="R132" s="36"/>
      <c r="S132" s="5"/>
      <c r="T132" s="6">
        <v>9</v>
      </c>
      <c r="U132" s="50"/>
      <c r="V132" s="20"/>
      <c r="W132" s="129"/>
      <c r="X132" s="20"/>
      <c r="Y132" s="129"/>
      <c r="Z132" s="20"/>
      <c r="AA132" s="129"/>
      <c r="AB132" s="20"/>
      <c r="AC132" s="129">
        <v>10</v>
      </c>
      <c r="AD132" s="20"/>
      <c r="AE132" s="19"/>
      <c r="AF132" s="8"/>
      <c r="AG132" s="17"/>
      <c r="AH132" s="38"/>
      <c r="AI132" s="18"/>
      <c r="AJ132" s="131"/>
      <c r="AK132" s="131" t="s">
        <v>301</v>
      </c>
      <c r="AL132" s="37"/>
      <c r="AM132" s="110" t="s">
        <v>140</v>
      </c>
      <c r="AN132" s="110" t="s">
        <v>179</v>
      </c>
      <c r="AO132" s="110" t="s">
        <v>179</v>
      </c>
      <c r="AP132" s="110" t="s">
        <v>179</v>
      </c>
      <c r="AQ132" s="110" t="s">
        <v>179</v>
      </c>
      <c r="AR132" s="110" t="s">
        <v>179</v>
      </c>
      <c r="AS132" s="131" t="s">
        <v>179</v>
      </c>
      <c r="AT132" s="215" t="s">
        <v>179</v>
      </c>
      <c r="AU132" s="215" t="s">
        <v>180</v>
      </c>
      <c r="AV132" s="170" t="str">
        <f t="shared" si="10"/>
        <v>C</v>
      </c>
      <c r="AX132" s="42"/>
      <c r="AY132" s="42"/>
      <c r="AZ132" s="42"/>
      <c r="BA132" s="42"/>
      <c r="BB132" s="42"/>
      <c r="BC132" s="42"/>
    </row>
    <row r="133" spans="1:55" ht="15" customHeight="1" x14ac:dyDescent="0.25">
      <c r="A133" s="59">
        <v>43692</v>
      </c>
      <c r="B133" s="59" t="s">
        <v>971</v>
      </c>
      <c r="C133" s="59" t="s">
        <v>27</v>
      </c>
      <c r="D133" s="110" t="s">
        <v>30</v>
      </c>
      <c r="E133" s="60">
        <v>680</v>
      </c>
      <c r="F133" s="172"/>
      <c r="G133" s="156" t="s">
        <v>8</v>
      </c>
      <c r="H133" s="133" t="s">
        <v>972</v>
      </c>
      <c r="I133" s="110" t="s">
        <v>357</v>
      </c>
      <c r="J133" s="110"/>
      <c r="K133" s="110" t="s">
        <v>7</v>
      </c>
      <c r="L133" s="110" t="s">
        <v>973</v>
      </c>
      <c r="M133" s="110" t="s">
        <v>1306</v>
      </c>
      <c r="N133" s="110" t="s">
        <v>1307</v>
      </c>
      <c r="O133" s="110">
        <v>584893</v>
      </c>
      <c r="P133" s="110">
        <v>4815266</v>
      </c>
      <c r="Q133" s="208">
        <f t="shared" si="11"/>
        <v>0.1</v>
      </c>
      <c r="R133" s="36"/>
      <c r="S133" s="5"/>
      <c r="T133" s="6">
        <v>0.1</v>
      </c>
      <c r="U133" s="50"/>
      <c r="V133" s="20"/>
      <c r="W133" s="129"/>
      <c r="X133" s="20"/>
      <c r="Y133" s="129"/>
      <c r="Z133" s="20"/>
      <c r="AA133" s="129"/>
      <c r="AB133" s="20"/>
      <c r="AC133" s="129"/>
      <c r="AD133" s="20"/>
      <c r="AE133" s="19"/>
      <c r="AF133" s="8"/>
      <c r="AG133" s="17"/>
      <c r="AH133" s="38"/>
      <c r="AI133" s="18"/>
      <c r="AJ133" s="131"/>
      <c r="AK133" s="131"/>
      <c r="AL133" s="37"/>
      <c r="AM133" s="110" t="s">
        <v>29</v>
      </c>
      <c r="AN133" s="110" t="s">
        <v>179</v>
      </c>
      <c r="AO133" s="110" t="s">
        <v>162</v>
      </c>
      <c r="AP133" s="110" t="s">
        <v>179</v>
      </c>
      <c r="AQ133" s="110" t="s">
        <v>179</v>
      </c>
      <c r="AR133" s="110" t="s">
        <v>179</v>
      </c>
      <c r="AS133" s="131" t="s">
        <v>179</v>
      </c>
      <c r="AT133" s="215" t="s">
        <v>179</v>
      </c>
      <c r="AU133" s="215" t="s">
        <v>180</v>
      </c>
      <c r="AV133" s="170" t="str">
        <f t="shared" si="10"/>
        <v>A</v>
      </c>
    </row>
    <row r="134" spans="1:55" ht="15" customHeight="1" x14ac:dyDescent="0.25">
      <c r="A134" s="59">
        <v>43692</v>
      </c>
      <c r="B134" s="59" t="s">
        <v>974</v>
      </c>
      <c r="C134" s="59" t="s">
        <v>27</v>
      </c>
      <c r="D134" s="110" t="s">
        <v>79</v>
      </c>
      <c r="E134" s="60">
        <v>681</v>
      </c>
      <c r="F134" s="172"/>
      <c r="G134" s="156" t="s">
        <v>8</v>
      </c>
      <c r="H134" s="133" t="s">
        <v>975</v>
      </c>
      <c r="I134" s="110" t="s">
        <v>357</v>
      </c>
      <c r="J134" s="110"/>
      <c r="K134" s="110" t="s">
        <v>7</v>
      </c>
      <c r="L134" s="110" t="s">
        <v>973</v>
      </c>
      <c r="M134" s="110" t="s">
        <v>1308</v>
      </c>
      <c r="N134" s="110" t="s">
        <v>1309</v>
      </c>
      <c r="O134" s="110">
        <v>585403</v>
      </c>
      <c r="P134" s="110">
        <v>4815460</v>
      </c>
      <c r="Q134" s="208">
        <f t="shared" si="11"/>
        <v>0.1</v>
      </c>
      <c r="R134" s="36"/>
      <c r="S134" s="5"/>
      <c r="T134" s="6"/>
      <c r="U134" s="93"/>
      <c r="V134" s="20"/>
      <c r="W134" s="129"/>
      <c r="X134" s="20"/>
      <c r="Y134" s="129"/>
      <c r="Z134" s="20"/>
      <c r="AA134" s="129"/>
      <c r="AB134" s="20"/>
      <c r="AC134" s="129">
        <v>0.1</v>
      </c>
      <c r="AD134" s="20"/>
      <c r="AE134" s="19"/>
      <c r="AF134" s="8"/>
      <c r="AG134" s="17"/>
      <c r="AH134" s="38"/>
      <c r="AI134" s="18"/>
      <c r="AJ134" s="131"/>
      <c r="AK134" s="131"/>
      <c r="AL134" s="37"/>
      <c r="AM134" s="110" t="s">
        <v>29</v>
      </c>
      <c r="AN134" s="110" t="s">
        <v>179</v>
      </c>
      <c r="AO134" s="110" t="s">
        <v>162</v>
      </c>
      <c r="AP134" s="110" t="s">
        <v>179</v>
      </c>
      <c r="AQ134" s="110" t="s">
        <v>179</v>
      </c>
      <c r="AR134" s="110" t="s">
        <v>179</v>
      </c>
      <c r="AS134" s="131" t="s">
        <v>179</v>
      </c>
      <c r="AT134" s="215" t="s">
        <v>179</v>
      </c>
      <c r="AU134" s="215" t="s">
        <v>180</v>
      </c>
      <c r="AV134" s="170" t="str">
        <f t="shared" si="10"/>
        <v>A</v>
      </c>
    </row>
    <row r="135" spans="1:55" ht="15" customHeight="1" x14ac:dyDescent="0.25">
      <c r="A135" s="59">
        <v>43694</v>
      </c>
      <c r="B135" s="59" t="s">
        <v>988</v>
      </c>
      <c r="C135" s="59" t="s">
        <v>30</v>
      </c>
      <c r="D135" s="110" t="s">
        <v>28</v>
      </c>
      <c r="E135" s="60">
        <v>684</v>
      </c>
      <c r="F135" s="60">
        <v>65</v>
      </c>
      <c r="G135" s="156" t="s">
        <v>246</v>
      </c>
      <c r="H135" s="133" t="s">
        <v>989</v>
      </c>
      <c r="I135" s="110" t="s">
        <v>710</v>
      </c>
      <c r="J135" s="110" t="s">
        <v>479</v>
      </c>
      <c r="K135" s="110" t="s">
        <v>7</v>
      </c>
      <c r="L135" s="110" t="s">
        <v>990</v>
      </c>
      <c r="M135" s="110" t="s">
        <v>991</v>
      </c>
      <c r="N135" s="110" t="s">
        <v>992</v>
      </c>
      <c r="O135" s="110">
        <v>571328</v>
      </c>
      <c r="P135" s="110">
        <v>4844368</v>
      </c>
      <c r="Q135" s="208">
        <f t="shared" si="11"/>
        <v>0.1</v>
      </c>
      <c r="R135" s="36"/>
      <c r="S135" s="5">
        <v>0.1</v>
      </c>
      <c r="T135" s="6"/>
      <c r="U135" s="50"/>
      <c r="V135" s="20"/>
      <c r="W135" s="129"/>
      <c r="X135" s="20"/>
      <c r="Y135" s="129"/>
      <c r="Z135" s="20"/>
      <c r="AA135" s="129"/>
      <c r="AB135" s="20"/>
      <c r="AC135" s="129"/>
      <c r="AD135" s="20"/>
      <c r="AE135" s="19"/>
      <c r="AF135" s="8"/>
      <c r="AG135" s="17"/>
      <c r="AH135" s="38"/>
      <c r="AI135" s="18"/>
      <c r="AJ135" s="131" t="s">
        <v>301</v>
      </c>
      <c r="AK135" s="131"/>
      <c r="AL135" s="37"/>
      <c r="AM135" s="110" t="s">
        <v>226</v>
      </c>
      <c r="AN135" s="110" t="s">
        <v>179</v>
      </c>
      <c r="AO135" s="110" t="s">
        <v>179</v>
      </c>
      <c r="AP135" s="110" t="s">
        <v>179</v>
      </c>
      <c r="AQ135" s="110" t="s">
        <v>179</v>
      </c>
      <c r="AR135" s="110" t="s">
        <v>179</v>
      </c>
      <c r="AS135" s="131" t="s">
        <v>179</v>
      </c>
      <c r="AT135" s="215" t="s">
        <v>179</v>
      </c>
      <c r="AU135" s="215" t="s">
        <v>180</v>
      </c>
      <c r="AV135" s="170" t="str">
        <f t="shared" si="10"/>
        <v>A</v>
      </c>
    </row>
    <row r="136" spans="1:55" s="42" customFormat="1" ht="15" customHeight="1" x14ac:dyDescent="0.25">
      <c r="A136" s="59">
        <v>43694</v>
      </c>
      <c r="B136" s="59" t="s">
        <v>995</v>
      </c>
      <c r="C136" s="59" t="s">
        <v>30</v>
      </c>
      <c r="D136" s="110" t="s">
        <v>27</v>
      </c>
      <c r="E136" s="60">
        <v>687</v>
      </c>
      <c r="F136" s="172"/>
      <c r="G136" s="156" t="s">
        <v>8</v>
      </c>
      <c r="H136" s="133" t="s">
        <v>994</v>
      </c>
      <c r="I136" s="110" t="s">
        <v>950</v>
      </c>
      <c r="J136" s="110" t="s">
        <v>996</v>
      </c>
      <c r="K136" s="110" t="s">
        <v>252</v>
      </c>
      <c r="L136" s="110" t="s">
        <v>993</v>
      </c>
      <c r="M136" s="110" t="s">
        <v>997</v>
      </c>
      <c r="N136" s="110" t="s">
        <v>998</v>
      </c>
      <c r="O136" s="208"/>
      <c r="P136" s="208"/>
      <c r="Q136" s="208">
        <f t="shared" si="11"/>
        <v>0.4</v>
      </c>
      <c r="R136" s="36">
        <v>0.4</v>
      </c>
      <c r="S136" s="5"/>
      <c r="T136" s="6"/>
      <c r="U136" s="91"/>
      <c r="V136" s="20"/>
      <c r="W136" s="129"/>
      <c r="X136" s="20"/>
      <c r="Y136" s="129"/>
      <c r="Z136" s="20"/>
      <c r="AA136" s="129"/>
      <c r="AB136" s="20"/>
      <c r="AC136" s="129"/>
      <c r="AD136" s="20"/>
      <c r="AE136" s="19"/>
      <c r="AF136" s="8"/>
      <c r="AG136" s="17"/>
      <c r="AH136" s="38"/>
      <c r="AI136" s="18"/>
      <c r="AJ136" s="131"/>
      <c r="AK136" s="131" t="s">
        <v>301</v>
      </c>
      <c r="AL136" s="37"/>
      <c r="AM136" s="110" t="s">
        <v>415</v>
      </c>
      <c r="AN136" s="110" t="s">
        <v>179</v>
      </c>
      <c r="AO136" s="110" t="s">
        <v>179</v>
      </c>
      <c r="AP136" s="110" t="s">
        <v>179</v>
      </c>
      <c r="AQ136" s="110" t="s">
        <v>179</v>
      </c>
      <c r="AR136" s="110" t="s">
        <v>179</v>
      </c>
      <c r="AS136" s="131" t="s">
        <v>179</v>
      </c>
      <c r="AT136" s="215" t="s">
        <v>179</v>
      </c>
      <c r="AU136" s="215" t="s">
        <v>180</v>
      </c>
      <c r="AV136" s="170" t="str">
        <f t="shared" si="10"/>
        <v>B</v>
      </c>
      <c r="AW136" s="22"/>
      <c r="AX136" s="2"/>
      <c r="AY136" s="2"/>
      <c r="AZ136" s="2"/>
      <c r="BA136" s="2"/>
      <c r="BB136" s="2"/>
      <c r="BC136" s="2"/>
    </row>
    <row r="137" spans="1:55" s="42" customFormat="1" ht="15" customHeight="1" x14ac:dyDescent="0.25">
      <c r="A137" s="59">
        <v>43695</v>
      </c>
      <c r="B137" s="59" t="s">
        <v>1010</v>
      </c>
      <c r="C137" s="59" t="s">
        <v>27</v>
      </c>
      <c r="D137" s="110" t="s">
        <v>27</v>
      </c>
      <c r="E137" s="60">
        <v>690</v>
      </c>
      <c r="F137" s="172"/>
      <c r="G137" s="156" t="s">
        <v>8</v>
      </c>
      <c r="H137" s="133" t="s">
        <v>1011</v>
      </c>
      <c r="I137" s="110" t="s">
        <v>514</v>
      </c>
      <c r="J137" s="110" t="s">
        <v>970</v>
      </c>
      <c r="K137" s="110" t="s">
        <v>7</v>
      </c>
      <c r="L137" s="110" t="s">
        <v>1012</v>
      </c>
      <c r="M137" s="110" t="s">
        <v>1017</v>
      </c>
      <c r="N137" s="110" t="s">
        <v>1325</v>
      </c>
      <c r="O137" s="110">
        <v>530788</v>
      </c>
      <c r="P137" s="110">
        <v>4854315</v>
      </c>
      <c r="Q137" s="208">
        <f t="shared" si="11"/>
        <v>17</v>
      </c>
      <c r="R137" s="36">
        <v>17</v>
      </c>
      <c r="S137" s="5"/>
      <c r="T137" s="6"/>
      <c r="U137" s="91"/>
      <c r="V137" s="20"/>
      <c r="W137" s="129"/>
      <c r="X137" s="20"/>
      <c r="Y137" s="129"/>
      <c r="Z137" s="20"/>
      <c r="AA137" s="129"/>
      <c r="AB137" s="20"/>
      <c r="AC137" s="129"/>
      <c r="AD137" s="20"/>
      <c r="AE137" s="19"/>
      <c r="AF137" s="8"/>
      <c r="AG137" s="17"/>
      <c r="AH137" s="38"/>
      <c r="AI137" s="18"/>
      <c r="AJ137" s="131"/>
      <c r="AK137" s="131"/>
      <c r="AL137" s="37"/>
      <c r="AM137" s="110" t="s">
        <v>415</v>
      </c>
      <c r="AN137" s="110" t="s">
        <v>179</v>
      </c>
      <c r="AO137" s="110" t="s">
        <v>179</v>
      </c>
      <c r="AP137" s="110" t="s">
        <v>179</v>
      </c>
      <c r="AQ137" s="110" t="s">
        <v>179</v>
      </c>
      <c r="AR137" s="110" t="s">
        <v>162</v>
      </c>
      <c r="AS137" s="131" t="s">
        <v>179</v>
      </c>
      <c r="AT137" s="215" t="s">
        <v>179</v>
      </c>
      <c r="AU137" s="215" t="s">
        <v>180</v>
      </c>
      <c r="AV137" s="170" t="str">
        <f t="shared" si="10"/>
        <v>C</v>
      </c>
      <c r="AW137" s="22"/>
      <c r="AX137" s="2"/>
      <c r="AY137" s="2"/>
      <c r="AZ137" s="2"/>
      <c r="BA137" s="2"/>
      <c r="BB137" s="2"/>
      <c r="BC137" s="2"/>
    </row>
    <row r="138" spans="1:55" ht="15" customHeight="1" x14ac:dyDescent="0.25">
      <c r="A138" s="59">
        <v>43696</v>
      </c>
      <c r="B138" s="59" t="s">
        <v>256</v>
      </c>
      <c r="C138" s="59" t="s">
        <v>28</v>
      </c>
      <c r="D138" s="110" t="s">
        <v>28</v>
      </c>
      <c r="E138" s="60">
        <v>692</v>
      </c>
      <c r="F138" s="60">
        <v>66</v>
      </c>
      <c r="G138" s="156" t="s">
        <v>246</v>
      </c>
      <c r="H138" s="133" t="s">
        <v>1018</v>
      </c>
      <c r="I138" s="110" t="s">
        <v>1021</v>
      </c>
      <c r="J138" s="110" t="s">
        <v>1024</v>
      </c>
      <c r="K138" s="110" t="s">
        <v>252</v>
      </c>
      <c r="L138" s="110" t="s">
        <v>1022</v>
      </c>
      <c r="M138" s="110" t="s">
        <v>1023</v>
      </c>
      <c r="N138" s="110" t="s">
        <v>1337</v>
      </c>
      <c r="O138" s="208"/>
      <c r="P138" s="208"/>
      <c r="Q138" s="208">
        <f t="shared" si="11"/>
        <v>1</v>
      </c>
      <c r="R138" s="36"/>
      <c r="S138" s="5">
        <v>1</v>
      </c>
      <c r="T138" s="6"/>
      <c r="U138" s="50"/>
      <c r="V138" s="20"/>
      <c r="W138" s="129"/>
      <c r="X138" s="20"/>
      <c r="Y138" s="129"/>
      <c r="Z138" s="20"/>
      <c r="AA138" s="129"/>
      <c r="AB138" s="20"/>
      <c r="AC138" s="129"/>
      <c r="AD138" s="20"/>
      <c r="AE138" s="19"/>
      <c r="AF138" s="8"/>
      <c r="AG138" s="17"/>
      <c r="AH138" s="38"/>
      <c r="AI138" s="18"/>
      <c r="AJ138" s="131"/>
      <c r="AK138" s="131"/>
      <c r="AL138" s="37"/>
      <c r="AM138" s="110" t="s">
        <v>140</v>
      </c>
      <c r="AN138" s="110" t="s">
        <v>179</v>
      </c>
      <c r="AO138" s="110" t="s">
        <v>179</v>
      </c>
      <c r="AP138" s="110" t="s">
        <v>179</v>
      </c>
      <c r="AQ138" s="110" t="s">
        <v>179</v>
      </c>
      <c r="AR138" s="110" t="s">
        <v>179</v>
      </c>
      <c r="AS138" s="131" t="s">
        <v>179</v>
      </c>
      <c r="AT138" s="215" t="s">
        <v>179</v>
      </c>
      <c r="AU138" s="215" t="s">
        <v>180</v>
      </c>
      <c r="AV138" s="170" t="str">
        <f t="shared" ref="AV138:AV199" si="12">IF(Q138&gt;4999.9,"G",IF(Q138&gt;999.9,"F",IF(Q138&gt;299.9,"E",IF(Q138&gt;99.9,"D",IF(Q138&gt;9.9,"C",IF(Q138&gt;0.25,"B",IF(Q138&gt;0,"A","")))))))</f>
        <v>B</v>
      </c>
    </row>
    <row r="139" spans="1:55" ht="15" customHeight="1" x14ac:dyDescent="0.25">
      <c r="A139" s="59">
        <v>43696</v>
      </c>
      <c r="B139" s="59" t="s">
        <v>1025</v>
      </c>
      <c r="C139" s="59" t="s">
        <v>28</v>
      </c>
      <c r="D139" s="110" t="s">
        <v>348</v>
      </c>
      <c r="E139" s="60">
        <v>695</v>
      </c>
      <c r="F139" s="60">
        <v>67</v>
      </c>
      <c r="G139" s="156" t="s">
        <v>246</v>
      </c>
      <c r="H139" s="133" t="s">
        <v>1019</v>
      </c>
      <c r="I139" s="110" t="s">
        <v>1026</v>
      </c>
      <c r="J139" s="110"/>
      <c r="K139" s="110" t="s">
        <v>7</v>
      </c>
      <c r="L139" s="110" t="s">
        <v>1027</v>
      </c>
      <c r="M139" s="110" t="s">
        <v>1146</v>
      </c>
      <c r="N139" s="110" t="s">
        <v>1028</v>
      </c>
      <c r="O139" s="208"/>
      <c r="P139" s="208"/>
      <c r="Q139" s="208">
        <f t="shared" ref="Q139:Q200" si="13">SUM(R139:AI139)</f>
        <v>0.1</v>
      </c>
      <c r="R139" s="36"/>
      <c r="S139" s="5"/>
      <c r="T139" s="6"/>
      <c r="U139" s="50"/>
      <c r="V139" s="20"/>
      <c r="W139" s="129"/>
      <c r="X139" s="20"/>
      <c r="Y139" s="129"/>
      <c r="Z139" s="20"/>
      <c r="AA139" s="129"/>
      <c r="AB139" s="20"/>
      <c r="AC139" s="129"/>
      <c r="AD139" s="20"/>
      <c r="AE139" s="19"/>
      <c r="AF139" s="8"/>
      <c r="AG139" s="17"/>
      <c r="AH139" s="38">
        <v>0.1</v>
      </c>
      <c r="AI139" s="18"/>
      <c r="AJ139" s="131"/>
      <c r="AK139" s="131"/>
      <c r="AL139" s="37"/>
      <c r="AM139" s="110" t="s">
        <v>29</v>
      </c>
      <c r="AN139" s="110" t="s">
        <v>179</v>
      </c>
      <c r="AO139" s="110" t="s">
        <v>179</v>
      </c>
      <c r="AP139" s="110" t="s">
        <v>179</v>
      </c>
      <c r="AQ139" s="110" t="s">
        <v>179</v>
      </c>
      <c r="AR139" s="110" t="s">
        <v>179</v>
      </c>
      <c r="AS139" s="131" t="s">
        <v>179</v>
      </c>
      <c r="AT139" s="215" t="s">
        <v>179</v>
      </c>
      <c r="AU139" s="215" t="s">
        <v>180</v>
      </c>
      <c r="AV139" s="170" t="str">
        <f t="shared" si="12"/>
        <v>A</v>
      </c>
    </row>
    <row r="140" spans="1:55" ht="15" customHeight="1" x14ac:dyDescent="0.25">
      <c r="A140" s="59">
        <v>43696</v>
      </c>
      <c r="B140" s="59" t="s">
        <v>1029</v>
      </c>
      <c r="C140" s="59" t="s">
        <v>27</v>
      </c>
      <c r="D140" s="110" t="s">
        <v>30</v>
      </c>
      <c r="E140" s="60">
        <v>696</v>
      </c>
      <c r="F140" s="172"/>
      <c r="G140" s="156" t="s">
        <v>8</v>
      </c>
      <c r="H140" s="7" t="s">
        <v>1020</v>
      </c>
      <c r="I140" s="110" t="s">
        <v>706</v>
      </c>
      <c r="J140" s="110" t="s">
        <v>355</v>
      </c>
      <c r="K140" s="110" t="s">
        <v>7</v>
      </c>
      <c r="L140" s="110" t="s">
        <v>1030</v>
      </c>
      <c r="M140" s="110" t="s">
        <v>1326</v>
      </c>
      <c r="N140" s="110" t="s">
        <v>1327</v>
      </c>
      <c r="O140" s="110">
        <v>575768</v>
      </c>
      <c r="P140" s="110">
        <v>4820511</v>
      </c>
      <c r="Q140" s="208">
        <f t="shared" si="13"/>
        <v>3.5</v>
      </c>
      <c r="R140" s="36"/>
      <c r="S140" s="5"/>
      <c r="T140" s="6">
        <v>3.5</v>
      </c>
      <c r="U140" s="50"/>
      <c r="V140" s="20"/>
      <c r="W140" s="129"/>
      <c r="X140" s="20"/>
      <c r="Y140" s="129"/>
      <c r="Z140" s="20"/>
      <c r="AA140" s="129"/>
      <c r="AB140" s="20"/>
      <c r="AC140" s="129"/>
      <c r="AD140" s="20"/>
      <c r="AE140" s="19"/>
      <c r="AF140" s="8"/>
      <c r="AG140" s="17"/>
      <c r="AH140" s="38"/>
      <c r="AI140" s="18"/>
      <c r="AJ140" s="131"/>
      <c r="AK140" s="131" t="s">
        <v>301</v>
      </c>
      <c r="AL140" s="37"/>
      <c r="AM140" s="110" t="s">
        <v>161</v>
      </c>
      <c r="AN140" s="110" t="s">
        <v>179</v>
      </c>
      <c r="AO140" s="110" t="s">
        <v>179</v>
      </c>
      <c r="AP140" s="110" t="s">
        <v>179</v>
      </c>
      <c r="AQ140" s="110" t="s">
        <v>179</v>
      </c>
      <c r="AR140" s="110" t="s">
        <v>179</v>
      </c>
      <c r="AS140" s="131" t="s">
        <v>179</v>
      </c>
      <c r="AT140" s="215" t="s">
        <v>179</v>
      </c>
      <c r="AU140" s="215" t="s">
        <v>180</v>
      </c>
      <c r="AV140" s="170" t="str">
        <f t="shared" si="12"/>
        <v>B</v>
      </c>
    </row>
    <row r="141" spans="1:55" ht="15" customHeight="1" x14ac:dyDescent="0.25">
      <c r="A141" s="59">
        <v>43696</v>
      </c>
      <c r="B141" s="110" t="s">
        <v>1034</v>
      </c>
      <c r="C141" s="59" t="s">
        <v>27</v>
      </c>
      <c r="D141" s="110" t="s">
        <v>348</v>
      </c>
      <c r="E141" s="60">
        <v>697</v>
      </c>
      <c r="F141" s="172"/>
      <c r="G141" s="156" t="s">
        <v>8</v>
      </c>
      <c r="H141" s="133" t="s">
        <v>1031</v>
      </c>
      <c r="I141" s="110" t="s">
        <v>292</v>
      </c>
      <c r="J141" s="110"/>
      <c r="K141" s="110" t="s">
        <v>7</v>
      </c>
      <c r="L141" s="110" t="s">
        <v>1032</v>
      </c>
      <c r="M141" s="110" t="s">
        <v>1033</v>
      </c>
      <c r="N141" s="110" t="s">
        <v>1328</v>
      </c>
      <c r="O141" s="110">
        <v>552074</v>
      </c>
      <c r="P141" s="110">
        <v>4814759</v>
      </c>
      <c r="Q141" s="208">
        <f t="shared" si="13"/>
        <v>1.5</v>
      </c>
      <c r="R141" s="36"/>
      <c r="S141" s="5"/>
      <c r="T141" s="6"/>
      <c r="U141" s="50"/>
      <c r="V141" s="20"/>
      <c r="W141" s="129"/>
      <c r="X141" s="20"/>
      <c r="Y141" s="129"/>
      <c r="Z141" s="20"/>
      <c r="AA141" s="129"/>
      <c r="AB141" s="20"/>
      <c r="AC141" s="129"/>
      <c r="AD141" s="20"/>
      <c r="AE141" s="19"/>
      <c r="AF141" s="8"/>
      <c r="AG141" s="17"/>
      <c r="AH141" s="38">
        <v>1.5</v>
      </c>
      <c r="AI141" s="18"/>
      <c r="AJ141" s="131"/>
      <c r="AK141" s="131"/>
      <c r="AL141" s="37"/>
      <c r="AM141" s="110" t="s">
        <v>161</v>
      </c>
      <c r="AN141" s="110" t="s">
        <v>179</v>
      </c>
      <c r="AO141" s="110" t="s">
        <v>179</v>
      </c>
      <c r="AP141" s="110" t="s">
        <v>179</v>
      </c>
      <c r="AQ141" s="110" t="s">
        <v>179</v>
      </c>
      <c r="AR141" s="110" t="s">
        <v>162</v>
      </c>
      <c r="AS141" s="131" t="s">
        <v>179</v>
      </c>
      <c r="AT141" s="215" t="s">
        <v>179</v>
      </c>
      <c r="AU141" s="215" t="s">
        <v>180</v>
      </c>
      <c r="AV141" s="170" t="str">
        <f t="shared" si="12"/>
        <v>B</v>
      </c>
    </row>
    <row r="142" spans="1:55" ht="15" customHeight="1" x14ac:dyDescent="0.25">
      <c r="A142" s="59">
        <v>43697</v>
      </c>
      <c r="B142" s="59" t="s">
        <v>256</v>
      </c>
      <c r="C142" s="131" t="s">
        <v>28</v>
      </c>
      <c r="D142" s="110" t="s">
        <v>28</v>
      </c>
      <c r="E142" s="110">
        <v>698</v>
      </c>
      <c r="F142" s="131">
        <v>68</v>
      </c>
      <c r="G142" s="156" t="s">
        <v>246</v>
      </c>
      <c r="H142" s="133" t="s">
        <v>1035</v>
      </c>
      <c r="I142" s="110" t="s">
        <v>1037</v>
      </c>
      <c r="J142" s="110" t="s">
        <v>1338</v>
      </c>
      <c r="K142" s="110" t="s">
        <v>252</v>
      </c>
      <c r="L142" s="110" t="s">
        <v>1036</v>
      </c>
      <c r="M142" s="110" t="s">
        <v>1038</v>
      </c>
      <c r="N142" s="110" t="s">
        <v>1339</v>
      </c>
      <c r="O142" s="208"/>
      <c r="P142" s="208"/>
      <c r="Q142" s="208">
        <f t="shared" si="13"/>
        <v>0.1</v>
      </c>
      <c r="R142" s="36"/>
      <c r="S142" s="5">
        <v>0.1</v>
      </c>
      <c r="T142" s="6"/>
      <c r="U142" s="50"/>
      <c r="V142" s="20"/>
      <c r="W142" s="129"/>
      <c r="X142" s="20"/>
      <c r="Y142" s="129"/>
      <c r="Z142" s="20"/>
      <c r="AA142" s="129"/>
      <c r="AB142" s="20"/>
      <c r="AC142" s="129"/>
      <c r="AD142" s="20"/>
      <c r="AE142" s="19"/>
      <c r="AF142" s="8"/>
      <c r="AG142" s="17"/>
      <c r="AH142" s="38"/>
      <c r="AI142" s="18"/>
      <c r="AJ142" s="131"/>
      <c r="AK142" s="131"/>
      <c r="AL142" s="37"/>
      <c r="AM142" s="110" t="s">
        <v>415</v>
      </c>
      <c r="AN142" s="110" t="s">
        <v>179</v>
      </c>
      <c r="AO142" s="110" t="s">
        <v>179</v>
      </c>
      <c r="AP142" s="110" t="s">
        <v>179</v>
      </c>
      <c r="AQ142" s="110" t="s">
        <v>179</v>
      </c>
      <c r="AR142" s="110" t="s">
        <v>179</v>
      </c>
      <c r="AS142" s="131" t="s">
        <v>179</v>
      </c>
      <c r="AT142" s="215" t="s">
        <v>179</v>
      </c>
      <c r="AU142" s="215" t="s">
        <v>180</v>
      </c>
      <c r="AV142" s="170" t="str">
        <f t="shared" si="12"/>
        <v>A</v>
      </c>
      <c r="AW142" s="105"/>
      <c r="AX142" s="51"/>
      <c r="AY142" s="51"/>
      <c r="AZ142" s="51"/>
      <c r="BA142" s="51"/>
      <c r="BB142" s="51"/>
      <c r="BC142" s="51"/>
    </row>
    <row r="143" spans="1:55" ht="15" customHeight="1" x14ac:dyDescent="0.25">
      <c r="A143" s="59">
        <v>43697</v>
      </c>
      <c r="B143" s="59" t="s">
        <v>1039</v>
      </c>
      <c r="C143" s="59" t="s">
        <v>27</v>
      </c>
      <c r="D143" s="110" t="s">
        <v>83</v>
      </c>
      <c r="E143" s="60">
        <v>701</v>
      </c>
      <c r="F143" s="172"/>
      <c r="G143" s="156" t="s">
        <v>8</v>
      </c>
      <c r="H143" s="133" t="s">
        <v>1040</v>
      </c>
      <c r="I143" s="110" t="s">
        <v>405</v>
      </c>
      <c r="J143" s="110" t="s">
        <v>596</v>
      </c>
      <c r="K143" s="110" t="s">
        <v>7</v>
      </c>
      <c r="L143" s="110" t="s">
        <v>1041</v>
      </c>
      <c r="M143" s="110" t="s">
        <v>1042</v>
      </c>
      <c r="N143" s="110" t="s">
        <v>1329</v>
      </c>
      <c r="O143" s="110">
        <v>580545</v>
      </c>
      <c r="P143" s="110">
        <v>4825594</v>
      </c>
      <c r="Q143" s="208">
        <f t="shared" si="13"/>
        <v>0.45</v>
      </c>
      <c r="R143" s="36"/>
      <c r="S143" s="5"/>
      <c r="T143" s="6"/>
      <c r="U143" s="50">
        <v>0.45</v>
      </c>
      <c r="V143" s="20"/>
      <c r="W143" s="129"/>
      <c r="X143" s="20"/>
      <c r="Y143" s="129"/>
      <c r="Z143" s="20"/>
      <c r="AA143" s="129"/>
      <c r="AB143" s="20"/>
      <c r="AC143" s="129"/>
      <c r="AD143" s="20"/>
      <c r="AE143" s="19"/>
      <c r="AF143" s="8"/>
      <c r="AG143" s="17"/>
      <c r="AH143" s="38"/>
      <c r="AI143" s="18"/>
      <c r="AJ143" s="131"/>
      <c r="AK143" s="131" t="s">
        <v>301</v>
      </c>
      <c r="AL143" s="37"/>
      <c r="AM143" s="110" t="s">
        <v>161</v>
      </c>
      <c r="AN143" s="110" t="s">
        <v>179</v>
      </c>
      <c r="AO143" s="110" t="s">
        <v>179</v>
      </c>
      <c r="AP143" s="110" t="s">
        <v>179</v>
      </c>
      <c r="AQ143" s="110" t="s">
        <v>179</v>
      </c>
      <c r="AR143" s="110" t="s">
        <v>162</v>
      </c>
      <c r="AS143" s="131" t="s">
        <v>179</v>
      </c>
      <c r="AT143" s="215" t="s">
        <v>179</v>
      </c>
      <c r="AU143" s="215" t="s">
        <v>180</v>
      </c>
      <c r="AV143" s="170" t="str">
        <f t="shared" si="12"/>
        <v>B</v>
      </c>
      <c r="AW143" s="22" t="s">
        <v>5</v>
      </c>
    </row>
    <row r="144" spans="1:55" ht="15" customHeight="1" x14ac:dyDescent="0.25">
      <c r="A144" s="59">
        <v>43698</v>
      </c>
      <c r="B144" s="59" t="s">
        <v>256</v>
      </c>
      <c r="C144" s="59" t="s">
        <v>28</v>
      </c>
      <c r="D144" s="110" t="s">
        <v>28</v>
      </c>
      <c r="E144" s="60">
        <v>709</v>
      </c>
      <c r="F144" s="60">
        <v>69</v>
      </c>
      <c r="G144" s="156" t="s">
        <v>221</v>
      </c>
      <c r="H144" s="133" t="s">
        <v>1053</v>
      </c>
      <c r="I144" s="110" t="s">
        <v>1054</v>
      </c>
      <c r="J144" s="110" t="s">
        <v>1055</v>
      </c>
      <c r="K144" s="110" t="s">
        <v>252</v>
      </c>
      <c r="L144" s="110" t="s">
        <v>1060</v>
      </c>
      <c r="M144" s="110" t="s">
        <v>1061</v>
      </c>
      <c r="N144" s="110" t="s">
        <v>1340</v>
      </c>
      <c r="O144" s="208"/>
      <c r="P144" s="208"/>
      <c r="Q144" s="208">
        <f t="shared" si="13"/>
        <v>0.75</v>
      </c>
      <c r="R144" s="36"/>
      <c r="S144" s="5">
        <v>0.75</v>
      </c>
      <c r="T144" s="6"/>
      <c r="U144" s="50"/>
      <c r="V144" s="20"/>
      <c r="W144" s="129"/>
      <c r="X144" s="20"/>
      <c r="Y144" s="129"/>
      <c r="Z144" s="20"/>
      <c r="AA144" s="129"/>
      <c r="AB144" s="20"/>
      <c r="AC144" s="129"/>
      <c r="AD144" s="20"/>
      <c r="AE144" s="19"/>
      <c r="AF144" s="8"/>
      <c r="AG144" s="17"/>
      <c r="AH144" s="38"/>
      <c r="AI144" s="18"/>
      <c r="AJ144" s="131"/>
      <c r="AK144" s="131"/>
      <c r="AL144" s="37"/>
      <c r="AM144" s="110" t="s">
        <v>161</v>
      </c>
      <c r="AN144" s="110" t="s">
        <v>179</v>
      </c>
      <c r="AO144" s="110" t="s">
        <v>179</v>
      </c>
      <c r="AP144" s="110" t="s">
        <v>179</v>
      </c>
      <c r="AQ144" s="110" t="s">
        <v>179</v>
      </c>
      <c r="AR144" s="110" t="s">
        <v>179</v>
      </c>
      <c r="AS144" s="131" t="s">
        <v>179</v>
      </c>
      <c r="AT144" s="215" t="s">
        <v>179</v>
      </c>
      <c r="AU144" s="215" t="s">
        <v>180</v>
      </c>
      <c r="AV144" s="170" t="str">
        <f t="shared" si="12"/>
        <v>B</v>
      </c>
    </row>
    <row r="145" spans="1:55" ht="15" customHeight="1" x14ac:dyDescent="0.25">
      <c r="A145" s="59">
        <v>43700</v>
      </c>
      <c r="B145" s="110" t="s">
        <v>1075</v>
      </c>
      <c r="C145" s="59" t="s">
        <v>27</v>
      </c>
      <c r="D145" s="110" t="s">
        <v>27</v>
      </c>
      <c r="E145" s="60">
        <v>717</v>
      </c>
      <c r="F145" s="172"/>
      <c r="G145" s="156" t="s">
        <v>216</v>
      </c>
      <c r="H145" s="133" t="s">
        <v>1076</v>
      </c>
      <c r="I145" s="110" t="s">
        <v>297</v>
      </c>
      <c r="J145" s="110"/>
      <c r="K145" s="110" t="s">
        <v>7</v>
      </c>
      <c r="L145" s="110" t="s">
        <v>1330</v>
      </c>
      <c r="M145" s="110" t="s">
        <v>1077</v>
      </c>
      <c r="N145" s="110" t="s">
        <v>1331</v>
      </c>
      <c r="O145" s="110">
        <v>599338</v>
      </c>
      <c r="P145" s="110">
        <v>4751651</v>
      </c>
      <c r="Q145" s="208">
        <f t="shared" si="13"/>
        <v>0.8</v>
      </c>
      <c r="R145" s="36">
        <v>0.8</v>
      </c>
      <c r="S145" s="5"/>
      <c r="T145" s="6"/>
      <c r="U145" s="50"/>
      <c r="V145" s="20"/>
      <c r="W145" s="129"/>
      <c r="X145" s="20"/>
      <c r="Y145" s="129"/>
      <c r="Z145" s="20"/>
      <c r="AA145" s="129"/>
      <c r="AB145" s="20"/>
      <c r="AC145" s="129"/>
      <c r="AD145" s="20"/>
      <c r="AE145" s="19"/>
      <c r="AF145" s="8"/>
      <c r="AG145" s="17"/>
      <c r="AH145" s="38"/>
      <c r="AI145" s="18"/>
      <c r="AJ145" s="131"/>
      <c r="AK145" s="131"/>
      <c r="AL145" s="37"/>
      <c r="AM145" s="110" t="s">
        <v>226</v>
      </c>
      <c r="AN145" s="110" t="s">
        <v>179</v>
      </c>
      <c r="AO145" s="110" t="s">
        <v>179</v>
      </c>
      <c r="AP145" s="110" t="s">
        <v>179</v>
      </c>
      <c r="AQ145" s="110" t="s">
        <v>179</v>
      </c>
      <c r="AR145" s="110" t="s">
        <v>162</v>
      </c>
      <c r="AS145" s="131" t="s">
        <v>179</v>
      </c>
      <c r="AT145" s="215" t="s">
        <v>179</v>
      </c>
      <c r="AU145" s="215" t="s">
        <v>180</v>
      </c>
      <c r="AV145" s="170" t="str">
        <f t="shared" si="12"/>
        <v>B</v>
      </c>
    </row>
    <row r="146" spans="1:55" s="42" customFormat="1" ht="15" customHeight="1" x14ac:dyDescent="0.25">
      <c r="A146" s="59">
        <v>43702</v>
      </c>
      <c r="B146" s="59" t="s">
        <v>1078</v>
      </c>
      <c r="C146" s="131" t="s">
        <v>27</v>
      </c>
      <c r="D146" s="110" t="s">
        <v>70</v>
      </c>
      <c r="E146" s="110">
        <v>721</v>
      </c>
      <c r="F146" s="208"/>
      <c r="G146" s="156" t="s">
        <v>8</v>
      </c>
      <c r="H146" s="133" t="s">
        <v>1079</v>
      </c>
      <c r="I146" s="110" t="s">
        <v>319</v>
      </c>
      <c r="J146" s="110" t="s">
        <v>357</v>
      </c>
      <c r="K146" s="110" t="s">
        <v>7</v>
      </c>
      <c r="L146" s="110" t="s">
        <v>1030</v>
      </c>
      <c r="M146" s="110" t="s">
        <v>1080</v>
      </c>
      <c r="N146" s="110" t="s">
        <v>1081</v>
      </c>
      <c r="O146" s="110">
        <v>575787</v>
      </c>
      <c r="P146" s="110">
        <v>4820509</v>
      </c>
      <c r="Q146" s="208">
        <f t="shared" si="13"/>
        <v>12</v>
      </c>
      <c r="R146" s="7"/>
      <c r="S146" s="5"/>
      <c r="T146" s="6">
        <v>5</v>
      </c>
      <c r="U146" s="50"/>
      <c r="V146" s="20"/>
      <c r="W146" s="129"/>
      <c r="X146" s="20"/>
      <c r="Y146" s="129"/>
      <c r="Z146" s="20"/>
      <c r="AA146" s="129"/>
      <c r="AB146" s="20"/>
      <c r="AC146" s="129"/>
      <c r="AD146" s="20"/>
      <c r="AE146" s="19"/>
      <c r="AF146" s="8"/>
      <c r="AG146" s="17">
        <v>7</v>
      </c>
      <c r="AH146" s="38"/>
      <c r="AI146" s="18"/>
      <c r="AJ146" s="131"/>
      <c r="AK146" s="131"/>
      <c r="AL146" s="131"/>
      <c r="AM146" s="59" t="s">
        <v>161</v>
      </c>
      <c r="AN146" s="59" t="s">
        <v>179</v>
      </c>
      <c r="AO146" s="59" t="s">
        <v>179</v>
      </c>
      <c r="AP146" s="59" t="s">
        <v>179</v>
      </c>
      <c r="AQ146" s="59" t="s">
        <v>179</v>
      </c>
      <c r="AR146" s="59" t="s">
        <v>162</v>
      </c>
      <c r="AS146" s="59" t="s">
        <v>179</v>
      </c>
      <c r="AT146" s="218" t="s">
        <v>179</v>
      </c>
      <c r="AU146" s="215" t="s">
        <v>180</v>
      </c>
      <c r="AV146" s="170" t="str">
        <f t="shared" si="12"/>
        <v>C</v>
      </c>
      <c r="AW146" s="22"/>
      <c r="BB146" s="2"/>
      <c r="BC146" s="2"/>
    </row>
    <row r="147" spans="1:55" ht="15" customHeight="1" x14ac:dyDescent="0.25">
      <c r="A147" s="59">
        <v>43703</v>
      </c>
      <c r="B147" s="59" t="s">
        <v>1087</v>
      </c>
      <c r="C147" s="59" t="s">
        <v>30</v>
      </c>
      <c r="D147" s="110" t="s">
        <v>82</v>
      </c>
      <c r="E147" s="60">
        <v>729</v>
      </c>
      <c r="F147" s="172"/>
      <c r="G147" s="156" t="s">
        <v>30</v>
      </c>
      <c r="H147" s="133" t="s">
        <v>1085</v>
      </c>
      <c r="I147" s="110" t="s">
        <v>225</v>
      </c>
      <c r="J147" s="110" t="s">
        <v>1089</v>
      </c>
      <c r="K147" s="110" t="s">
        <v>7</v>
      </c>
      <c r="L147" s="110" t="s">
        <v>1091</v>
      </c>
      <c r="M147" s="110" t="s">
        <v>1092</v>
      </c>
      <c r="N147" s="110" t="s">
        <v>1472</v>
      </c>
      <c r="O147" s="271">
        <v>583353</v>
      </c>
      <c r="P147" s="271">
        <v>4862896</v>
      </c>
      <c r="Q147" s="208">
        <f t="shared" si="13"/>
        <v>0.8</v>
      </c>
      <c r="R147" s="7"/>
      <c r="S147" s="5"/>
      <c r="T147" s="6"/>
      <c r="U147" s="50"/>
      <c r="V147" s="20"/>
      <c r="W147" s="129"/>
      <c r="X147" s="20"/>
      <c r="Y147" s="129"/>
      <c r="Z147" s="20"/>
      <c r="AA147" s="129">
        <v>0.8</v>
      </c>
      <c r="AB147" s="20"/>
      <c r="AC147" s="129"/>
      <c r="AD147" s="20"/>
      <c r="AE147" s="19"/>
      <c r="AF147" s="8"/>
      <c r="AG147" s="17"/>
      <c r="AH147" s="38"/>
      <c r="AI147" s="18"/>
      <c r="AJ147" s="131" t="s">
        <v>301</v>
      </c>
      <c r="AK147" s="131" t="s">
        <v>301</v>
      </c>
      <c r="AL147" s="131"/>
      <c r="AM147" s="110" t="s">
        <v>415</v>
      </c>
      <c r="AN147" s="110" t="s">
        <v>162</v>
      </c>
      <c r="AO147" s="110" t="s">
        <v>179</v>
      </c>
      <c r="AP147" s="110" t="s">
        <v>179</v>
      </c>
      <c r="AQ147" s="110" t="s">
        <v>179</v>
      </c>
      <c r="AR147" s="110" t="s">
        <v>162</v>
      </c>
      <c r="AS147" s="131" t="s">
        <v>179</v>
      </c>
      <c r="AT147" s="215" t="s">
        <v>179</v>
      </c>
      <c r="AU147" s="215" t="s">
        <v>180</v>
      </c>
      <c r="AV147" s="170" t="str">
        <f t="shared" si="12"/>
        <v>B</v>
      </c>
      <c r="AX147" s="42"/>
      <c r="AY147" s="42"/>
      <c r="AZ147" s="42"/>
      <c r="BA147" s="42"/>
    </row>
    <row r="148" spans="1:55" ht="15" customHeight="1" x14ac:dyDescent="0.25">
      <c r="A148" s="59">
        <v>43703</v>
      </c>
      <c r="B148" s="59" t="s">
        <v>1088</v>
      </c>
      <c r="C148" s="59" t="s">
        <v>30</v>
      </c>
      <c r="D148" s="110" t="s">
        <v>82</v>
      </c>
      <c r="E148" s="60">
        <v>731</v>
      </c>
      <c r="F148" s="172"/>
      <c r="G148" s="156" t="s">
        <v>30</v>
      </c>
      <c r="H148" s="133" t="s">
        <v>1086</v>
      </c>
      <c r="I148" s="110" t="s">
        <v>1090</v>
      </c>
      <c r="J148" s="110"/>
      <c r="K148" s="110" t="s">
        <v>7</v>
      </c>
      <c r="L148" s="110" t="s">
        <v>1093</v>
      </c>
      <c r="M148" s="110" t="s">
        <v>1094</v>
      </c>
      <c r="N148" s="110" t="s">
        <v>1473</v>
      </c>
      <c r="O148" s="271">
        <v>578897</v>
      </c>
      <c r="P148" s="271">
        <v>4841719</v>
      </c>
      <c r="Q148" s="208">
        <f t="shared" si="13"/>
        <v>0.1</v>
      </c>
      <c r="R148" s="7"/>
      <c r="S148" s="5"/>
      <c r="T148" s="6"/>
      <c r="U148" s="41"/>
      <c r="V148" s="20"/>
      <c r="W148" s="129"/>
      <c r="X148" s="20"/>
      <c r="Y148" s="129"/>
      <c r="Z148" s="20"/>
      <c r="AA148" s="129">
        <v>0.1</v>
      </c>
      <c r="AB148" s="20"/>
      <c r="AC148" s="129"/>
      <c r="AD148" s="20"/>
      <c r="AE148" s="19"/>
      <c r="AF148" s="8"/>
      <c r="AG148" s="17"/>
      <c r="AH148" s="38"/>
      <c r="AI148" s="18"/>
      <c r="AJ148" s="131"/>
      <c r="AK148" s="131"/>
      <c r="AL148" s="131"/>
      <c r="AM148" s="110" t="s">
        <v>161</v>
      </c>
      <c r="AN148" s="110" t="s">
        <v>162</v>
      </c>
      <c r="AO148" s="110" t="s">
        <v>179</v>
      </c>
      <c r="AP148" s="110" t="s">
        <v>179</v>
      </c>
      <c r="AQ148" s="110" t="s">
        <v>179</v>
      </c>
      <c r="AR148" s="110" t="s">
        <v>162</v>
      </c>
      <c r="AS148" s="131" t="s">
        <v>179</v>
      </c>
      <c r="AT148" s="215" t="s">
        <v>179</v>
      </c>
      <c r="AU148" s="215" t="s">
        <v>180</v>
      </c>
      <c r="AV148" s="170" t="str">
        <f t="shared" si="12"/>
        <v>A</v>
      </c>
    </row>
    <row r="149" spans="1:55" s="42" customFormat="1" ht="15" customHeight="1" x14ac:dyDescent="0.25">
      <c r="A149" s="59">
        <v>43707</v>
      </c>
      <c r="B149" s="59" t="s">
        <v>1127</v>
      </c>
      <c r="C149" s="59" t="s">
        <v>27</v>
      </c>
      <c r="D149" s="110" t="s">
        <v>27</v>
      </c>
      <c r="E149" s="60">
        <v>752</v>
      </c>
      <c r="F149" s="172"/>
      <c r="G149" s="156" t="s">
        <v>217</v>
      </c>
      <c r="H149" s="133" t="s">
        <v>1129</v>
      </c>
      <c r="I149" s="110" t="s">
        <v>1130</v>
      </c>
      <c r="J149" s="110"/>
      <c r="K149" s="110" t="s">
        <v>252</v>
      </c>
      <c r="L149" s="110" t="s">
        <v>1132</v>
      </c>
      <c r="M149" s="110" t="s">
        <v>1135</v>
      </c>
      <c r="N149" s="110" t="s">
        <v>1451</v>
      </c>
      <c r="O149" s="110">
        <v>516983</v>
      </c>
      <c r="P149" s="110">
        <v>4719786</v>
      </c>
      <c r="Q149" s="208">
        <f t="shared" si="13"/>
        <v>0.1</v>
      </c>
      <c r="R149" s="7">
        <v>0.1</v>
      </c>
      <c r="S149" s="5"/>
      <c r="T149" s="6"/>
      <c r="U149" s="92"/>
      <c r="V149" s="20"/>
      <c r="W149" s="129"/>
      <c r="X149" s="20"/>
      <c r="Y149" s="129"/>
      <c r="Z149" s="20"/>
      <c r="AA149" s="129"/>
      <c r="AB149" s="20"/>
      <c r="AC149" s="129"/>
      <c r="AD149" s="20"/>
      <c r="AE149" s="19"/>
      <c r="AF149" s="8"/>
      <c r="AG149" s="17"/>
      <c r="AH149" s="38"/>
      <c r="AI149" s="18"/>
      <c r="AJ149" s="131"/>
      <c r="AK149" s="131"/>
      <c r="AL149" s="131"/>
      <c r="AM149" s="110" t="s">
        <v>415</v>
      </c>
      <c r="AN149" s="110" t="s">
        <v>179</v>
      </c>
      <c r="AO149" s="110" t="s">
        <v>179</v>
      </c>
      <c r="AP149" s="110" t="s">
        <v>179</v>
      </c>
      <c r="AQ149" s="110" t="s">
        <v>162</v>
      </c>
      <c r="AR149" s="110" t="s">
        <v>179</v>
      </c>
      <c r="AS149" s="131" t="s">
        <v>179</v>
      </c>
      <c r="AT149" s="215" t="s">
        <v>179</v>
      </c>
      <c r="AU149" s="215" t="s">
        <v>180</v>
      </c>
      <c r="AV149" s="170" t="str">
        <f t="shared" si="12"/>
        <v>A</v>
      </c>
      <c r="AW149" s="22"/>
      <c r="AX149" s="2"/>
      <c r="AY149" s="2"/>
      <c r="AZ149" s="2"/>
      <c r="BA149" s="2"/>
      <c r="BB149" s="2"/>
      <c r="BC149" s="2"/>
    </row>
    <row r="150" spans="1:55" ht="15" customHeight="1" x14ac:dyDescent="0.25">
      <c r="A150" s="59">
        <v>43707</v>
      </c>
      <c r="B150" s="59" t="s">
        <v>1128</v>
      </c>
      <c r="C150" s="59" t="s">
        <v>27</v>
      </c>
      <c r="D150" s="110" t="s">
        <v>27</v>
      </c>
      <c r="E150" s="60">
        <v>753</v>
      </c>
      <c r="F150" s="172"/>
      <c r="G150" s="156" t="s">
        <v>217</v>
      </c>
      <c r="H150" s="133" t="s">
        <v>1131</v>
      </c>
      <c r="I150" s="110" t="s">
        <v>1130</v>
      </c>
      <c r="J150" s="110"/>
      <c r="K150" s="110" t="s">
        <v>252</v>
      </c>
      <c r="L150" s="110" t="s">
        <v>1133</v>
      </c>
      <c r="M150" s="110" t="s">
        <v>1134</v>
      </c>
      <c r="N150" s="110" t="s">
        <v>1452</v>
      </c>
      <c r="O150" s="110">
        <v>518738</v>
      </c>
      <c r="P150" s="110">
        <v>4720068</v>
      </c>
      <c r="Q150" s="208">
        <f t="shared" si="13"/>
        <v>0.1</v>
      </c>
      <c r="R150" s="7">
        <v>0.1</v>
      </c>
      <c r="S150" s="5"/>
      <c r="T150" s="6"/>
      <c r="U150" s="41"/>
      <c r="V150" s="20"/>
      <c r="W150" s="129"/>
      <c r="X150" s="20"/>
      <c r="Y150" s="129"/>
      <c r="Z150" s="20"/>
      <c r="AA150" s="129"/>
      <c r="AB150" s="20"/>
      <c r="AC150" s="129"/>
      <c r="AD150" s="20"/>
      <c r="AE150" s="19"/>
      <c r="AF150" s="8"/>
      <c r="AG150" s="17"/>
      <c r="AH150" s="38"/>
      <c r="AI150" s="18"/>
      <c r="AJ150" s="131"/>
      <c r="AK150" s="131"/>
      <c r="AL150" s="131"/>
      <c r="AM150" s="110" t="s">
        <v>140</v>
      </c>
      <c r="AN150" s="110" t="s">
        <v>179</v>
      </c>
      <c r="AO150" s="110" t="s">
        <v>179</v>
      </c>
      <c r="AP150" s="110" t="s">
        <v>179</v>
      </c>
      <c r="AQ150" s="110" t="s">
        <v>162</v>
      </c>
      <c r="AR150" s="110" t="s">
        <v>179</v>
      </c>
      <c r="AS150" s="131" t="s">
        <v>179</v>
      </c>
      <c r="AT150" s="215" t="s">
        <v>179</v>
      </c>
      <c r="AU150" s="215" t="s">
        <v>180</v>
      </c>
      <c r="AV150" s="170" t="str">
        <f t="shared" si="12"/>
        <v>A</v>
      </c>
      <c r="BB150" s="42"/>
    </row>
    <row r="151" spans="1:55" ht="15" customHeight="1" x14ac:dyDescent="0.25">
      <c r="A151" s="59">
        <v>43707</v>
      </c>
      <c r="B151" s="59" t="s">
        <v>1137</v>
      </c>
      <c r="C151" s="59" t="s">
        <v>28</v>
      </c>
      <c r="D151" s="110" t="s">
        <v>27</v>
      </c>
      <c r="E151" s="60">
        <v>754</v>
      </c>
      <c r="F151" s="228">
        <v>70</v>
      </c>
      <c r="G151" s="156" t="s">
        <v>237</v>
      </c>
      <c r="H151" s="133" t="s">
        <v>1136</v>
      </c>
      <c r="I151" s="110" t="s">
        <v>1138</v>
      </c>
      <c r="J151" s="110" t="s">
        <v>475</v>
      </c>
      <c r="K151" s="110" t="s">
        <v>7</v>
      </c>
      <c r="L151" s="110" t="s">
        <v>1581</v>
      </c>
      <c r="M151" s="110" t="s">
        <v>1582</v>
      </c>
      <c r="N151" s="110" t="s">
        <v>1583</v>
      </c>
      <c r="O151" s="208"/>
      <c r="P151" s="208"/>
      <c r="Q151" s="208">
        <f t="shared" si="13"/>
        <v>78</v>
      </c>
      <c r="R151" s="7">
        <v>29</v>
      </c>
      <c r="S151" s="5"/>
      <c r="T151" s="6"/>
      <c r="U151" s="41"/>
      <c r="V151" s="20"/>
      <c r="W151" s="129"/>
      <c r="X151" s="20"/>
      <c r="Y151" s="129"/>
      <c r="Z151" s="20"/>
      <c r="AA151" s="129">
        <v>14</v>
      </c>
      <c r="AB151" s="20"/>
      <c r="AC151" s="129"/>
      <c r="AD151" s="20"/>
      <c r="AE151" s="19"/>
      <c r="AF151" s="8"/>
      <c r="AG151" s="17"/>
      <c r="AH151" s="38">
        <v>35</v>
      </c>
      <c r="AI151" s="18"/>
      <c r="AJ151" s="131"/>
      <c r="AK151" s="131"/>
      <c r="AL151" s="131" t="s">
        <v>301</v>
      </c>
      <c r="AM151" s="110" t="s">
        <v>161</v>
      </c>
      <c r="AN151" s="110" t="s">
        <v>179</v>
      </c>
      <c r="AO151" s="110" t="s">
        <v>179</v>
      </c>
      <c r="AP151" s="110" t="s">
        <v>179</v>
      </c>
      <c r="AQ151" s="110" t="s">
        <v>179</v>
      </c>
      <c r="AR151" s="110" t="s">
        <v>162</v>
      </c>
      <c r="AS151" s="131" t="s">
        <v>179</v>
      </c>
      <c r="AT151" s="215" t="s">
        <v>180</v>
      </c>
      <c r="AU151" s="215" t="s">
        <v>162</v>
      </c>
      <c r="AV151" s="170" t="str">
        <f t="shared" si="12"/>
        <v>C</v>
      </c>
      <c r="BB151" s="42"/>
    </row>
    <row r="152" spans="1:55" ht="15" customHeight="1" x14ac:dyDescent="0.25">
      <c r="A152" s="59">
        <v>43708</v>
      </c>
      <c r="B152" s="59" t="s">
        <v>1139</v>
      </c>
      <c r="C152" s="59" t="s">
        <v>28</v>
      </c>
      <c r="D152" s="110" t="s">
        <v>30</v>
      </c>
      <c r="E152" s="60">
        <v>760</v>
      </c>
      <c r="F152" s="60">
        <v>71</v>
      </c>
      <c r="G152" s="156" t="s">
        <v>246</v>
      </c>
      <c r="H152" s="133" t="s">
        <v>1140</v>
      </c>
      <c r="I152" s="110" t="s">
        <v>338</v>
      </c>
      <c r="J152" s="110" t="s">
        <v>394</v>
      </c>
      <c r="K152" s="110" t="s">
        <v>7</v>
      </c>
      <c r="L152" s="110" t="s">
        <v>1141</v>
      </c>
      <c r="M152" s="110" t="s">
        <v>1142</v>
      </c>
      <c r="N152" s="110" t="s">
        <v>1341</v>
      </c>
      <c r="O152" s="208"/>
      <c r="P152" s="208"/>
      <c r="Q152" s="208">
        <f t="shared" si="13"/>
        <v>0.15</v>
      </c>
      <c r="R152" s="7"/>
      <c r="S152" s="5"/>
      <c r="T152" s="6">
        <v>0.15</v>
      </c>
      <c r="U152" s="41"/>
      <c r="V152" s="20"/>
      <c r="W152" s="129"/>
      <c r="X152" s="20"/>
      <c r="Y152" s="129"/>
      <c r="Z152" s="20"/>
      <c r="AA152" s="129"/>
      <c r="AB152" s="20"/>
      <c r="AC152" s="129"/>
      <c r="AD152" s="20"/>
      <c r="AE152" s="19"/>
      <c r="AF152" s="8"/>
      <c r="AG152" s="17"/>
      <c r="AH152" s="38"/>
      <c r="AI152" s="18"/>
      <c r="AJ152" s="131"/>
      <c r="AK152" s="131"/>
      <c r="AL152" s="131"/>
      <c r="AM152" s="110" t="s">
        <v>415</v>
      </c>
      <c r="AN152" s="110" t="s">
        <v>179</v>
      </c>
      <c r="AO152" s="110" t="s">
        <v>162</v>
      </c>
      <c r="AP152" s="110" t="s">
        <v>179</v>
      </c>
      <c r="AQ152" s="110" t="s">
        <v>179</v>
      </c>
      <c r="AR152" s="110" t="s">
        <v>179</v>
      </c>
      <c r="AS152" s="131" t="s">
        <v>162</v>
      </c>
      <c r="AT152" s="215" t="s">
        <v>180</v>
      </c>
      <c r="AU152" s="215" t="s">
        <v>180</v>
      </c>
      <c r="AV152" s="170" t="str">
        <f t="shared" si="12"/>
        <v>A</v>
      </c>
      <c r="BB152" s="42"/>
    </row>
    <row r="153" spans="1:55" ht="15" customHeight="1" x14ac:dyDescent="0.25">
      <c r="A153" s="59">
        <v>43709</v>
      </c>
      <c r="B153" s="59" t="s">
        <v>1149</v>
      </c>
      <c r="C153" s="59" t="s">
        <v>28</v>
      </c>
      <c r="D153" s="110" t="s">
        <v>28</v>
      </c>
      <c r="E153" s="60">
        <v>763</v>
      </c>
      <c r="F153" s="60">
        <v>72</v>
      </c>
      <c r="G153" s="156" t="s">
        <v>277</v>
      </c>
      <c r="H153" s="133" t="s">
        <v>1147</v>
      </c>
      <c r="I153" s="110" t="s">
        <v>1005</v>
      </c>
      <c r="J153" s="110" t="s">
        <v>1148</v>
      </c>
      <c r="K153" s="110" t="s">
        <v>7</v>
      </c>
      <c r="L153" s="110" t="s">
        <v>1150</v>
      </c>
      <c r="M153" s="110" t="s">
        <v>1342</v>
      </c>
      <c r="N153" s="110" t="s">
        <v>1343</v>
      </c>
      <c r="O153" s="208"/>
      <c r="P153" s="208"/>
      <c r="Q153" s="208">
        <f t="shared" si="13"/>
        <v>0.1</v>
      </c>
      <c r="R153" s="7"/>
      <c r="S153" s="5">
        <v>0.1</v>
      </c>
      <c r="T153" s="6"/>
      <c r="U153" s="41"/>
      <c r="V153" s="20"/>
      <c r="W153" s="129"/>
      <c r="X153" s="20"/>
      <c r="Y153" s="129"/>
      <c r="Z153" s="20"/>
      <c r="AA153" s="129"/>
      <c r="AB153" s="20"/>
      <c r="AC153" s="129"/>
      <c r="AD153" s="20"/>
      <c r="AE153" s="19"/>
      <c r="AF153" s="8"/>
      <c r="AG153" s="17"/>
      <c r="AH153" s="38"/>
      <c r="AI153" s="18"/>
      <c r="AJ153" s="131"/>
      <c r="AK153" s="131"/>
      <c r="AL153" s="131"/>
      <c r="AM153" s="110" t="s">
        <v>29</v>
      </c>
      <c r="AN153" s="110" t="s">
        <v>179</v>
      </c>
      <c r="AO153" s="110" t="s">
        <v>179</v>
      </c>
      <c r="AP153" s="110" t="s">
        <v>179</v>
      </c>
      <c r="AQ153" s="110" t="s">
        <v>179</v>
      </c>
      <c r="AR153" s="110" t="s">
        <v>179</v>
      </c>
      <c r="AS153" s="131" t="s">
        <v>179</v>
      </c>
      <c r="AT153" s="215" t="s">
        <v>179</v>
      </c>
      <c r="AU153" s="215" t="s">
        <v>180</v>
      </c>
      <c r="AV153" s="170" t="str">
        <f t="shared" si="12"/>
        <v>A</v>
      </c>
      <c r="BC153" s="42"/>
    </row>
    <row r="154" spans="1:55" ht="15" customHeight="1" x14ac:dyDescent="0.25">
      <c r="A154" s="59">
        <v>43709</v>
      </c>
      <c r="B154" s="59" t="s">
        <v>1156</v>
      </c>
      <c r="C154" s="59" t="s">
        <v>28</v>
      </c>
      <c r="D154" s="110" t="s">
        <v>28</v>
      </c>
      <c r="E154" s="60">
        <v>765</v>
      </c>
      <c r="F154" s="60">
        <v>73</v>
      </c>
      <c r="G154" s="156" t="s">
        <v>473</v>
      </c>
      <c r="H154" s="133" t="s">
        <v>1153</v>
      </c>
      <c r="I154" s="110" t="s">
        <v>1151</v>
      </c>
      <c r="J154" s="110" t="s">
        <v>937</v>
      </c>
      <c r="K154" s="110" t="s">
        <v>7</v>
      </c>
      <c r="L154" s="110" t="s">
        <v>1152</v>
      </c>
      <c r="M154" s="110" t="s">
        <v>1154</v>
      </c>
      <c r="N154" s="110" t="s">
        <v>1155</v>
      </c>
      <c r="O154" s="208"/>
      <c r="P154" s="208"/>
      <c r="Q154" s="208">
        <f t="shared" si="13"/>
        <v>0.1</v>
      </c>
      <c r="R154" s="7"/>
      <c r="S154" s="5">
        <v>0.1</v>
      </c>
      <c r="T154" s="6"/>
      <c r="U154" s="41"/>
      <c r="V154" s="20"/>
      <c r="W154" s="129"/>
      <c r="X154" s="20"/>
      <c r="Y154" s="129"/>
      <c r="Z154" s="20"/>
      <c r="AA154" s="129"/>
      <c r="AB154" s="20"/>
      <c r="AC154" s="129"/>
      <c r="AD154" s="20"/>
      <c r="AE154" s="19"/>
      <c r="AF154" s="8"/>
      <c r="AG154" s="17"/>
      <c r="AH154" s="38"/>
      <c r="AI154" s="18"/>
      <c r="AJ154" s="131"/>
      <c r="AK154" s="131"/>
      <c r="AL154" s="131"/>
      <c r="AM154" s="110" t="s">
        <v>29</v>
      </c>
      <c r="AN154" s="110" t="s">
        <v>179</v>
      </c>
      <c r="AO154" s="110" t="s">
        <v>179</v>
      </c>
      <c r="AP154" s="110" t="s">
        <v>179</v>
      </c>
      <c r="AQ154" s="110" t="s">
        <v>179</v>
      </c>
      <c r="AR154" s="110" t="s">
        <v>179</v>
      </c>
      <c r="AS154" s="131" t="s">
        <v>179</v>
      </c>
      <c r="AT154" s="215" t="s">
        <v>179</v>
      </c>
      <c r="AU154" s="215" t="s">
        <v>180</v>
      </c>
      <c r="AV154" s="170" t="str">
        <f t="shared" si="12"/>
        <v>A</v>
      </c>
      <c r="BC154" s="42"/>
    </row>
    <row r="155" spans="1:55" ht="15" customHeight="1" x14ac:dyDescent="0.25">
      <c r="A155" s="59">
        <v>43709</v>
      </c>
      <c r="B155" s="59" t="s">
        <v>1157</v>
      </c>
      <c r="C155" s="59" t="s">
        <v>27</v>
      </c>
      <c r="D155" s="110" t="s">
        <v>27</v>
      </c>
      <c r="E155" s="60">
        <v>766</v>
      </c>
      <c r="F155" s="255"/>
      <c r="G155" s="156" t="s">
        <v>216</v>
      </c>
      <c r="H155" s="133" t="s">
        <v>1158</v>
      </c>
      <c r="I155" s="110" t="s">
        <v>287</v>
      </c>
      <c r="J155" s="110" t="s">
        <v>1159</v>
      </c>
      <c r="K155" s="110" t="s">
        <v>7</v>
      </c>
      <c r="L155" s="110" t="s">
        <v>1160</v>
      </c>
      <c r="M155" s="110" t="s">
        <v>1161</v>
      </c>
      <c r="N155" s="110" t="s">
        <v>1447</v>
      </c>
      <c r="O155" s="110">
        <v>547999</v>
      </c>
      <c r="P155" s="110">
        <v>4797687</v>
      </c>
      <c r="Q155" s="208">
        <f t="shared" si="13"/>
        <v>0.1</v>
      </c>
      <c r="R155" s="7">
        <v>0.1</v>
      </c>
      <c r="S155" s="5"/>
      <c r="T155" s="6"/>
      <c r="U155" s="48"/>
      <c r="V155" s="20"/>
      <c r="W155" s="129"/>
      <c r="X155" s="20"/>
      <c r="Y155" s="129"/>
      <c r="Z155" s="20"/>
      <c r="AA155" s="129"/>
      <c r="AB155" s="20"/>
      <c r="AC155" s="129"/>
      <c r="AD155" s="20"/>
      <c r="AE155" s="19"/>
      <c r="AF155" s="8"/>
      <c r="AG155" s="17"/>
      <c r="AH155" s="38"/>
      <c r="AI155" s="18"/>
      <c r="AJ155" s="131"/>
      <c r="AK155" s="131"/>
      <c r="AL155" s="131"/>
      <c r="AM155" s="110" t="s">
        <v>161</v>
      </c>
      <c r="AN155" s="110" t="s">
        <v>179</v>
      </c>
      <c r="AO155" s="110" t="s">
        <v>179</v>
      </c>
      <c r="AP155" s="110" t="s">
        <v>179</v>
      </c>
      <c r="AQ155" s="110" t="s">
        <v>179</v>
      </c>
      <c r="AR155" s="110" t="s">
        <v>162</v>
      </c>
      <c r="AS155" s="131" t="s">
        <v>179</v>
      </c>
      <c r="AT155" s="215" t="s">
        <v>180</v>
      </c>
      <c r="AU155" s="215" t="s">
        <v>180</v>
      </c>
      <c r="AV155" s="170" t="str">
        <f t="shared" si="12"/>
        <v>A</v>
      </c>
      <c r="AX155" s="42"/>
      <c r="AY155" s="42"/>
      <c r="AZ155" s="42"/>
      <c r="BA155" s="42"/>
      <c r="BC155" s="42"/>
    </row>
    <row r="156" spans="1:55" ht="15" customHeight="1" x14ac:dyDescent="0.25">
      <c r="A156" s="59">
        <v>43711</v>
      </c>
      <c r="B156" s="59" t="s">
        <v>1175</v>
      </c>
      <c r="C156" s="59" t="s">
        <v>27</v>
      </c>
      <c r="D156" s="110" t="s">
        <v>27</v>
      </c>
      <c r="E156" s="60">
        <v>773</v>
      </c>
      <c r="F156" s="255"/>
      <c r="G156" s="156" t="s">
        <v>8</v>
      </c>
      <c r="H156" s="133" t="s">
        <v>1176</v>
      </c>
      <c r="I156" s="110" t="s">
        <v>287</v>
      </c>
      <c r="J156" s="110"/>
      <c r="K156" s="110" t="s">
        <v>7</v>
      </c>
      <c r="L156" s="110" t="s">
        <v>1177</v>
      </c>
      <c r="M156" s="110" t="s">
        <v>1178</v>
      </c>
      <c r="N156" s="110" t="s">
        <v>1449</v>
      </c>
      <c r="O156" s="110">
        <v>584690</v>
      </c>
      <c r="P156" s="110">
        <v>4787765</v>
      </c>
      <c r="Q156" s="208">
        <f t="shared" si="13"/>
        <v>41</v>
      </c>
      <c r="R156" s="7">
        <v>40</v>
      </c>
      <c r="S156" s="5"/>
      <c r="T156" s="6"/>
      <c r="U156" s="49"/>
      <c r="V156" s="20"/>
      <c r="W156" s="129"/>
      <c r="X156" s="20"/>
      <c r="Y156" s="129"/>
      <c r="Z156" s="20"/>
      <c r="AA156" s="129"/>
      <c r="AB156" s="20"/>
      <c r="AC156" s="129">
        <v>1</v>
      </c>
      <c r="AD156" s="20"/>
      <c r="AE156" s="19"/>
      <c r="AF156" s="8"/>
      <c r="AG156" s="17"/>
      <c r="AH156" s="38"/>
      <c r="AI156" s="18"/>
      <c r="AJ156" s="131"/>
      <c r="AK156" s="131"/>
      <c r="AL156" s="131"/>
      <c r="AM156" s="110" t="s">
        <v>161</v>
      </c>
      <c r="AN156" s="110" t="s">
        <v>179</v>
      </c>
      <c r="AO156" s="110" t="s">
        <v>179</v>
      </c>
      <c r="AP156" s="110" t="s">
        <v>179</v>
      </c>
      <c r="AQ156" s="110" t="s">
        <v>179</v>
      </c>
      <c r="AR156" s="110" t="s">
        <v>162</v>
      </c>
      <c r="AS156" s="131" t="s">
        <v>179</v>
      </c>
      <c r="AT156" s="215" t="s">
        <v>162</v>
      </c>
      <c r="AU156" s="215" t="s">
        <v>180</v>
      </c>
      <c r="AV156" s="170" t="str">
        <f t="shared" si="12"/>
        <v>C</v>
      </c>
      <c r="AX156" s="42"/>
      <c r="AY156" s="42"/>
      <c r="AZ156" s="42"/>
      <c r="BA156" s="42"/>
    </row>
    <row r="157" spans="1:55" ht="15" customHeight="1" x14ac:dyDescent="0.25">
      <c r="A157" s="59">
        <v>43711</v>
      </c>
      <c r="B157" s="96" t="s">
        <v>1182</v>
      </c>
      <c r="C157" s="59" t="s">
        <v>27</v>
      </c>
      <c r="D157" s="110" t="s">
        <v>27</v>
      </c>
      <c r="E157" s="60">
        <v>774</v>
      </c>
      <c r="F157" s="255"/>
      <c r="G157" s="156" t="s">
        <v>8</v>
      </c>
      <c r="H157" s="133" t="s">
        <v>1184</v>
      </c>
      <c r="I157" s="110" t="s">
        <v>357</v>
      </c>
      <c r="J157" s="110"/>
      <c r="K157" s="110" t="s">
        <v>7</v>
      </c>
      <c r="L157" s="110" t="s">
        <v>1186</v>
      </c>
      <c r="M157" s="110" t="s">
        <v>658</v>
      </c>
      <c r="N157" s="110" t="s">
        <v>1448</v>
      </c>
      <c r="O157" s="110">
        <v>584664</v>
      </c>
      <c r="P157" s="110">
        <v>4789379</v>
      </c>
      <c r="Q157" s="208">
        <f t="shared" si="13"/>
        <v>1</v>
      </c>
      <c r="R157" s="7">
        <v>1</v>
      </c>
      <c r="S157" s="5"/>
      <c r="T157" s="6"/>
      <c r="U157" s="41"/>
      <c r="V157" s="20"/>
      <c r="W157" s="129"/>
      <c r="X157" s="20"/>
      <c r="Y157" s="129"/>
      <c r="Z157" s="20"/>
      <c r="AA157" s="129"/>
      <c r="AB157" s="20"/>
      <c r="AC157" s="129"/>
      <c r="AD157" s="20"/>
      <c r="AE157" s="19"/>
      <c r="AF157" s="8"/>
      <c r="AG157" s="17"/>
      <c r="AH157" s="38"/>
      <c r="AI157" s="18"/>
      <c r="AJ157" s="131"/>
      <c r="AK157" s="131"/>
      <c r="AL157" s="131"/>
      <c r="AM157" s="110" t="s">
        <v>29</v>
      </c>
      <c r="AN157" s="110" t="s">
        <v>179</v>
      </c>
      <c r="AO157" s="110" t="s">
        <v>179</v>
      </c>
      <c r="AP157" s="110" t="s">
        <v>179</v>
      </c>
      <c r="AQ157" s="110" t="s">
        <v>179</v>
      </c>
      <c r="AR157" s="110" t="s">
        <v>179</v>
      </c>
      <c r="AS157" s="131" t="s">
        <v>179</v>
      </c>
      <c r="AT157" s="215" t="s">
        <v>162</v>
      </c>
      <c r="AU157" s="215" t="s">
        <v>180</v>
      </c>
      <c r="AV157" s="170" t="str">
        <f t="shared" si="12"/>
        <v>B</v>
      </c>
    </row>
    <row r="158" spans="1:55" ht="15" customHeight="1" x14ac:dyDescent="0.25">
      <c r="A158" s="96">
        <v>43711</v>
      </c>
      <c r="B158" s="59" t="s">
        <v>1183</v>
      </c>
      <c r="C158" s="96" t="s">
        <v>27</v>
      </c>
      <c r="D158" s="64" t="s">
        <v>27</v>
      </c>
      <c r="E158" s="97">
        <v>775</v>
      </c>
      <c r="F158" s="255"/>
      <c r="G158" s="156" t="s">
        <v>8</v>
      </c>
      <c r="H158" s="133" t="s">
        <v>1185</v>
      </c>
      <c r="I158" s="64" t="s">
        <v>357</v>
      </c>
      <c r="J158" s="64"/>
      <c r="K158" s="64" t="s">
        <v>7</v>
      </c>
      <c r="L158" s="64" t="s">
        <v>1177</v>
      </c>
      <c r="M158" s="64" t="s">
        <v>1450</v>
      </c>
      <c r="N158" s="64" t="s">
        <v>1187</v>
      </c>
      <c r="O158" s="64">
        <v>584673</v>
      </c>
      <c r="P158" s="64">
        <v>4788122</v>
      </c>
      <c r="Q158" s="208">
        <f t="shared" si="13"/>
        <v>0.3</v>
      </c>
      <c r="R158" s="101">
        <v>0.3</v>
      </c>
      <c r="S158" s="98"/>
      <c r="T158" s="99"/>
      <c r="U158" s="100"/>
      <c r="V158" s="134"/>
      <c r="W158" s="100"/>
      <c r="X158" s="134"/>
      <c r="Y158" s="100"/>
      <c r="Z158" s="134"/>
      <c r="AA158" s="100"/>
      <c r="AB158" s="134"/>
      <c r="AC158" s="100"/>
      <c r="AD158" s="134"/>
      <c r="AE158" s="137"/>
      <c r="AF158" s="102"/>
      <c r="AG158" s="103"/>
      <c r="AH158" s="104"/>
      <c r="AI158" s="136"/>
      <c r="AJ158" s="64"/>
      <c r="AK158" s="64"/>
      <c r="AL158" s="64"/>
      <c r="AM158" s="64" t="s">
        <v>29</v>
      </c>
      <c r="AN158" s="64" t="s">
        <v>179</v>
      </c>
      <c r="AO158" s="64" t="s">
        <v>179</v>
      </c>
      <c r="AP158" s="64" t="s">
        <v>179</v>
      </c>
      <c r="AQ158" s="64" t="s">
        <v>179</v>
      </c>
      <c r="AR158" s="64" t="s">
        <v>179</v>
      </c>
      <c r="AS158" s="64" t="s">
        <v>179</v>
      </c>
      <c r="AT158" s="220" t="s">
        <v>180</v>
      </c>
      <c r="AU158" s="215" t="s">
        <v>180</v>
      </c>
      <c r="AV158" s="170" t="str">
        <f t="shared" si="12"/>
        <v>B</v>
      </c>
    </row>
    <row r="159" spans="1:55" s="51" customFormat="1" ht="15" customHeight="1" x14ac:dyDescent="0.25">
      <c r="A159" s="59">
        <v>43713</v>
      </c>
      <c r="B159" s="59" t="s">
        <v>1196</v>
      </c>
      <c r="C159" s="59" t="s">
        <v>28</v>
      </c>
      <c r="D159" s="110" t="s">
        <v>28</v>
      </c>
      <c r="E159" s="60">
        <v>787</v>
      </c>
      <c r="F159" s="256">
        <v>74</v>
      </c>
      <c r="G159" s="156" t="s">
        <v>473</v>
      </c>
      <c r="H159" s="133" t="s">
        <v>1194</v>
      </c>
      <c r="I159" s="110" t="s">
        <v>516</v>
      </c>
      <c r="J159" s="110" t="s">
        <v>859</v>
      </c>
      <c r="K159" s="110" t="s">
        <v>7</v>
      </c>
      <c r="L159" s="110" t="s">
        <v>1195</v>
      </c>
      <c r="M159" s="110" t="s">
        <v>1499</v>
      </c>
      <c r="N159" s="110" t="s">
        <v>1500</v>
      </c>
      <c r="O159" s="208"/>
      <c r="P159" s="208"/>
      <c r="Q159" s="208">
        <f t="shared" si="13"/>
        <v>0.1</v>
      </c>
      <c r="R159" s="7"/>
      <c r="S159" s="5">
        <v>0.1</v>
      </c>
      <c r="T159" s="6"/>
      <c r="U159" s="95"/>
      <c r="V159" s="20"/>
      <c r="W159" s="129"/>
      <c r="X159" s="20"/>
      <c r="Y159" s="129"/>
      <c r="Z159" s="20"/>
      <c r="AA159" s="129"/>
      <c r="AB159" s="20"/>
      <c r="AC159" s="129"/>
      <c r="AD159" s="20"/>
      <c r="AE159" s="19"/>
      <c r="AF159" s="8"/>
      <c r="AG159" s="17"/>
      <c r="AH159" s="38"/>
      <c r="AI159" s="18"/>
      <c r="AJ159" s="131"/>
      <c r="AK159" s="131"/>
      <c r="AL159" s="131"/>
      <c r="AM159" s="110" t="s">
        <v>29</v>
      </c>
      <c r="AN159" s="110" t="s">
        <v>179</v>
      </c>
      <c r="AO159" s="110" t="s">
        <v>179</v>
      </c>
      <c r="AP159" s="110" t="s">
        <v>179</v>
      </c>
      <c r="AQ159" s="110" t="s">
        <v>179</v>
      </c>
      <c r="AR159" s="110" t="s">
        <v>179</v>
      </c>
      <c r="AS159" s="131" t="s">
        <v>179</v>
      </c>
      <c r="AT159" s="215" t="s">
        <v>179</v>
      </c>
      <c r="AU159" s="215" t="s">
        <v>180</v>
      </c>
      <c r="AV159" s="170" t="str">
        <f t="shared" si="12"/>
        <v>A</v>
      </c>
      <c r="AW159" s="22"/>
      <c r="AX159" s="2"/>
      <c r="AY159" s="2"/>
      <c r="AZ159" s="2"/>
      <c r="BA159" s="2"/>
      <c r="BB159" s="2"/>
      <c r="BC159" s="2"/>
    </row>
    <row r="160" spans="1:55" ht="15" customHeight="1" x14ac:dyDescent="0.25">
      <c r="A160" s="59">
        <v>43713</v>
      </c>
      <c r="B160" s="59" t="s">
        <v>1197</v>
      </c>
      <c r="C160" s="59" t="s">
        <v>28</v>
      </c>
      <c r="D160" s="110" t="s">
        <v>28</v>
      </c>
      <c r="E160" s="60">
        <v>789</v>
      </c>
      <c r="F160" s="60">
        <v>75</v>
      </c>
      <c r="G160" s="156" t="s">
        <v>277</v>
      </c>
      <c r="H160" s="133" t="s">
        <v>1198</v>
      </c>
      <c r="I160" s="110" t="s">
        <v>1199</v>
      </c>
      <c r="J160" s="110" t="s">
        <v>1362</v>
      </c>
      <c r="K160" s="110" t="s">
        <v>7</v>
      </c>
      <c r="L160" s="110" t="s">
        <v>1200</v>
      </c>
      <c r="M160" s="110" t="s">
        <v>1363</v>
      </c>
      <c r="N160" s="110" t="s">
        <v>1364</v>
      </c>
      <c r="O160" s="208"/>
      <c r="P160" s="208"/>
      <c r="Q160" s="208">
        <f t="shared" si="13"/>
        <v>1.5</v>
      </c>
      <c r="R160" s="7"/>
      <c r="S160" s="5">
        <v>1.5</v>
      </c>
      <c r="T160" s="6"/>
      <c r="U160" s="41"/>
      <c r="V160" s="20"/>
      <c r="W160" s="129"/>
      <c r="X160" s="20"/>
      <c r="Y160" s="129"/>
      <c r="Z160" s="20"/>
      <c r="AA160" s="129"/>
      <c r="AB160" s="20"/>
      <c r="AC160" s="129"/>
      <c r="AD160" s="20"/>
      <c r="AE160" s="19"/>
      <c r="AF160" s="8"/>
      <c r="AG160" s="17"/>
      <c r="AH160" s="38"/>
      <c r="AI160" s="18"/>
      <c r="AJ160" s="131"/>
      <c r="AK160" s="131"/>
      <c r="AL160" s="131"/>
      <c r="AM160" s="110" t="s">
        <v>29</v>
      </c>
      <c r="AN160" s="110" t="s">
        <v>179</v>
      </c>
      <c r="AO160" s="110" t="s">
        <v>179</v>
      </c>
      <c r="AP160" s="110" t="s">
        <v>179</v>
      </c>
      <c r="AQ160" s="110" t="s">
        <v>179</v>
      </c>
      <c r="AR160" s="110" t="s">
        <v>162</v>
      </c>
      <c r="AS160" s="131" t="s">
        <v>179</v>
      </c>
      <c r="AT160" s="215" t="s">
        <v>179</v>
      </c>
      <c r="AU160" s="215" t="s">
        <v>180</v>
      </c>
      <c r="AV160" s="170" t="str">
        <f t="shared" si="12"/>
        <v>B</v>
      </c>
      <c r="BB160" s="42"/>
    </row>
    <row r="161" spans="1:55" ht="15" customHeight="1" x14ac:dyDescent="0.25">
      <c r="A161" s="59">
        <v>43713</v>
      </c>
      <c r="B161" s="59" t="s">
        <v>256</v>
      </c>
      <c r="C161" s="59" t="s">
        <v>28</v>
      </c>
      <c r="D161" s="110" t="s">
        <v>28</v>
      </c>
      <c r="E161" s="60">
        <v>790</v>
      </c>
      <c r="F161" s="60">
        <v>76</v>
      </c>
      <c r="G161" s="156" t="s">
        <v>277</v>
      </c>
      <c r="H161" s="133" t="s">
        <v>1204</v>
      </c>
      <c r="I161" s="110" t="s">
        <v>529</v>
      </c>
      <c r="J161" s="110"/>
      <c r="K161" s="110" t="s">
        <v>252</v>
      </c>
      <c r="L161" s="110" t="s">
        <v>925</v>
      </c>
      <c r="M161" s="110" t="s">
        <v>1201</v>
      </c>
      <c r="N161" s="110" t="s">
        <v>1365</v>
      </c>
      <c r="O161" s="208"/>
      <c r="P161" s="208"/>
      <c r="Q161" s="208">
        <f t="shared" si="13"/>
        <v>0.1</v>
      </c>
      <c r="R161" s="7"/>
      <c r="S161" s="5">
        <v>0.1</v>
      </c>
      <c r="T161" s="6"/>
      <c r="U161" s="41"/>
      <c r="V161" s="20"/>
      <c r="W161" s="129"/>
      <c r="X161" s="20"/>
      <c r="Y161" s="129"/>
      <c r="Z161" s="20"/>
      <c r="AA161" s="129"/>
      <c r="AB161" s="20"/>
      <c r="AC161" s="129"/>
      <c r="AD161" s="20"/>
      <c r="AE161" s="19"/>
      <c r="AF161" s="8"/>
      <c r="AG161" s="17"/>
      <c r="AH161" s="38"/>
      <c r="AI161" s="18"/>
      <c r="AJ161" s="131"/>
      <c r="AK161" s="131"/>
      <c r="AL161" s="131"/>
      <c r="AM161" s="110" t="s">
        <v>415</v>
      </c>
      <c r="AN161" s="110" t="s">
        <v>179</v>
      </c>
      <c r="AO161" s="110" t="s">
        <v>179</v>
      </c>
      <c r="AP161" s="110" t="s">
        <v>179</v>
      </c>
      <c r="AQ161" s="110" t="s">
        <v>179</v>
      </c>
      <c r="AR161" s="110" t="s">
        <v>179</v>
      </c>
      <c r="AS161" s="131" t="s">
        <v>179</v>
      </c>
      <c r="AT161" s="215" t="s">
        <v>179</v>
      </c>
      <c r="AU161" s="215" t="s">
        <v>180</v>
      </c>
      <c r="AV161" s="170" t="str">
        <f t="shared" si="12"/>
        <v>A</v>
      </c>
      <c r="BB161" s="42"/>
    </row>
    <row r="162" spans="1:55" ht="15" customHeight="1" x14ac:dyDescent="0.25">
      <c r="A162" s="59">
        <v>43713</v>
      </c>
      <c r="B162" s="59" t="s">
        <v>256</v>
      </c>
      <c r="C162" s="59" t="s">
        <v>28</v>
      </c>
      <c r="D162" s="110" t="s">
        <v>30</v>
      </c>
      <c r="E162" s="60">
        <v>791</v>
      </c>
      <c r="F162" s="60">
        <v>77</v>
      </c>
      <c r="G162" s="156" t="s">
        <v>237</v>
      </c>
      <c r="H162" s="133" t="s">
        <v>1277</v>
      </c>
      <c r="I162" s="110" t="s">
        <v>642</v>
      </c>
      <c r="J162" s="110"/>
      <c r="K162" s="110" t="s">
        <v>252</v>
      </c>
      <c r="L162" s="110" t="s">
        <v>1202</v>
      </c>
      <c r="M162" s="110" t="s">
        <v>1203</v>
      </c>
      <c r="N162" s="110" t="s">
        <v>1531</v>
      </c>
      <c r="O162" s="208"/>
      <c r="P162" s="208"/>
      <c r="Q162" s="208">
        <f t="shared" si="13"/>
        <v>4.7</v>
      </c>
      <c r="R162" s="7"/>
      <c r="S162" s="5"/>
      <c r="T162" s="6">
        <v>4.7</v>
      </c>
      <c r="U162" s="41"/>
      <c r="V162" s="20"/>
      <c r="W162" s="129"/>
      <c r="X162" s="20"/>
      <c r="Y162" s="129"/>
      <c r="Z162" s="20"/>
      <c r="AA162" s="129"/>
      <c r="AB162" s="20"/>
      <c r="AC162" s="129"/>
      <c r="AD162" s="20"/>
      <c r="AE162" s="19"/>
      <c r="AF162" s="8"/>
      <c r="AG162" s="17"/>
      <c r="AH162" s="38"/>
      <c r="AI162" s="18"/>
      <c r="AJ162" s="131"/>
      <c r="AK162" s="131"/>
      <c r="AL162" s="131"/>
      <c r="AM162" s="110" t="s">
        <v>161</v>
      </c>
      <c r="AN162" s="110" t="s">
        <v>179</v>
      </c>
      <c r="AO162" s="110" t="s">
        <v>179</v>
      </c>
      <c r="AP162" s="110" t="s">
        <v>179</v>
      </c>
      <c r="AQ162" s="110" t="s">
        <v>179</v>
      </c>
      <c r="AR162" s="110" t="s">
        <v>179</v>
      </c>
      <c r="AS162" s="131" t="s">
        <v>179</v>
      </c>
      <c r="AT162" s="215" t="s">
        <v>179</v>
      </c>
      <c r="AU162" s="215" t="s">
        <v>162</v>
      </c>
      <c r="AV162" s="170" t="str">
        <f t="shared" si="12"/>
        <v>B</v>
      </c>
    </row>
    <row r="163" spans="1:55" ht="15" customHeight="1" x14ac:dyDescent="0.25">
      <c r="A163" s="59">
        <v>43714</v>
      </c>
      <c r="B163" s="59" t="s">
        <v>1209</v>
      </c>
      <c r="C163" s="59" t="s">
        <v>30</v>
      </c>
      <c r="D163" s="110" t="s">
        <v>82</v>
      </c>
      <c r="E163" s="60">
        <v>794</v>
      </c>
      <c r="F163" s="255"/>
      <c r="G163" s="156" t="s">
        <v>30</v>
      </c>
      <c r="H163" s="133" t="s">
        <v>1205</v>
      </c>
      <c r="I163" s="110" t="s">
        <v>1206</v>
      </c>
      <c r="J163" s="110" t="s">
        <v>1207</v>
      </c>
      <c r="K163" s="110" t="s">
        <v>252</v>
      </c>
      <c r="L163" s="110" t="s">
        <v>1208</v>
      </c>
      <c r="M163" s="110" t="s">
        <v>1213</v>
      </c>
      <c r="N163" s="110" t="s">
        <v>1214</v>
      </c>
      <c r="O163" s="208"/>
      <c r="P163" s="208"/>
      <c r="Q163" s="208">
        <f t="shared" si="13"/>
        <v>0.1</v>
      </c>
      <c r="R163" s="7"/>
      <c r="S163" s="5"/>
      <c r="T163" s="6"/>
      <c r="U163" s="41"/>
      <c r="V163" s="20"/>
      <c r="W163" s="129"/>
      <c r="X163" s="20"/>
      <c r="Y163" s="129"/>
      <c r="Z163" s="20"/>
      <c r="AA163" s="129">
        <v>0.1</v>
      </c>
      <c r="AB163" s="20"/>
      <c r="AC163" s="129"/>
      <c r="AD163" s="20"/>
      <c r="AE163" s="19"/>
      <c r="AF163" s="8"/>
      <c r="AG163" s="17"/>
      <c r="AH163" s="38"/>
      <c r="AI163" s="18"/>
      <c r="AJ163" s="131"/>
      <c r="AK163" s="131"/>
      <c r="AL163" s="131"/>
      <c r="AM163" s="110" t="s">
        <v>161</v>
      </c>
      <c r="AN163" s="110" t="s">
        <v>179</v>
      </c>
      <c r="AO163" s="110" t="s">
        <v>179</v>
      </c>
      <c r="AP163" s="110" t="s">
        <v>179</v>
      </c>
      <c r="AQ163" s="110" t="s">
        <v>179</v>
      </c>
      <c r="AR163" s="110" t="s">
        <v>179</v>
      </c>
      <c r="AS163" s="131" t="s">
        <v>179</v>
      </c>
      <c r="AT163" s="215" t="s">
        <v>179</v>
      </c>
      <c r="AU163" s="215" t="s">
        <v>180</v>
      </c>
      <c r="AV163" s="170" t="str">
        <f t="shared" si="12"/>
        <v>A</v>
      </c>
      <c r="BC163" s="42"/>
    </row>
    <row r="164" spans="1:55" ht="15" customHeight="1" x14ac:dyDescent="0.25">
      <c r="A164" s="59">
        <v>43714</v>
      </c>
      <c r="B164" s="59" t="s">
        <v>1210</v>
      </c>
      <c r="C164" s="59" t="s">
        <v>30</v>
      </c>
      <c r="D164" s="110" t="s">
        <v>28</v>
      </c>
      <c r="E164" s="60">
        <v>796</v>
      </c>
      <c r="F164" s="60">
        <v>78</v>
      </c>
      <c r="G164" s="156" t="s">
        <v>237</v>
      </c>
      <c r="H164" s="133" t="s">
        <v>1211</v>
      </c>
      <c r="I164" s="110" t="s">
        <v>637</v>
      </c>
      <c r="J164" s="110" t="s">
        <v>1224</v>
      </c>
      <c r="K164" s="110" t="s">
        <v>252</v>
      </c>
      <c r="L164" s="110" t="s">
        <v>1212</v>
      </c>
      <c r="M164" s="110" t="s">
        <v>1501</v>
      </c>
      <c r="N164" s="110" t="s">
        <v>1502</v>
      </c>
      <c r="O164" s="208"/>
      <c r="P164" s="208"/>
      <c r="Q164" s="208">
        <f t="shared" si="13"/>
        <v>0.1</v>
      </c>
      <c r="R164" s="7"/>
      <c r="S164" s="5">
        <v>0.1</v>
      </c>
      <c r="T164" s="6"/>
      <c r="U164" s="41"/>
      <c r="V164" s="20"/>
      <c r="W164" s="129"/>
      <c r="X164" s="20"/>
      <c r="Y164" s="129"/>
      <c r="Z164" s="20"/>
      <c r="AA164" s="129"/>
      <c r="AB164" s="20"/>
      <c r="AC164" s="129"/>
      <c r="AD164" s="20"/>
      <c r="AE164" s="19"/>
      <c r="AF164" s="8"/>
      <c r="AG164" s="17"/>
      <c r="AH164" s="38"/>
      <c r="AI164" s="18"/>
      <c r="AJ164" s="131" t="s">
        <v>301</v>
      </c>
      <c r="AK164" s="131" t="s">
        <v>301</v>
      </c>
      <c r="AL164" s="131"/>
      <c r="AM164" s="110" t="s">
        <v>415</v>
      </c>
      <c r="AN164" s="110" t="s">
        <v>179</v>
      </c>
      <c r="AO164" s="110" t="s">
        <v>179</v>
      </c>
      <c r="AP164" s="110" t="s">
        <v>179</v>
      </c>
      <c r="AQ164" s="110" t="s">
        <v>179</v>
      </c>
      <c r="AR164" s="110" t="s">
        <v>179</v>
      </c>
      <c r="AS164" s="131" t="s">
        <v>179</v>
      </c>
      <c r="AT164" s="215" t="s">
        <v>179</v>
      </c>
      <c r="AU164" s="215" t="s">
        <v>180</v>
      </c>
      <c r="AV164" s="170" t="str">
        <f t="shared" si="12"/>
        <v>A</v>
      </c>
      <c r="BC164" s="42"/>
    </row>
    <row r="165" spans="1:55" ht="15" customHeight="1" x14ac:dyDescent="0.25">
      <c r="A165" s="59">
        <v>43714</v>
      </c>
      <c r="B165" s="59" t="s">
        <v>256</v>
      </c>
      <c r="C165" s="59" t="s">
        <v>28</v>
      </c>
      <c r="D165" s="110" t="s">
        <v>28</v>
      </c>
      <c r="E165" s="60">
        <v>798</v>
      </c>
      <c r="F165" s="60">
        <v>79</v>
      </c>
      <c r="G165" s="156" t="s">
        <v>246</v>
      </c>
      <c r="H165" s="133" t="s">
        <v>1215</v>
      </c>
      <c r="I165" s="110" t="s">
        <v>516</v>
      </c>
      <c r="J165" s="110" t="s">
        <v>1241</v>
      </c>
      <c r="K165" s="110" t="s">
        <v>252</v>
      </c>
      <c r="L165" s="110" t="s">
        <v>1216</v>
      </c>
      <c r="M165" s="110" t="s">
        <v>1366</v>
      </c>
      <c r="N165" s="110" t="s">
        <v>1367</v>
      </c>
      <c r="O165" s="208"/>
      <c r="P165" s="208"/>
      <c r="Q165" s="208">
        <f t="shared" si="13"/>
        <v>0.1</v>
      </c>
      <c r="R165" s="7"/>
      <c r="S165" s="5">
        <v>0.1</v>
      </c>
      <c r="T165" s="6"/>
      <c r="U165" s="41"/>
      <c r="V165" s="20"/>
      <c r="W165" s="129"/>
      <c r="X165" s="20"/>
      <c r="Y165" s="129"/>
      <c r="Z165" s="20"/>
      <c r="AA165" s="129"/>
      <c r="AB165" s="20"/>
      <c r="AC165" s="129"/>
      <c r="AD165" s="20"/>
      <c r="AE165" s="19"/>
      <c r="AF165" s="8"/>
      <c r="AG165" s="17"/>
      <c r="AH165" s="38"/>
      <c r="AI165" s="18"/>
      <c r="AJ165" s="131"/>
      <c r="AK165" s="131"/>
      <c r="AL165" s="131"/>
      <c r="AM165" s="110" t="s">
        <v>415</v>
      </c>
      <c r="AN165" s="110" t="s">
        <v>179</v>
      </c>
      <c r="AO165" s="110" t="s">
        <v>179</v>
      </c>
      <c r="AP165" s="110" t="s">
        <v>179</v>
      </c>
      <c r="AQ165" s="110" t="s">
        <v>179</v>
      </c>
      <c r="AR165" s="110" t="s">
        <v>179</v>
      </c>
      <c r="AS165" s="131" t="s">
        <v>179</v>
      </c>
      <c r="AT165" s="215" t="s">
        <v>179</v>
      </c>
      <c r="AU165" s="215" t="s">
        <v>180</v>
      </c>
      <c r="AV165" s="170" t="str">
        <f t="shared" si="12"/>
        <v>A</v>
      </c>
    </row>
    <row r="166" spans="1:55" ht="15" customHeight="1" x14ac:dyDescent="0.25">
      <c r="A166" s="59">
        <v>43714</v>
      </c>
      <c r="B166" s="59" t="s">
        <v>256</v>
      </c>
      <c r="C166" s="59" t="s">
        <v>28</v>
      </c>
      <c r="D166" s="110" t="s">
        <v>28</v>
      </c>
      <c r="E166" s="60">
        <v>800</v>
      </c>
      <c r="F166" s="60">
        <v>80</v>
      </c>
      <c r="G166" s="156" t="s">
        <v>473</v>
      </c>
      <c r="H166" s="133" t="s">
        <v>1218</v>
      </c>
      <c r="I166" s="110" t="s">
        <v>1249</v>
      </c>
      <c r="J166" s="258" t="s">
        <v>732</v>
      </c>
      <c r="K166" s="110" t="s">
        <v>252</v>
      </c>
      <c r="L166" s="110" t="s">
        <v>1503</v>
      </c>
      <c r="M166" s="110" t="s">
        <v>1504</v>
      </c>
      <c r="N166" s="110" t="s">
        <v>1505</v>
      </c>
      <c r="O166" s="208"/>
      <c r="P166" s="208"/>
      <c r="Q166" s="208">
        <f t="shared" si="13"/>
        <v>0.1</v>
      </c>
      <c r="R166" s="7"/>
      <c r="S166" s="5">
        <v>0.1</v>
      </c>
      <c r="T166" s="6"/>
      <c r="U166" s="41"/>
      <c r="V166" s="20"/>
      <c r="W166" s="129"/>
      <c r="X166" s="20"/>
      <c r="Y166" s="129"/>
      <c r="Z166" s="20"/>
      <c r="AA166" s="129"/>
      <c r="AB166" s="20"/>
      <c r="AC166" s="129"/>
      <c r="AD166" s="20"/>
      <c r="AE166" s="19"/>
      <c r="AF166" s="8"/>
      <c r="AG166" s="17"/>
      <c r="AH166" s="38"/>
      <c r="AI166" s="18"/>
      <c r="AJ166" s="131"/>
      <c r="AK166" s="131"/>
      <c r="AL166" s="131"/>
      <c r="AM166" s="110" t="s">
        <v>29</v>
      </c>
      <c r="AN166" s="110" t="s">
        <v>179</v>
      </c>
      <c r="AO166" s="110" t="s">
        <v>179</v>
      </c>
      <c r="AP166" s="110" t="s">
        <v>179</v>
      </c>
      <c r="AQ166" s="110" t="s">
        <v>179</v>
      </c>
      <c r="AR166" s="110" t="s">
        <v>179</v>
      </c>
      <c r="AS166" s="131" t="s">
        <v>179</v>
      </c>
      <c r="AT166" s="215" t="s">
        <v>179</v>
      </c>
      <c r="AU166" s="215" t="s">
        <v>180</v>
      </c>
      <c r="AV166" s="170" t="str">
        <f t="shared" si="12"/>
        <v>A</v>
      </c>
    </row>
    <row r="167" spans="1:55" ht="15" customHeight="1" x14ac:dyDescent="0.25">
      <c r="A167" s="59">
        <v>43714</v>
      </c>
      <c r="B167" s="59" t="s">
        <v>256</v>
      </c>
      <c r="C167" s="59" t="s">
        <v>28</v>
      </c>
      <c r="D167" s="110" t="s">
        <v>28</v>
      </c>
      <c r="E167" s="60">
        <v>801</v>
      </c>
      <c r="F167" s="60">
        <v>81</v>
      </c>
      <c r="G167" s="156" t="s">
        <v>246</v>
      </c>
      <c r="H167" s="133" t="s">
        <v>1225</v>
      </c>
      <c r="I167" s="110" t="s">
        <v>1255</v>
      </c>
      <c r="J167" s="75"/>
      <c r="K167" s="110" t="s">
        <v>252</v>
      </c>
      <c r="L167" s="110" t="s">
        <v>1242</v>
      </c>
      <c r="M167" s="110" t="s">
        <v>1252</v>
      </c>
      <c r="N167" s="110" t="s">
        <v>1545</v>
      </c>
      <c r="O167" s="208"/>
      <c r="P167" s="208"/>
      <c r="Q167" s="208">
        <f t="shared" si="13"/>
        <v>0.1</v>
      </c>
      <c r="R167" s="7"/>
      <c r="S167" s="5">
        <v>0.1</v>
      </c>
      <c r="T167" s="6"/>
      <c r="U167" s="41"/>
      <c r="V167" s="20"/>
      <c r="W167" s="129"/>
      <c r="X167" s="20"/>
      <c r="Y167" s="129"/>
      <c r="Z167" s="20"/>
      <c r="AA167" s="129"/>
      <c r="AB167" s="20"/>
      <c r="AC167" s="129"/>
      <c r="AD167" s="20"/>
      <c r="AE167" s="19"/>
      <c r="AF167" s="8"/>
      <c r="AG167" s="17"/>
      <c r="AH167" s="38"/>
      <c r="AI167" s="18"/>
      <c r="AJ167" s="131"/>
      <c r="AK167" s="131"/>
      <c r="AL167" s="131"/>
      <c r="AM167" s="110" t="s">
        <v>161</v>
      </c>
      <c r="AN167" s="110" t="s">
        <v>179</v>
      </c>
      <c r="AO167" s="110" t="s">
        <v>179</v>
      </c>
      <c r="AP167" s="110" t="s">
        <v>179</v>
      </c>
      <c r="AQ167" s="110" t="s">
        <v>179</v>
      </c>
      <c r="AR167" s="110" t="s">
        <v>179</v>
      </c>
      <c r="AS167" s="131" t="s">
        <v>179</v>
      </c>
      <c r="AT167" s="215" t="s">
        <v>179</v>
      </c>
      <c r="AU167" s="215" t="s">
        <v>180</v>
      </c>
      <c r="AV167" s="170" t="str">
        <f t="shared" si="12"/>
        <v>A</v>
      </c>
    </row>
    <row r="168" spans="1:55" ht="15" customHeight="1" x14ac:dyDescent="0.25">
      <c r="A168" s="59">
        <v>43714</v>
      </c>
      <c r="B168" s="59" t="s">
        <v>1221</v>
      </c>
      <c r="C168" s="59" t="s">
        <v>27</v>
      </c>
      <c r="D168" s="110" t="s">
        <v>27</v>
      </c>
      <c r="E168" s="60">
        <v>802</v>
      </c>
      <c r="F168" s="255"/>
      <c r="G168" s="156" t="s">
        <v>8</v>
      </c>
      <c r="H168" s="133" t="s">
        <v>1219</v>
      </c>
      <c r="I168" s="110" t="s">
        <v>311</v>
      </c>
      <c r="J168" s="75"/>
      <c r="K168" s="110" t="s">
        <v>252</v>
      </c>
      <c r="L168" s="110" t="s">
        <v>1223</v>
      </c>
      <c r="M168" s="110" t="s">
        <v>1474</v>
      </c>
      <c r="N168" s="110" t="s">
        <v>1475</v>
      </c>
      <c r="O168" s="110">
        <v>636915</v>
      </c>
      <c r="P168" s="110">
        <v>4770806</v>
      </c>
      <c r="Q168" s="208">
        <f t="shared" si="13"/>
        <v>40</v>
      </c>
      <c r="R168" s="7">
        <v>40</v>
      </c>
      <c r="S168" s="5"/>
      <c r="T168" s="6"/>
      <c r="U168" s="41"/>
      <c r="V168" s="20"/>
      <c r="W168" s="129"/>
      <c r="X168" s="20"/>
      <c r="Y168" s="129"/>
      <c r="Z168" s="20"/>
      <c r="AA168" s="129"/>
      <c r="AB168" s="20"/>
      <c r="AC168" s="129"/>
      <c r="AD168" s="20"/>
      <c r="AE168" s="19"/>
      <c r="AF168" s="8"/>
      <c r="AG168" s="17"/>
      <c r="AH168" s="38"/>
      <c r="AI168" s="18"/>
      <c r="AJ168" s="131"/>
      <c r="AK168" s="131"/>
      <c r="AL168" s="131"/>
      <c r="AM168" s="110" t="s">
        <v>226</v>
      </c>
      <c r="AN168" s="110" t="s">
        <v>179</v>
      </c>
      <c r="AO168" s="110" t="s">
        <v>162</v>
      </c>
      <c r="AP168" s="110" t="s">
        <v>179</v>
      </c>
      <c r="AQ168" s="110" t="s">
        <v>179</v>
      </c>
      <c r="AR168" s="110" t="s">
        <v>179</v>
      </c>
      <c r="AS168" s="131" t="s">
        <v>162</v>
      </c>
      <c r="AT168" s="215" t="s">
        <v>162</v>
      </c>
      <c r="AU168" s="215" t="s">
        <v>180</v>
      </c>
      <c r="AV168" s="170" t="str">
        <f t="shared" si="12"/>
        <v>C</v>
      </c>
    </row>
    <row r="169" spans="1:55" ht="15" customHeight="1" x14ac:dyDescent="0.25">
      <c r="A169" s="59">
        <v>43714</v>
      </c>
      <c r="B169" s="59" t="s">
        <v>1222</v>
      </c>
      <c r="C169" s="59" t="s">
        <v>30</v>
      </c>
      <c r="D169" s="110" t="s">
        <v>82</v>
      </c>
      <c r="E169" s="60">
        <v>803</v>
      </c>
      <c r="F169" s="255"/>
      <c r="G169" s="156" t="s">
        <v>30</v>
      </c>
      <c r="H169" s="133" t="s">
        <v>1220</v>
      </c>
      <c r="I169" s="110" t="s">
        <v>1481</v>
      </c>
      <c r="J169" s="110"/>
      <c r="K169" s="110" t="s">
        <v>7</v>
      </c>
      <c r="L169" s="110" t="s">
        <v>1268</v>
      </c>
      <c r="M169" s="110" t="s">
        <v>1269</v>
      </c>
      <c r="N169" s="110" t="s">
        <v>1270</v>
      </c>
      <c r="O169" s="208"/>
      <c r="P169" s="208"/>
      <c r="Q169" s="208">
        <f t="shared" si="13"/>
        <v>0.1</v>
      </c>
      <c r="R169" s="7"/>
      <c r="S169" s="5"/>
      <c r="T169" s="6"/>
      <c r="U169" s="41"/>
      <c r="V169" s="20"/>
      <c r="W169" s="129"/>
      <c r="X169" s="20"/>
      <c r="Y169" s="129"/>
      <c r="Z169" s="20"/>
      <c r="AA169" s="129">
        <v>0.1</v>
      </c>
      <c r="AB169" s="20"/>
      <c r="AC169" s="129"/>
      <c r="AD169" s="20"/>
      <c r="AE169" s="19"/>
      <c r="AF169" s="8"/>
      <c r="AG169" s="17"/>
      <c r="AH169" s="38"/>
      <c r="AI169" s="18"/>
      <c r="AJ169" s="131" t="s">
        <v>301</v>
      </c>
      <c r="AK169" s="131" t="s">
        <v>301</v>
      </c>
      <c r="AL169" s="131"/>
      <c r="AM169" s="110" t="s">
        <v>161</v>
      </c>
      <c r="AN169" s="110" t="s">
        <v>179</v>
      </c>
      <c r="AO169" s="110" t="s">
        <v>179</v>
      </c>
      <c r="AP169" s="110" t="s">
        <v>179</v>
      </c>
      <c r="AQ169" s="110" t="s">
        <v>179</v>
      </c>
      <c r="AR169" s="110" t="s">
        <v>162</v>
      </c>
      <c r="AS169" s="131" t="s">
        <v>179</v>
      </c>
      <c r="AT169" s="215" t="s">
        <v>179</v>
      </c>
      <c r="AU169" s="215" t="s">
        <v>180</v>
      </c>
      <c r="AV169" s="170" t="str">
        <f t="shared" si="12"/>
        <v>A</v>
      </c>
    </row>
    <row r="170" spans="1:55" ht="15" customHeight="1" x14ac:dyDescent="0.25">
      <c r="A170" s="59">
        <v>43714</v>
      </c>
      <c r="B170" s="59" t="s">
        <v>256</v>
      </c>
      <c r="C170" s="59" t="s">
        <v>28</v>
      </c>
      <c r="D170" s="110" t="s">
        <v>28</v>
      </c>
      <c r="E170" s="60">
        <v>804</v>
      </c>
      <c r="F170" s="60">
        <v>82</v>
      </c>
      <c r="G170" s="156" t="s">
        <v>221</v>
      </c>
      <c r="H170" s="133" t="s">
        <v>1259</v>
      </c>
      <c r="I170" s="110" t="s">
        <v>1254</v>
      </c>
      <c r="J170" s="110"/>
      <c r="K170" s="110" t="s">
        <v>252</v>
      </c>
      <c r="L170" s="110" t="s">
        <v>1256</v>
      </c>
      <c r="M170" s="110" t="s">
        <v>1257</v>
      </c>
      <c r="N170" s="110" t="s">
        <v>1258</v>
      </c>
      <c r="O170" s="208"/>
      <c r="P170" s="208" t="s">
        <v>5</v>
      </c>
      <c r="Q170" s="208">
        <f t="shared" si="13"/>
        <v>0.1</v>
      </c>
      <c r="R170" s="7"/>
      <c r="S170" s="5">
        <v>0.1</v>
      </c>
      <c r="T170" s="6"/>
      <c r="U170" s="41"/>
      <c r="V170" s="20"/>
      <c r="W170" s="129"/>
      <c r="X170" s="20"/>
      <c r="Y170" s="129"/>
      <c r="Z170" s="20"/>
      <c r="AA170" s="129"/>
      <c r="AB170" s="20"/>
      <c r="AC170" s="129"/>
      <c r="AD170" s="20"/>
      <c r="AE170" s="19"/>
      <c r="AF170" s="8"/>
      <c r="AG170" s="17"/>
      <c r="AH170" s="38"/>
      <c r="AI170" s="18"/>
      <c r="AJ170" s="131"/>
      <c r="AK170" s="131"/>
      <c r="AL170" s="131"/>
      <c r="AM170" s="110" t="s">
        <v>140</v>
      </c>
      <c r="AN170" s="110" t="s">
        <v>179</v>
      </c>
      <c r="AO170" s="110" t="s">
        <v>179</v>
      </c>
      <c r="AP170" s="110" t="s">
        <v>179</v>
      </c>
      <c r="AQ170" s="110" t="s">
        <v>179</v>
      </c>
      <c r="AR170" s="110" t="s">
        <v>179</v>
      </c>
      <c r="AS170" s="131" t="s">
        <v>179</v>
      </c>
      <c r="AT170" s="215" t="s">
        <v>179</v>
      </c>
      <c r="AU170" s="215" t="s">
        <v>180</v>
      </c>
      <c r="AV170" s="170" t="str">
        <f t="shared" si="12"/>
        <v>A</v>
      </c>
    </row>
    <row r="171" spans="1:55" s="42" customFormat="1" ht="15" customHeight="1" x14ac:dyDescent="0.25">
      <c r="A171" s="59">
        <v>43714</v>
      </c>
      <c r="B171" s="59" t="s">
        <v>256</v>
      </c>
      <c r="C171" s="59" t="s">
        <v>28</v>
      </c>
      <c r="D171" s="110" t="s">
        <v>28</v>
      </c>
      <c r="E171" s="60">
        <v>805</v>
      </c>
      <c r="F171" s="60">
        <v>83</v>
      </c>
      <c r="G171" s="156" t="s">
        <v>277</v>
      </c>
      <c r="H171" s="133" t="s">
        <v>1226</v>
      </c>
      <c r="I171" s="110" t="s">
        <v>1199</v>
      </c>
      <c r="J171" s="257" t="s">
        <v>1233</v>
      </c>
      <c r="K171" s="110" t="s">
        <v>252</v>
      </c>
      <c r="L171" s="110" t="s">
        <v>1243</v>
      </c>
      <c r="M171" s="110" t="s">
        <v>1244</v>
      </c>
      <c r="N171" s="110" t="s">
        <v>675</v>
      </c>
      <c r="O171" s="208"/>
      <c r="P171" s="208"/>
      <c r="Q171" s="208">
        <f t="shared" si="13"/>
        <v>0.1</v>
      </c>
      <c r="R171" s="7"/>
      <c r="S171" s="5">
        <v>0.1</v>
      </c>
      <c r="T171" s="6"/>
      <c r="U171" s="41"/>
      <c r="V171" s="20"/>
      <c r="W171" s="129"/>
      <c r="X171" s="20"/>
      <c r="Y171" s="129"/>
      <c r="Z171" s="20"/>
      <c r="AA171" s="129"/>
      <c r="AB171" s="20"/>
      <c r="AC171" s="129"/>
      <c r="AD171" s="20"/>
      <c r="AE171" s="19"/>
      <c r="AF171" s="8"/>
      <c r="AG171" s="17"/>
      <c r="AH171" s="38"/>
      <c r="AI171" s="18"/>
      <c r="AJ171" s="131"/>
      <c r="AK171" s="131"/>
      <c r="AL171" s="131"/>
      <c r="AM171" s="110" t="s">
        <v>226</v>
      </c>
      <c r="AN171" s="110" t="s">
        <v>179</v>
      </c>
      <c r="AO171" s="110" t="s">
        <v>179</v>
      </c>
      <c r="AP171" s="110" t="s">
        <v>179</v>
      </c>
      <c r="AQ171" s="110" t="s">
        <v>179</v>
      </c>
      <c r="AR171" s="110" t="s">
        <v>179</v>
      </c>
      <c r="AS171" s="131" t="s">
        <v>179</v>
      </c>
      <c r="AT171" s="215" t="s">
        <v>179</v>
      </c>
      <c r="AU171" s="215" t="s">
        <v>180</v>
      </c>
      <c r="AV171" s="170" t="str">
        <f t="shared" si="12"/>
        <v>A</v>
      </c>
      <c r="AW171" s="22"/>
      <c r="AX171" s="2"/>
      <c r="AY171" s="2"/>
      <c r="AZ171" s="2"/>
      <c r="BA171" s="2"/>
      <c r="BB171" s="2"/>
      <c r="BC171" s="2"/>
    </row>
    <row r="172" spans="1:55" s="42" customFormat="1" ht="15" customHeight="1" x14ac:dyDescent="0.25">
      <c r="A172" s="59">
        <v>43714</v>
      </c>
      <c r="B172" s="59" t="s">
        <v>256</v>
      </c>
      <c r="C172" s="59" t="s">
        <v>28</v>
      </c>
      <c r="D172" s="110" t="s">
        <v>28</v>
      </c>
      <c r="E172" s="60">
        <v>806</v>
      </c>
      <c r="F172" s="60">
        <v>84</v>
      </c>
      <c r="G172" s="156" t="s">
        <v>246</v>
      </c>
      <c r="H172" s="133" t="s">
        <v>1227</v>
      </c>
      <c r="I172" s="110" t="s">
        <v>393</v>
      </c>
      <c r="J172" s="110" t="s">
        <v>1245</v>
      </c>
      <c r="K172" s="110" t="s">
        <v>252</v>
      </c>
      <c r="L172" s="110" t="s">
        <v>1246</v>
      </c>
      <c r="M172" s="110" t="s">
        <v>1247</v>
      </c>
      <c r="N172" s="110" t="s">
        <v>1248</v>
      </c>
      <c r="O172" s="208"/>
      <c r="P172" s="208"/>
      <c r="Q172" s="208">
        <f t="shared" si="13"/>
        <v>0.1</v>
      </c>
      <c r="R172" s="7"/>
      <c r="S172" s="5">
        <v>0.1</v>
      </c>
      <c r="T172" s="6"/>
      <c r="U172" s="41"/>
      <c r="V172" s="20"/>
      <c r="W172" s="129"/>
      <c r="X172" s="20"/>
      <c r="Y172" s="129"/>
      <c r="Z172" s="20"/>
      <c r="AA172" s="129"/>
      <c r="AB172" s="20"/>
      <c r="AC172" s="129"/>
      <c r="AD172" s="20"/>
      <c r="AE172" s="19"/>
      <c r="AF172" s="8"/>
      <c r="AG172" s="17"/>
      <c r="AH172" s="38"/>
      <c r="AI172" s="18"/>
      <c r="AJ172" s="131"/>
      <c r="AK172" s="131"/>
      <c r="AL172" s="131"/>
      <c r="AM172" s="110" t="s">
        <v>29</v>
      </c>
      <c r="AN172" s="110" t="s">
        <v>179</v>
      </c>
      <c r="AO172" s="110" t="s">
        <v>179</v>
      </c>
      <c r="AP172" s="110" t="s">
        <v>179</v>
      </c>
      <c r="AQ172" s="110" t="s">
        <v>179</v>
      </c>
      <c r="AR172" s="110" t="s">
        <v>179</v>
      </c>
      <c r="AS172" s="131" t="s">
        <v>179</v>
      </c>
      <c r="AT172" s="215" t="s">
        <v>179</v>
      </c>
      <c r="AU172" s="215" t="s">
        <v>180</v>
      </c>
      <c r="AV172" s="170" t="str">
        <f t="shared" si="12"/>
        <v>A</v>
      </c>
      <c r="AW172" s="22"/>
      <c r="AX172" s="2"/>
      <c r="AY172" s="2"/>
      <c r="AZ172" s="2"/>
      <c r="BA172" s="2"/>
      <c r="BB172" s="2"/>
      <c r="BC172" s="2"/>
    </row>
    <row r="173" spans="1:55" s="42" customFormat="1" ht="15" customHeight="1" x14ac:dyDescent="0.25">
      <c r="A173" s="59">
        <v>43714</v>
      </c>
      <c r="B173" s="59" t="s">
        <v>1231</v>
      </c>
      <c r="C173" s="59" t="s">
        <v>30</v>
      </c>
      <c r="D173" s="21" t="s">
        <v>30</v>
      </c>
      <c r="E173" s="60">
        <v>807</v>
      </c>
      <c r="F173" s="255"/>
      <c r="G173" s="156" t="s">
        <v>30</v>
      </c>
      <c r="H173" s="133" t="s">
        <v>1229</v>
      </c>
      <c r="I173" s="110" t="s">
        <v>1230</v>
      </c>
      <c r="J173" s="110"/>
      <c r="K173" s="110" t="s">
        <v>252</v>
      </c>
      <c r="L173" s="110" t="s">
        <v>787</v>
      </c>
      <c r="M173" s="110" t="s">
        <v>1482</v>
      </c>
      <c r="N173" s="110" t="s">
        <v>1483</v>
      </c>
      <c r="O173" s="208"/>
      <c r="P173" s="208"/>
      <c r="Q173" s="208">
        <f t="shared" si="13"/>
        <v>0.1</v>
      </c>
      <c r="R173" s="7"/>
      <c r="S173" s="5"/>
      <c r="T173" s="6">
        <v>0.1</v>
      </c>
      <c r="U173" s="41"/>
      <c r="V173" s="20"/>
      <c r="W173" s="129"/>
      <c r="X173" s="20"/>
      <c r="Y173" s="129"/>
      <c r="Z173" s="20"/>
      <c r="AA173" s="129"/>
      <c r="AB173" s="20"/>
      <c r="AC173" s="129"/>
      <c r="AD173" s="20"/>
      <c r="AE173" s="19"/>
      <c r="AF173" s="8"/>
      <c r="AG173" s="17"/>
      <c r="AH173" s="38"/>
      <c r="AI173" s="18"/>
      <c r="AJ173" s="131" t="s">
        <v>301</v>
      </c>
      <c r="AK173" s="131" t="s">
        <v>301</v>
      </c>
      <c r="AL173" s="131"/>
      <c r="AM173" s="110" t="s">
        <v>161</v>
      </c>
      <c r="AN173" s="110" t="s">
        <v>179</v>
      </c>
      <c r="AO173" s="110" t="s">
        <v>179</v>
      </c>
      <c r="AP173" s="110" t="s">
        <v>179</v>
      </c>
      <c r="AQ173" s="110" t="s">
        <v>179</v>
      </c>
      <c r="AR173" s="110" t="s">
        <v>179</v>
      </c>
      <c r="AS173" s="131" t="s">
        <v>179</v>
      </c>
      <c r="AT173" s="215" t="s">
        <v>179</v>
      </c>
      <c r="AU173" s="215" t="s">
        <v>180</v>
      </c>
      <c r="AV173" s="170" t="str">
        <f t="shared" si="12"/>
        <v>A</v>
      </c>
      <c r="AW173" s="22"/>
      <c r="AX173" s="2"/>
      <c r="AY173" s="2"/>
      <c r="AZ173" s="2"/>
      <c r="BA173" s="2"/>
      <c r="BB173" s="2"/>
      <c r="BC173" s="2"/>
    </row>
    <row r="174" spans="1:55" ht="15" customHeight="1" x14ac:dyDescent="0.25">
      <c r="A174" s="59">
        <v>43714</v>
      </c>
      <c r="B174" s="59" t="s">
        <v>1232</v>
      </c>
      <c r="C174" s="59" t="s">
        <v>27</v>
      </c>
      <c r="D174" s="21" t="s">
        <v>27</v>
      </c>
      <c r="E174" s="60">
        <v>811</v>
      </c>
      <c r="F174" s="255"/>
      <c r="G174" s="156" t="s">
        <v>217</v>
      </c>
      <c r="H174" s="133" t="s">
        <v>1228</v>
      </c>
      <c r="I174" s="21" t="s">
        <v>319</v>
      </c>
      <c r="J174" s="21" t="s">
        <v>479</v>
      </c>
      <c r="K174" s="21" t="s">
        <v>252</v>
      </c>
      <c r="L174" s="21" t="s">
        <v>1238</v>
      </c>
      <c r="M174" s="21" t="s">
        <v>1476</v>
      </c>
      <c r="N174" s="21" t="s">
        <v>1239</v>
      </c>
      <c r="O174" s="21">
        <v>525352</v>
      </c>
      <c r="P174" s="21">
        <v>4749227</v>
      </c>
      <c r="Q174" s="208">
        <f t="shared" si="13"/>
        <v>0.1</v>
      </c>
      <c r="R174" s="7">
        <v>0.1</v>
      </c>
      <c r="S174" s="5"/>
      <c r="T174" s="6"/>
      <c r="U174" s="41"/>
      <c r="V174" s="20"/>
      <c r="W174" s="129"/>
      <c r="X174" s="20"/>
      <c r="Y174" s="129"/>
      <c r="Z174" s="20"/>
      <c r="AA174" s="129"/>
      <c r="AB174" s="20"/>
      <c r="AC174" s="129"/>
      <c r="AD174" s="20"/>
      <c r="AE174" s="19"/>
      <c r="AF174" s="8"/>
      <c r="AG174" s="17"/>
      <c r="AH174" s="38"/>
      <c r="AI174" s="18"/>
      <c r="AJ174" s="131"/>
      <c r="AK174" s="131"/>
      <c r="AL174" s="131"/>
      <c r="AM174" s="21" t="s">
        <v>140</v>
      </c>
      <c r="AN174" s="21" t="s">
        <v>179</v>
      </c>
      <c r="AO174" s="21" t="s">
        <v>162</v>
      </c>
      <c r="AP174" s="21" t="s">
        <v>179</v>
      </c>
      <c r="AQ174" s="21" t="s">
        <v>179</v>
      </c>
      <c r="AR174" s="21" t="s">
        <v>179</v>
      </c>
      <c r="AS174" s="131" t="s">
        <v>162</v>
      </c>
      <c r="AT174" s="215" t="s">
        <v>179</v>
      </c>
      <c r="AU174" s="215" t="s">
        <v>180</v>
      </c>
      <c r="AV174" s="170" t="str">
        <f t="shared" si="12"/>
        <v>A</v>
      </c>
    </row>
    <row r="175" spans="1:55" ht="15" customHeight="1" x14ac:dyDescent="0.25">
      <c r="A175" s="59">
        <v>43714</v>
      </c>
      <c r="B175" s="59" t="s">
        <v>1240</v>
      </c>
      <c r="C175" s="59" t="s">
        <v>30</v>
      </c>
      <c r="D175" s="21" t="s">
        <v>30</v>
      </c>
      <c r="E175" s="60">
        <v>812</v>
      </c>
      <c r="F175" s="255"/>
      <c r="G175" s="156" t="s">
        <v>30</v>
      </c>
      <c r="H175" s="133" t="s">
        <v>1234</v>
      </c>
      <c r="I175" s="21" t="s">
        <v>611</v>
      </c>
      <c r="J175" s="21" t="s">
        <v>1217</v>
      </c>
      <c r="K175" s="21" t="s">
        <v>252</v>
      </c>
      <c r="L175" s="21" t="s">
        <v>1235</v>
      </c>
      <c r="M175" s="21" t="s">
        <v>1236</v>
      </c>
      <c r="N175" s="21" t="s">
        <v>1237</v>
      </c>
      <c r="O175" s="208"/>
      <c r="P175" s="208"/>
      <c r="Q175" s="208">
        <f t="shared" si="13"/>
        <v>0.1</v>
      </c>
      <c r="R175" s="7"/>
      <c r="S175" s="5"/>
      <c r="T175" s="6">
        <v>0.1</v>
      </c>
      <c r="U175" s="41"/>
      <c r="V175" s="20"/>
      <c r="W175" s="129"/>
      <c r="X175" s="20"/>
      <c r="Y175" s="129"/>
      <c r="Z175" s="20"/>
      <c r="AA175" s="129"/>
      <c r="AB175" s="20"/>
      <c r="AC175" s="129"/>
      <c r="AD175" s="20"/>
      <c r="AE175" s="19"/>
      <c r="AF175" s="8"/>
      <c r="AG175" s="17"/>
      <c r="AH175" s="38"/>
      <c r="AI175" s="18"/>
      <c r="AJ175" s="131"/>
      <c r="AK175" s="131" t="s">
        <v>301</v>
      </c>
      <c r="AL175" s="131"/>
      <c r="AM175" s="21" t="s">
        <v>415</v>
      </c>
      <c r="AN175" s="21" t="s">
        <v>179</v>
      </c>
      <c r="AO175" s="21" t="s">
        <v>179</v>
      </c>
      <c r="AP175" s="21" t="s">
        <v>179</v>
      </c>
      <c r="AQ175" s="21" t="s">
        <v>179</v>
      </c>
      <c r="AR175" s="21" t="s">
        <v>179</v>
      </c>
      <c r="AS175" s="131" t="s">
        <v>179</v>
      </c>
      <c r="AT175" s="215" t="s">
        <v>179</v>
      </c>
      <c r="AU175" s="215" t="s">
        <v>180</v>
      </c>
      <c r="AV175" s="170" t="str">
        <f t="shared" si="12"/>
        <v>A</v>
      </c>
    </row>
    <row r="176" spans="1:55" ht="15" customHeight="1" x14ac:dyDescent="0.25">
      <c r="A176" s="59">
        <v>43715</v>
      </c>
      <c r="B176" s="59" t="s">
        <v>256</v>
      </c>
      <c r="C176" s="59" t="s">
        <v>28</v>
      </c>
      <c r="D176" s="21" t="s">
        <v>28</v>
      </c>
      <c r="E176" s="60">
        <v>815</v>
      </c>
      <c r="F176" s="60">
        <v>85</v>
      </c>
      <c r="G176" s="156" t="s">
        <v>221</v>
      </c>
      <c r="H176" s="133" t="s">
        <v>1251</v>
      </c>
      <c r="I176" s="21" t="s">
        <v>642</v>
      </c>
      <c r="J176" s="21"/>
      <c r="K176" s="21" t="s">
        <v>252</v>
      </c>
      <c r="L176" s="21" t="s">
        <v>1262</v>
      </c>
      <c r="M176" s="21" t="s">
        <v>1260</v>
      </c>
      <c r="N176" s="21" t="s">
        <v>1261</v>
      </c>
      <c r="O176" s="208"/>
      <c r="P176" s="208"/>
      <c r="Q176" s="208">
        <f t="shared" si="13"/>
        <v>0.25</v>
      </c>
      <c r="R176" s="7"/>
      <c r="S176" s="5">
        <v>0.25</v>
      </c>
      <c r="T176" s="6"/>
      <c r="U176" s="41"/>
      <c r="V176" s="20"/>
      <c r="W176" s="129"/>
      <c r="X176" s="20"/>
      <c r="Y176" s="129"/>
      <c r="Z176" s="20"/>
      <c r="AA176" s="129"/>
      <c r="AB176" s="20"/>
      <c r="AC176" s="129"/>
      <c r="AD176" s="20"/>
      <c r="AE176" s="19"/>
      <c r="AF176" s="8"/>
      <c r="AG176" s="17"/>
      <c r="AH176" s="38"/>
      <c r="AI176" s="18"/>
      <c r="AJ176" s="131"/>
      <c r="AK176" s="131"/>
      <c r="AL176" s="131"/>
      <c r="AM176" s="21" t="s">
        <v>29</v>
      </c>
      <c r="AN176" s="21" t="s">
        <v>179</v>
      </c>
      <c r="AO176" s="21" t="s">
        <v>179</v>
      </c>
      <c r="AP176" s="21" t="s">
        <v>179</v>
      </c>
      <c r="AQ176" s="21" t="s">
        <v>179</v>
      </c>
      <c r="AR176" s="21" t="s">
        <v>179</v>
      </c>
      <c r="AS176" s="131" t="s">
        <v>179</v>
      </c>
      <c r="AT176" s="215" t="s">
        <v>179</v>
      </c>
      <c r="AU176" s="215" t="s">
        <v>180</v>
      </c>
      <c r="AV176" s="170" t="str">
        <f t="shared" si="12"/>
        <v>A</v>
      </c>
    </row>
    <row r="177" spans="1:55" ht="15" customHeight="1" x14ac:dyDescent="0.25">
      <c r="A177" s="59">
        <v>43715</v>
      </c>
      <c r="B177" s="59" t="s">
        <v>256</v>
      </c>
      <c r="C177" s="59" t="s">
        <v>28</v>
      </c>
      <c r="D177" s="21" t="s">
        <v>28</v>
      </c>
      <c r="E177" s="60">
        <v>816</v>
      </c>
      <c r="F177" s="60">
        <v>86</v>
      </c>
      <c r="G177" s="156" t="s">
        <v>221</v>
      </c>
      <c r="H177" s="133" t="s">
        <v>1253</v>
      </c>
      <c r="I177" s="21" t="s">
        <v>652</v>
      </c>
      <c r="J177" s="21" t="s">
        <v>1143</v>
      </c>
      <c r="K177" s="21" t="s">
        <v>252</v>
      </c>
      <c r="L177" s="21" t="s">
        <v>1250</v>
      </c>
      <c r="M177" s="21" t="s">
        <v>1532</v>
      </c>
      <c r="N177" s="21" t="s">
        <v>1533</v>
      </c>
      <c r="O177" s="208"/>
      <c r="P177" s="208"/>
      <c r="Q177" s="208">
        <f t="shared" si="13"/>
        <v>0.1</v>
      </c>
      <c r="R177" s="7"/>
      <c r="S177" s="5">
        <v>0.1</v>
      </c>
      <c r="T177" s="6"/>
      <c r="U177" s="41"/>
      <c r="V177" s="20"/>
      <c r="W177" s="129"/>
      <c r="X177" s="20"/>
      <c r="Y177" s="129"/>
      <c r="Z177" s="20"/>
      <c r="AA177" s="129"/>
      <c r="AB177" s="20"/>
      <c r="AC177" s="129"/>
      <c r="AD177" s="20"/>
      <c r="AE177" s="19"/>
      <c r="AF177" s="8"/>
      <c r="AG177" s="17"/>
      <c r="AH177" s="38"/>
      <c r="AI177" s="18"/>
      <c r="AJ177" s="131"/>
      <c r="AK177" s="131"/>
      <c r="AL177" s="131"/>
      <c r="AM177" s="21" t="s">
        <v>226</v>
      </c>
      <c r="AN177" s="21" t="s">
        <v>179</v>
      </c>
      <c r="AO177" s="21" t="s">
        <v>179</v>
      </c>
      <c r="AP177" s="21" t="s">
        <v>179</v>
      </c>
      <c r="AQ177" s="21" t="s">
        <v>179</v>
      </c>
      <c r="AR177" s="21" t="s">
        <v>179</v>
      </c>
      <c r="AS177" s="131" t="s">
        <v>179</v>
      </c>
      <c r="AT177" s="215" t="s">
        <v>179</v>
      </c>
      <c r="AU177" s="215" t="s">
        <v>180</v>
      </c>
      <c r="AV177" s="170" t="str">
        <f t="shared" si="12"/>
        <v>A</v>
      </c>
    </row>
    <row r="178" spans="1:55" ht="15" customHeight="1" x14ac:dyDescent="0.25">
      <c r="A178" s="59">
        <v>43715</v>
      </c>
      <c r="B178" s="59" t="s">
        <v>256</v>
      </c>
      <c r="C178" s="59" t="s">
        <v>28</v>
      </c>
      <c r="D178" s="21" t="s">
        <v>28</v>
      </c>
      <c r="E178" s="60">
        <v>818</v>
      </c>
      <c r="F178" s="60">
        <v>87</v>
      </c>
      <c r="G178" s="156" t="s">
        <v>221</v>
      </c>
      <c r="H178" s="133" t="s">
        <v>1267</v>
      </c>
      <c r="I178" s="21" t="s">
        <v>1283</v>
      </c>
      <c r="J178" s="62" t="s">
        <v>684</v>
      </c>
      <c r="K178" s="21" t="s">
        <v>252</v>
      </c>
      <c r="L178" s="21" t="s">
        <v>1281</v>
      </c>
      <c r="M178" s="21" t="s">
        <v>1282</v>
      </c>
      <c r="N178" s="21" t="s">
        <v>1523</v>
      </c>
      <c r="O178" s="208"/>
      <c r="P178" s="208"/>
      <c r="Q178" s="208">
        <f t="shared" si="13"/>
        <v>0.1</v>
      </c>
      <c r="R178" s="7"/>
      <c r="S178" s="5">
        <v>0.1</v>
      </c>
      <c r="T178" s="6"/>
      <c r="U178" s="41"/>
      <c r="V178" s="20"/>
      <c r="W178" s="129"/>
      <c r="X178" s="20"/>
      <c r="Y178" s="129"/>
      <c r="Z178" s="20"/>
      <c r="AA178" s="129"/>
      <c r="AB178" s="20"/>
      <c r="AC178" s="129"/>
      <c r="AD178" s="20"/>
      <c r="AE178" s="19"/>
      <c r="AF178" s="8"/>
      <c r="AG178" s="17"/>
      <c r="AH178" s="38"/>
      <c r="AI178" s="18"/>
      <c r="AJ178" s="131"/>
      <c r="AK178" s="131"/>
      <c r="AL178" s="131"/>
      <c r="AM178" s="21" t="s">
        <v>140</v>
      </c>
      <c r="AN178" s="21" t="s">
        <v>179</v>
      </c>
      <c r="AO178" s="21" t="s">
        <v>179</v>
      </c>
      <c r="AP178" s="21" t="s">
        <v>179</v>
      </c>
      <c r="AQ178" s="21" t="s">
        <v>179</v>
      </c>
      <c r="AR178" s="21" t="s">
        <v>179</v>
      </c>
      <c r="AS178" s="131" t="s">
        <v>179</v>
      </c>
      <c r="AT178" s="215" t="s">
        <v>179</v>
      </c>
      <c r="AU178" s="215" t="s">
        <v>180</v>
      </c>
      <c r="AV178" s="170" t="str">
        <f t="shared" si="12"/>
        <v>A</v>
      </c>
    </row>
    <row r="179" spans="1:55" ht="15" customHeight="1" x14ac:dyDescent="0.25">
      <c r="A179" s="59">
        <v>43719</v>
      </c>
      <c r="B179" s="59" t="s">
        <v>1284</v>
      </c>
      <c r="C179" s="59" t="s">
        <v>27</v>
      </c>
      <c r="D179" s="21" t="s">
        <v>27</v>
      </c>
      <c r="E179" s="60">
        <v>834</v>
      </c>
      <c r="F179" s="255"/>
      <c r="G179" s="156" t="s">
        <v>217</v>
      </c>
      <c r="H179" s="133" t="s">
        <v>1285</v>
      </c>
      <c r="I179" s="21" t="s">
        <v>1286</v>
      </c>
      <c r="J179" s="21"/>
      <c r="K179" s="21" t="s">
        <v>252</v>
      </c>
      <c r="L179" s="21" t="s">
        <v>1287</v>
      </c>
      <c r="M179" s="21" t="s">
        <v>1288</v>
      </c>
      <c r="N179" s="21" t="s">
        <v>1477</v>
      </c>
      <c r="O179" s="21">
        <v>507903</v>
      </c>
      <c r="P179" s="21">
        <v>4697599</v>
      </c>
      <c r="Q179" s="208">
        <f t="shared" si="13"/>
        <v>0.1</v>
      </c>
      <c r="R179" s="7">
        <v>0.1</v>
      </c>
      <c r="S179" s="5"/>
      <c r="T179" s="6"/>
      <c r="U179" s="41"/>
      <c r="V179" s="20"/>
      <c r="W179" s="129"/>
      <c r="X179" s="20"/>
      <c r="Y179" s="129"/>
      <c r="Z179" s="20"/>
      <c r="AA179" s="129"/>
      <c r="AB179" s="20"/>
      <c r="AC179" s="129"/>
      <c r="AD179" s="20"/>
      <c r="AE179" s="19"/>
      <c r="AF179" s="8"/>
      <c r="AG179" s="17"/>
      <c r="AH179" s="38"/>
      <c r="AI179" s="18"/>
      <c r="AJ179" s="131"/>
      <c r="AK179" s="131"/>
      <c r="AL179" s="131"/>
      <c r="AM179" s="21" t="s">
        <v>29</v>
      </c>
      <c r="AN179" s="21" t="s">
        <v>179</v>
      </c>
      <c r="AO179" s="21" t="s">
        <v>179</v>
      </c>
      <c r="AP179" s="21" t="s">
        <v>179</v>
      </c>
      <c r="AQ179" s="21" t="s">
        <v>162</v>
      </c>
      <c r="AR179" s="21" t="s">
        <v>179</v>
      </c>
      <c r="AS179" s="131" t="s">
        <v>179</v>
      </c>
      <c r="AT179" s="215" t="s">
        <v>179</v>
      </c>
      <c r="AU179" s="215" t="s">
        <v>180</v>
      </c>
      <c r="AV179" s="170" t="str">
        <f t="shared" si="12"/>
        <v>A</v>
      </c>
    </row>
    <row r="180" spans="1:55" ht="15" customHeight="1" x14ac:dyDescent="0.25">
      <c r="A180" s="59">
        <v>43720</v>
      </c>
      <c r="B180" s="59" t="s">
        <v>1293</v>
      </c>
      <c r="C180" s="59" t="s">
        <v>27</v>
      </c>
      <c r="D180" s="21" t="s">
        <v>79</v>
      </c>
      <c r="E180" s="60">
        <v>837</v>
      </c>
      <c r="F180" s="255"/>
      <c r="G180" s="156" t="s">
        <v>216</v>
      </c>
      <c r="H180" s="133" t="s">
        <v>1294</v>
      </c>
      <c r="I180" s="21" t="s">
        <v>832</v>
      </c>
      <c r="J180" s="21"/>
      <c r="K180" s="21" t="s">
        <v>7</v>
      </c>
      <c r="L180" s="21" t="s">
        <v>1298</v>
      </c>
      <c r="M180" s="21" t="s">
        <v>1299</v>
      </c>
      <c r="N180" s="21" t="s">
        <v>1300</v>
      </c>
      <c r="O180" s="21">
        <v>613807</v>
      </c>
      <c r="P180" s="21">
        <v>4755352</v>
      </c>
      <c r="Q180" s="208">
        <f t="shared" si="13"/>
        <v>14</v>
      </c>
      <c r="R180" s="7"/>
      <c r="S180" s="5"/>
      <c r="T180" s="6"/>
      <c r="U180" s="41"/>
      <c r="V180" s="20"/>
      <c r="W180" s="129"/>
      <c r="X180" s="20"/>
      <c r="Y180" s="129"/>
      <c r="Z180" s="20"/>
      <c r="AA180" s="129"/>
      <c r="AB180" s="20"/>
      <c r="AC180" s="129">
        <v>14</v>
      </c>
      <c r="AD180" s="20"/>
      <c r="AE180" s="19"/>
      <c r="AF180" s="8"/>
      <c r="AG180" s="17"/>
      <c r="AH180" s="38"/>
      <c r="AI180" s="18"/>
      <c r="AJ180" s="131"/>
      <c r="AK180" s="131"/>
      <c r="AL180" s="131"/>
      <c r="AM180" s="21" t="s">
        <v>29</v>
      </c>
      <c r="AN180" s="21" t="s">
        <v>179</v>
      </c>
      <c r="AO180" s="21" t="s">
        <v>179</v>
      </c>
      <c r="AP180" s="21" t="s">
        <v>179</v>
      </c>
      <c r="AQ180" s="21" t="s">
        <v>179</v>
      </c>
      <c r="AR180" s="21" t="s">
        <v>179</v>
      </c>
      <c r="AS180" s="131" t="s">
        <v>179</v>
      </c>
      <c r="AT180" s="215" t="s">
        <v>162</v>
      </c>
      <c r="AU180" s="215" t="s">
        <v>180</v>
      </c>
      <c r="AV180" s="170" t="str">
        <f t="shared" si="12"/>
        <v>C</v>
      </c>
    </row>
    <row r="181" spans="1:55" s="42" customFormat="1" ht="15" customHeight="1" x14ac:dyDescent="0.25">
      <c r="A181" s="59">
        <v>43720</v>
      </c>
      <c r="B181" s="59" t="s">
        <v>1295</v>
      </c>
      <c r="C181" s="59" t="s">
        <v>28</v>
      </c>
      <c r="D181" s="21" t="s">
        <v>82</v>
      </c>
      <c r="E181" s="60">
        <v>838</v>
      </c>
      <c r="F181" s="60">
        <v>88</v>
      </c>
      <c r="G181" s="156" t="s">
        <v>237</v>
      </c>
      <c r="H181" s="133" t="s">
        <v>1296</v>
      </c>
      <c r="I181" s="21" t="s">
        <v>1297</v>
      </c>
      <c r="J181" s="21"/>
      <c r="K181" s="21" t="s">
        <v>7</v>
      </c>
      <c r="L181" s="21" t="s">
        <v>1301</v>
      </c>
      <c r="M181" s="21" t="s">
        <v>1302</v>
      </c>
      <c r="N181" s="21" t="s">
        <v>1534</v>
      </c>
      <c r="O181" s="208"/>
      <c r="P181" s="208"/>
      <c r="Q181" s="208">
        <f t="shared" si="13"/>
        <v>0.25</v>
      </c>
      <c r="R181" s="7"/>
      <c r="S181" s="5"/>
      <c r="T181" s="6"/>
      <c r="U181" s="41"/>
      <c r="V181" s="20"/>
      <c r="W181" s="129"/>
      <c r="X181" s="20"/>
      <c r="Y181" s="129"/>
      <c r="Z181" s="20"/>
      <c r="AA181" s="129">
        <v>0.25</v>
      </c>
      <c r="AB181" s="20"/>
      <c r="AC181" s="129"/>
      <c r="AD181" s="20"/>
      <c r="AE181" s="19"/>
      <c r="AF181" s="8"/>
      <c r="AG181" s="17"/>
      <c r="AH181" s="38"/>
      <c r="AI181" s="18"/>
      <c r="AJ181" s="131"/>
      <c r="AK181" s="131"/>
      <c r="AL181" s="131"/>
      <c r="AM181" s="21" t="s">
        <v>161</v>
      </c>
      <c r="AN181" s="21" t="s">
        <v>179</v>
      </c>
      <c r="AO181" s="21" t="s">
        <v>179</v>
      </c>
      <c r="AP181" s="21" t="s">
        <v>179</v>
      </c>
      <c r="AQ181" s="21" t="s">
        <v>179</v>
      </c>
      <c r="AR181" s="21" t="s">
        <v>162</v>
      </c>
      <c r="AS181" s="131" t="s">
        <v>179</v>
      </c>
      <c r="AT181" s="215" t="s">
        <v>179</v>
      </c>
      <c r="AU181" s="215" t="s">
        <v>180</v>
      </c>
      <c r="AV181" s="170" t="str">
        <f t="shared" si="12"/>
        <v>A</v>
      </c>
      <c r="AW181" s="22"/>
      <c r="AX181" s="2"/>
      <c r="AY181" s="2"/>
      <c r="AZ181" s="2"/>
      <c r="BA181" s="2"/>
      <c r="BB181" s="2"/>
      <c r="BC181" s="2"/>
    </row>
    <row r="182" spans="1:55" s="42" customFormat="1" ht="15" customHeight="1" x14ac:dyDescent="0.25">
      <c r="A182" s="59">
        <v>43723</v>
      </c>
      <c r="B182" s="59" t="s">
        <v>256</v>
      </c>
      <c r="C182" s="59" t="s">
        <v>28</v>
      </c>
      <c r="D182" s="21" t="s">
        <v>28</v>
      </c>
      <c r="E182" s="60">
        <v>848</v>
      </c>
      <c r="F182" s="60">
        <v>89</v>
      </c>
      <c r="G182" s="156" t="s">
        <v>277</v>
      </c>
      <c r="H182" s="133" t="s">
        <v>1310</v>
      </c>
      <c r="I182" s="21" t="s">
        <v>1313</v>
      </c>
      <c r="J182" s="21"/>
      <c r="K182" s="21" t="s">
        <v>252</v>
      </c>
      <c r="L182" s="21" t="s">
        <v>540</v>
      </c>
      <c r="M182" s="21" t="s">
        <v>1311</v>
      </c>
      <c r="N182" s="21" t="s">
        <v>1312</v>
      </c>
      <c r="O182" s="208"/>
      <c r="P182" s="208"/>
      <c r="Q182" s="208">
        <f t="shared" si="13"/>
        <v>0.3</v>
      </c>
      <c r="R182" s="7"/>
      <c r="S182" s="5">
        <v>0.3</v>
      </c>
      <c r="T182" s="6"/>
      <c r="U182" s="41"/>
      <c r="V182" s="20"/>
      <c r="W182" s="129"/>
      <c r="X182" s="20"/>
      <c r="Y182" s="129"/>
      <c r="Z182" s="20"/>
      <c r="AA182" s="129"/>
      <c r="AB182" s="20"/>
      <c r="AC182" s="129"/>
      <c r="AD182" s="20"/>
      <c r="AE182" s="19"/>
      <c r="AF182" s="8"/>
      <c r="AG182" s="17"/>
      <c r="AH182" s="38"/>
      <c r="AI182" s="18"/>
      <c r="AJ182" s="131"/>
      <c r="AK182" s="131"/>
      <c r="AL182" s="131"/>
      <c r="AM182" s="21" t="s">
        <v>29</v>
      </c>
      <c r="AN182" s="21" t="s">
        <v>179</v>
      </c>
      <c r="AO182" s="21" t="s">
        <v>179</v>
      </c>
      <c r="AP182" s="21" t="s">
        <v>179</v>
      </c>
      <c r="AQ182" s="21" t="s">
        <v>179</v>
      </c>
      <c r="AR182" s="21" t="s">
        <v>179</v>
      </c>
      <c r="AS182" s="131" t="s">
        <v>179</v>
      </c>
      <c r="AT182" s="215" t="s">
        <v>179</v>
      </c>
      <c r="AU182" s="215" t="s">
        <v>180</v>
      </c>
      <c r="AV182" s="170" t="str">
        <f t="shared" si="12"/>
        <v>B</v>
      </c>
      <c r="AW182" s="22"/>
      <c r="AX182" s="2"/>
      <c r="AY182" s="2"/>
      <c r="AZ182" s="2"/>
      <c r="BA182" s="2"/>
      <c r="BB182" s="2"/>
      <c r="BC182" s="2"/>
    </row>
    <row r="183" spans="1:55" ht="15" customHeight="1" x14ac:dyDescent="0.25">
      <c r="A183" s="59">
        <v>43729</v>
      </c>
      <c r="B183" s="59" t="s">
        <v>1323</v>
      </c>
      <c r="C183" s="59" t="s">
        <v>28</v>
      </c>
      <c r="D183" s="21" t="s">
        <v>28</v>
      </c>
      <c r="E183" s="60">
        <v>859</v>
      </c>
      <c r="F183" s="60">
        <v>90</v>
      </c>
      <c r="G183" s="156" t="s">
        <v>246</v>
      </c>
      <c r="H183" s="133" t="s">
        <v>1319</v>
      </c>
      <c r="I183" s="21" t="s">
        <v>1320</v>
      </c>
      <c r="J183" s="21" t="s">
        <v>1322</v>
      </c>
      <c r="K183" s="21" t="s">
        <v>7</v>
      </c>
      <c r="L183" s="21" t="s">
        <v>1321</v>
      </c>
      <c r="M183" s="21" t="s">
        <v>1324</v>
      </c>
      <c r="N183" s="21" t="s">
        <v>1546</v>
      </c>
      <c r="O183" s="208"/>
      <c r="P183" s="208"/>
      <c r="Q183" s="208">
        <f t="shared" si="13"/>
        <v>0.1</v>
      </c>
      <c r="R183" s="7"/>
      <c r="S183" s="5">
        <v>0.1</v>
      </c>
      <c r="T183" s="6"/>
      <c r="U183" s="41"/>
      <c r="V183" s="20"/>
      <c r="W183" s="129"/>
      <c r="X183" s="20"/>
      <c r="Y183" s="129"/>
      <c r="Z183" s="20"/>
      <c r="AA183" s="129"/>
      <c r="AB183" s="20"/>
      <c r="AC183" s="129"/>
      <c r="AD183" s="20"/>
      <c r="AE183" s="19"/>
      <c r="AF183" s="8"/>
      <c r="AG183" s="17"/>
      <c r="AH183" s="38"/>
      <c r="AI183" s="18"/>
      <c r="AJ183" s="131"/>
      <c r="AK183" s="131"/>
      <c r="AL183" s="131"/>
      <c r="AM183" s="21" t="s">
        <v>161</v>
      </c>
      <c r="AN183" s="21" t="s">
        <v>179</v>
      </c>
      <c r="AO183" s="21" t="s">
        <v>179</v>
      </c>
      <c r="AP183" s="21" t="s">
        <v>179</v>
      </c>
      <c r="AQ183" s="21" t="s">
        <v>179</v>
      </c>
      <c r="AR183" s="21" t="s">
        <v>179</v>
      </c>
      <c r="AS183" s="131" t="s">
        <v>179</v>
      </c>
      <c r="AT183" s="215" t="s">
        <v>179</v>
      </c>
      <c r="AU183" s="215" t="s">
        <v>180</v>
      </c>
      <c r="AV183" s="170" t="str">
        <f t="shared" si="12"/>
        <v>A</v>
      </c>
    </row>
    <row r="184" spans="1:55" ht="15" customHeight="1" x14ac:dyDescent="0.25">
      <c r="A184" s="59">
        <v>43733</v>
      </c>
      <c r="B184" s="59" t="s">
        <v>1355</v>
      </c>
      <c r="C184" s="59" t="s">
        <v>28</v>
      </c>
      <c r="D184" s="21" t="s">
        <v>28</v>
      </c>
      <c r="E184" s="60">
        <v>876</v>
      </c>
      <c r="F184" s="60">
        <v>91</v>
      </c>
      <c r="G184" s="156" t="s">
        <v>237</v>
      </c>
      <c r="H184" s="133" t="s">
        <v>1352</v>
      </c>
      <c r="I184" s="21" t="s">
        <v>855</v>
      </c>
      <c r="J184" s="21" t="s">
        <v>1349</v>
      </c>
      <c r="K184" s="21" t="s">
        <v>7</v>
      </c>
      <c r="L184" s="21" t="s">
        <v>1350</v>
      </c>
      <c r="M184" s="21" t="s">
        <v>1351</v>
      </c>
      <c r="N184" s="21" t="s">
        <v>1354</v>
      </c>
      <c r="O184" s="208"/>
      <c r="P184" s="208"/>
      <c r="Q184" s="208">
        <f t="shared" si="13"/>
        <v>0.1</v>
      </c>
      <c r="R184" s="7"/>
      <c r="S184" s="5">
        <v>0.1</v>
      </c>
      <c r="T184" s="6"/>
      <c r="U184" s="41"/>
      <c r="V184" s="20"/>
      <c r="W184" s="129"/>
      <c r="X184" s="20"/>
      <c r="Y184" s="129"/>
      <c r="Z184" s="20"/>
      <c r="AA184" s="129"/>
      <c r="AB184" s="20"/>
      <c r="AC184" s="129"/>
      <c r="AD184" s="20"/>
      <c r="AE184" s="19"/>
      <c r="AF184" s="8"/>
      <c r="AG184" s="17"/>
      <c r="AH184" s="38"/>
      <c r="AI184" s="18"/>
      <c r="AJ184" s="131"/>
      <c r="AK184" s="131"/>
      <c r="AL184" s="131"/>
      <c r="AM184" s="21" t="s">
        <v>226</v>
      </c>
      <c r="AN184" s="21" t="s">
        <v>179</v>
      </c>
      <c r="AO184" s="21" t="s">
        <v>179</v>
      </c>
      <c r="AP184" s="21" t="s">
        <v>179</v>
      </c>
      <c r="AQ184" s="21" t="s">
        <v>179</v>
      </c>
      <c r="AR184" s="21" t="s">
        <v>179</v>
      </c>
      <c r="AS184" s="131" t="s">
        <v>179</v>
      </c>
      <c r="AT184" s="215" t="s">
        <v>179</v>
      </c>
      <c r="AU184" s="215" t="s">
        <v>180</v>
      </c>
      <c r="AV184" s="170" t="str">
        <f t="shared" si="12"/>
        <v>A</v>
      </c>
    </row>
    <row r="185" spans="1:55" ht="15" customHeight="1" x14ac:dyDescent="0.25">
      <c r="A185" s="59">
        <v>43733</v>
      </c>
      <c r="B185" s="59" t="s">
        <v>1356</v>
      </c>
      <c r="C185" s="59" t="s">
        <v>28</v>
      </c>
      <c r="D185" s="21" t="s">
        <v>28</v>
      </c>
      <c r="E185" s="60">
        <v>878</v>
      </c>
      <c r="F185" s="60">
        <v>92</v>
      </c>
      <c r="G185" s="156" t="s">
        <v>237</v>
      </c>
      <c r="H185" s="133" t="s">
        <v>1353</v>
      </c>
      <c r="I185" s="21" t="s">
        <v>855</v>
      </c>
      <c r="J185" s="21" t="s">
        <v>1349</v>
      </c>
      <c r="K185" s="21" t="s">
        <v>7</v>
      </c>
      <c r="L185" s="21" t="s">
        <v>1350</v>
      </c>
      <c r="M185" s="21" t="s">
        <v>1351</v>
      </c>
      <c r="N185" s="21" t="s">
        <v>1563</v>
      </c>
      <c r="O185" s="208"/>
      <c r="P185" s="208"/>
      <c r="Q185" s="208">
        <f t="shared" si="13"/>
        <v>0.1</v>
      </c>
      <c r="R185" s="7"/>
      <c r="S185" s="5">
        <v>0.1</v>
      </c>
      <c r="T185" s="6"/>
      <c r="U185" s="41"/>
      <c r="V185" s="20"/>
      <c r="W185" s="129"/>
      <c r="X185" s="20"/>
      <c r="Y185" s="129"/>
      <c r="Z185" s="20"/>
      <c r="AA185" s="129"/>
      <c r="AB185" s="20"/>
      <c r="AC185" s="129"/>
      <c r="AD185" s="20"/>
      <c r="AE185" s="19"/>
      <c r="AF185" s="8"/>
      <c r="AG185" s="17"/>
      <c r="AH185" s="38"/>
      <c r="AI185" s="18"/>
      <c r="AJ185" s="131"/>
      <c r="AK185" s="131"/>
      <c r="AL185" s="131"/>
      <c r="AM185" s="21" t="s">
        <v>226</v>
      </c>
      <c r="AN185" s="21" t="s">
        <v>179</v>
      </c>
      <c r="AO185" s="21" t="s">
        <v>179</v>
      </c>
      <c r="AP185" s="21" t="s">
        <v>179</v>
      </c>
      <c r="AQ185" s="21" t="s">
        <v>179</v>
      </c>
      <c r="AR185" s="21" t="s">
        <v>179</v>
      </c>
      <c r="AS185" s="131" t="s">
        <v>179</v>
      </c>
      <c r="AT185" s="215" t="s">
        <v>179</v>
      </c>
      <c r="AU185" s="215" t="s">
        <v>180</v>
      </c>
      <c r="AV185" s="170" t="str">
        <f t="shared" si="12"/>
        <v>A</v>
      </c>
    </row>
    <row r="186" spans="1:55" ht="15" customHeight="1" x14ac:dyDescent="0.25">
      <c r="A186" s="59">
        <v>43737</v>
      </c>
      <c r="B186" s="59" t="s">
        <v>1369</v>
      </c>
      <c r="C186" s="59" t="s">
        <v>27</v>
      </c>
      <c r="D186" s="21" t="s">
        <v>27</v>
      </c>
      <c r="E186" s="60">
        <v>887</v>
      </c>
      <c r="F186" s="265"/>
      <c r="G186" s="156" t="s">
        <v>8</v>
      </c>
      <c r="H186" s="133" t="s">
        <v>1368</v>
      </c>
      <c r="I186" s="21" t="s">
        <v>1370</v>
      </c>
      <c r="J186" s="21"/>
      <c r="K186" s="21" t="s">
        <v>7</v>
      </c>
      <c r="L186" s="21" t="s">
        <v>1012</v>
      </c>
      <c r="M186" s="21" t="s">
        <v>1371</v>
      </c>
      <c r="N186" s="21" t="s">
        <v>1478</v>
      </c>
      <c r="O186" s="21">
        <v>531017</v>
      </c>
      <c r="P186" s="21">
        <v>4854149</v>
      </c>
      <c r="Q186" s="208">
        <f t="shared" si="13"/>
        <v>5.9</v>
      </c>
      <c r="R186" s="7">
        <v>5.9</v>
      </c>
      <c r="S186" s="5"/>
      <c r="T186" s="6"/>
      <c r="U186" s="41"/>
      <c r="V186" s="20"/>
      <c r="W186" s="129"/>
      <c r="X186" s="20"/>
      <c r="Y186" s="129"/>
      <c r="Z186" s="20"/>
      <c r="AA186" s="129"/>
      <c r="AB186" s="20"/>
      <c r="AC186" s="129"/>
      <c r="AD186" s="20"/>
      <c r="AE186" s="19"/>
      <c r="AF186" s="8"/>
      <c r="AG186" s="17"/>
      <c r="AH186" s="38"/>
      <c r="AI186" s="18"/>
      <c r="AJ186" s="131"/>
      <c r="AK186" s="131"/>
      <c r="AL186" s="131"/>
      <c r="AM186" s="21" t="s">
        <v>161</v>
      </c>
      <c r="AN186" s="21" t="s">
        <v>179</v>
      </c>
      <c r="AO186" s="21" t="s">
        <v>179</v>
      </c>
      <c r="AP186" s="21" t="s">
        <v>179</v>
      </c>
      <c r="AQ186" s="21" t="s">
        <v>179</v>
      </c>
      <c r="AR186" s="21" t="s">
        <v>162</v>
      </c>
      <c r="AS186" s="131" t="s">
        <v>179</v>
      </c>
      <c r="AT186" s="215" t="s">
        <v>180</v>
      </c>
      <c r="AU186" s="215" t="s">
        <v>180</v>
      </c>
      <c r="AV186" s="170" t="str">
        <f t="shared" si="12"/>
        <v>B</v>
      </c>
    </row>
    <row r="187" spans="1:55" ht="15" customHeight="1" x14ac:dyDescent="0.25">
      <c r="A187" s="59">
        <v>43739</v>
      </c>
      <c r="B187" s="59" t="s">
        <v>1375</v>
      </c>
      <c r="C187" s="59" t="s">
        <v>27</v>
      </c>
      <c r="D187" s="21" t="s">
        <v>30</v>
      </c>
      <c r="E187" s="60">
        <v>896</v>
      </c>
      <c r="F187" s="265"/>
      <c r="G187" s="156" t="s">
        <v>8</v>
      </c>
      <c r="H187" s="133" t="s">
        <v>1374</v>
      </c>
      <c r="I187" s="21" t="s">
        <v>1373</v>
      </c>
      <c r="J187" s="21" t="s">
        <v>1379</v>
      </c>
      <c r="K187" s="21" t="s">
        <v>7</v>
      </c>
      <c r="L187" s="21" t="s">
        <v>1376</v>
      </c>
      <c r="M187" s="21" t="s">
        <v>1377</v>
      </c>
      <c r="N187" s="21" t="s">
        <v>1378</v>
      </c>
      <c r="O187" s="21">
        <v>573161</v>
      </c>
      <c r="P187" s="21">
        <v>4822354</v>
      </c>
      <c r="Q187" s="208">
        <f t="shared" si="13"/>
        <v>233</v>
      </c>
      <c r="R187" s="7"/>
      <c r="S187" s="5"/>
      <c r="T187" s="6">
        <v>233</v>
      </c>
      <c r="U187" s="41"/>
      <c r="V187" s="20"/>
      <c r="W187" s="129"/>
      <c r="X187" s="20"/>
      <c r="Y187" s="129"/>
      <c r="Z187" s="20"/>
      <c r="AA187" s="129"/>
      <c r="AB187" s="20"/>
      <c r="AC187" s="129"/>
      <c r="AD187" s="20"/>
      <c r="AE187" s="19"/>
      <c r="AF187" s="8"/>
      <c r="AG187" s="17"/>
      <c r="AH187" s="38"/>
      <c r="AI187" s="18"/>
      <c r="AJ187" s="131"/>
      <c r="AK187" s="131" t="s">
        <v>301</v>
      </c>
      <c r="AL187" s="131" t="s">
        <v>301</v>
      </c>
      <c r="AM187" s="21" t="s">
        <v>226</v>
      </c>
      <c r="AN187" s="21" t="s">
        <v>179</v>
      </c>
      <c r="AO187" s="21" t="s">
        <v>179</v>
      </c>
      <c r="AP187" s="21" t="s">
        <v>179</v>
      </c>
      <c r="AQ187" s="21" t="s">
        <v>179</v>
      </c>
      <c r="AR187" s="21" t="s">
        <v>162</v>
      </c>
      <c r="AS187" s="131" t="s">
        <v>179</v>
      </c>
      <c r="AT187" s="215" t="s">
        <v>162</v>
      </c>
      <c r="AU187" s="215" t="s">
        <v>180</v>
      </c>
      <c r="AV187" s="170" t="str">
        <f t="shared" si="12"/>
        <v>D</v>
      </c>
    </row>
    <row r="188" spans="1:55" ht="15" customHeight="1" x14ac:dyDescent="0.25">
      <c r="A188" s="59">
        <v>43739</v>
      </c>
      <c r="B188" s="59" t="s">
        <v>1439</v>
      </c>
      <c r="C188" s="59" t="s">
        <v>30</v>
      </c>
      <c r="D188" s="21" t="s">
        <v>28</v>
      </c>
      <c r="E188" s="60">
        <v>897</v>
      </c>
      <c r="F188" s="60">
        <v>93</v>
      </c>
      <c r="G188" s="156" t="s">
        <v>237</v>
      </c>
      <c r="H188" s="133" t="s">
        <v>1438</v>
      </c>
      <c r="I188" s="21" t="s">
        <v>1440</v>
      </c>
      <c r="J188" s="21" t="s">
        <v>1224</v>
      </c>
      <c r="K188" s="21" t="s">
        <v>252</v>
      </c>
      <c r="L188" s="21" t="s">
        <v>1445</v>
      </c>
      <c r="M188" s="21" t="s">
        <v>1564</v>
      </c>
      <c r="N188" s="21" t="s">
        <v>1565</v>
      </c>
      <c r="O188" s="208"/>
      <c r="P188" s="208"/>
      <c r="Q188" s="208">
        <f t="shared" si="13"/>
        <v>0.1</v>
      </c>
      <c r="R188" s="7"/>
      <c r="S188" s="5">
        <v>0.1</v>
      </c>
      <c r="T188" s="6"/>
      <c r="U188" s="41"/>
      <c r="V188" s="20"/>
      <c r="W188" s="129"/>
      <c r="X188" s="20"/>
      <c r="Y188" s="129"/>
      <c r="Z188" s="20"/>
      <c r="AA188" s="129"/>
      <c r="AB188" s="20"/>
      <c r="AC188" s="129"/>
      <c r="AD188" s="20"/>
      <c r="AE188" s="19"/>
      <c r="AF188" s="8"/>
      <c r="AG188" s="17"/>
      <c r="AH188" s="38"/>
      <c r="AI188" s="18"/>
      <c r="AJ188" s="131"/>
      <c r="AK188" s="131"/>
      <c r="AL188" s="131"/>
      <c r="AM188" s="21" t="s">
        <v>161</v>
      </c>
      <c r="AN188" s="21" t="s">
        <v>179</v>
      </c>
      <c r="AO188" s="21" t="s">
        <v>179</v>
      </c>
      <c r="AP188" s="21" t="s">
        <v>179</v>
      </c>
      <c r="AQ188" s="21" t="s">
        <v>179</v>
      </c>
      <c r="AR188" s="21" t="s">
        <v>179</v>
      </c>
      <c r="AS188" s="131" t="s">
        <v>179</v>
      </c>
      <c r="AT188" s="215" t="s">
        <v>179</v>
      </c>
      <c r="AU188" s="215" t="s">
        <v>180</v>
      </c>
      <c r="AV188" s="170" t="str">
        <f t="shared" si="12"/>
        <v>A</v>
      </c>
    </row>
    <row r="189" spans="1:55" ht="15" customHeight="1" x14ac:dyDescent="0.25">
      <c r="A189" s="59">
        <v>43746</v>
      </c>
      <c r="B189" s="59" t="s">
        <v>1462</v>
      </c>
      <c r="C189" s="59" t="s">
        <v>27</v>
      </c>
      <c r="D189" s="21" t="s">
        <v>27</v>
      </c>
      <c r="E189" s="60">
        <v>937</v>
      </c>
      <c r="F189" s="265"/>
      <c r="G189" s="156" t="s">
        <v>8</v>
      </c>
      <c r="H189" s="133" t="s">
        <v>1460</v>
      </c>
      <c r="I189" s="21" t="s">
        <v>1461</v>
      </c>
      <c r="J189" s="21"/>
      <c r="K189" s="21" t="s">
        <v>7</v>
      </c>
      <c r="L189" s="21" t="s">
        <v>1479</v>
      </c>
      <c r="M189" s="21" t="s">
        <v>1463</v>
      </c>
      <c r="N189" s="21" t="s">
        <v>1480</v>
      </c>
      <c r="O189" s="21">
        <v>545850</v>
      </c>
      <c r="P189" s="21">
        <v>4811077</v>
      </c>
      <c r="Q189" s="208">
        <f t="shared" si="13"/>
        <v>74</v>
      </c>
      <c r="R189" s="7">
        <v>74</v>
      </c>
      <c r="S189" s="5"/>
      <c r="T189" s="6"/>
      <c r="U189" s="41"/>
      <c r="V189" s="20"/>
      <c r="W189" s="129"/>
      <c r="X189" s="20"/>
      <c r="Y189" s="129"/>
      <c r="Z189" s="20"/>
      <c r="AA189" s="129"/>
      <c r="AB189" s="20"/>
      <c r="AC189" s="129"/>
      <c r="AD189" s="20"/>
      <c r="AE189" s="19"/>
      <c r="AF189" s="8"/>
      <c r="AG189" s="17"/>
      <c r="AH189" s="38"/>
      <c r="AI189" s="18"/>
      <c r="AJ189" s="131"/>
      <c r="AK189" s="131"/>
      <c r="AL189" s="131"/>
      <c r="AM189" s="21" t="s">
        <v>161</v>
      </c>
      <c r="AN189" s="21" t="s">
        <v>179</v>
      </c>
      <c r="AO189" s="21" t="s">
        <v>179</v>
      </c>
      <c r="AP189" s="21" t="s">
        <v>162</v>
      </c>
      <c r="AQ189" s="21" t="s">
        <v>179</v>
      </c>
      <c r="AR189" s="21" t="s">
        <v>162</v>
      </c>
      <c r="AS189" s="131" t="s">
        <v>179</v>
      </c>
      <c r="AT189" s="215" t="s">
        <v>180</v>
      </c>
      <c r="AU189" s="215" t="s">
        <v>180</v>
      </c>
      <c r="AV189" s="170" t="str">
        <f t="shared" si="12"/>
        <v>C</v>
      </c>
    </row>
    <row r="190" spans="1:55" ht="15" customHeight="1" x14ac:dyDescent="0.25">
      <c r="A190" s="59">
        <v>43749</v>
      </c>
      <c r="B190" s="59" t="s">
        <v>1465</v>
      </c>
      <c r="C190" s="59" t="s">
        <v>28</v>
      </c>
      <c r="D190" s="21" t="s">
        <v>28</v>
      </c>
      <c r="E190" s="60">
        <v>943</v>
      </c>
      <c r="F190" s="60">
        <v>94</v>
      </c>
      <c r="G190" s="156" t="s">
        <v>277</v>
      </c>
      <c r="H190" s="133" t="s">
        <v>1466</v>
      </c>
      <c r="I190" s="21" t="s">
        <v>1467</v>
      </c>
      <c r="J190" s="21"/>
      <c r="K190" s="21" t="s">
        <v>7</v>
      </c>
      <c r="L190" s="21" t="s">
        <v>1566</v>
      </c>
      <c r="M190" s="21" t="s">
        <v>1468</v>
      </c>
      <c r="N190" s="21" t="s">
        <v>1567</v>
      </c>
      <c r="O190" s="208"/>
      <c r="P190" s="208"/>
      <c r="Q190" s="208">
        <f t="shared" si="13"/>
        <v>0.1</v>
      </c>
      <c r="R190" s="7"/>
      <c r="S190" s="5">
        <v>0.1</v>
      </c>
      <c r="T190" s="6"/>
      <c r="U190" s="41"/>
      <c r="V190" s="20"/>
      <c r="W190" s="129"/>
      <c r="X190" s="20"/>
      <c r="Y190" s="129"/>
      <c r="Z190" s="20"/>
      <c r="AA190" s="129"/>
      <c r="AB190" s="20"/>
      <c r="AC190" s="129"/>
      <c r="AD190" s="20"/>
      <c r="AE190" s="19"/>
      <c r="AF190" s="8"/>
      <c r="AG190" s="17"/>
      <c r="AH190" s="38"/>
      <c r="AI190" s="18"/>
      <c r="AJ190" s="131"/>
      <c r="AK190" s="131"/>
      <c r="AL190" s="131"/>
      <c r="AM190" s="21" t="s">
        <v>226</v>
      </c>
      <c r="AN190" s="21" t="s">
        <v>179</v>
      </c>
      <c r="AO190" s="21" t="s">
        <v>179</v>
      </c>
      <c r="AP190" s="21" t="s">
        <v>179</v>
      </c>
      <c r="AQ190" s="21" t="s">
        <v>179</v>
      </c>
      <c r="AR190" s="21" t="s">
        <v>179</v>
      </c>
      <c r="AS190" s="131" t="s">
        <v>179</v>
      </c>
      <c r="AT190" s="215" t="s">
        <v>179</v>
      </c>
      <c r="AU190" s="215" t="s">
        <v>180</v>
      </c>
      <c r="AV190" s="170" t="str">
        <f t="shared" si="12"/>
        <v>A</v>
      </c>
    </row>
    <row r="191" spans="1:55" ht="15" customHeight="1" x14ac:dyDescent="0.25">
      <c r="A191" s="59">
        <v>43751</v>
      </c>
      <c r="B191" s="59" t="s">
        <v>1469</v>
      </c>
      <c r="C191" s="59" t="s">
        <v>27</v>
      </c>
      <c r="D191" s="21" t="s">
        <v>27</v>
      </c>
      <c r="E191" s="60">
        <v>946</v>
      </c>
      <c r="F191" s="265"/>
      <c r="G191" s="156" t="s">
        <v>8</v>
      </c>
      <c r="H191" s="133" t="s">
        <v>1470</v>
      </c>
      <c r="I191" s="21" t="s">
        <v>292</v>
      </c>
      <c r="J191" s="21"/>
      <c r="K191" s="21" t="s">
        <v>7</v>
      </c>
      <c r="L191" s="21" t="s">
        <v>1471</v>
      </c>
      <c r="M191" s="21" t="s">
        <v>1585</v>
      </c>
      <c r="N191" s="21" t="s">
        <v>1586</v>
      </c>
      <c r="O191" s="21">
        <v>541127</v>
      </c>
      <c r="P191" s="21">
        <v>4845035</v>
      </c>
      <c r="Q191" s="208">
        <f t="shared" si="13"/>
        <v>20</v>
      </c>
      <c r="R191" s="7">
        <v>20</v>
      </c>
      <c r="S191" s="5"/>
      <c r="T191" s="6"/>
      <c r="U191" s="41"/>
      <c r="V191" s="20"/>
      <c r="W191" s="129"/>
      <c r="X191" s="20"/>
      <c r="Y191" s="129"/>
      <c r="Z191" s="20"/>
      <c r="AA191" s="129"/>
      <c r="AB191" s="20"/>
      <c r="AC191" s="129"/>
      <c r="AD191" s="20"/>
      <c r="AE191" s="19"/>
      <c r="AF191" s="8"/>
      <c r="AG191" s="17"/>
      <c r="AH191" s="38"/>
      <c r="AI191" s="18"/>
      <c r="AJ191" s="131"/>
      <c r="AK191" s="131"/>
      <c r="AL191" s="131"/>
      <c r="AM191" s="21" t="s">
        <v>161</v>
      </c>
      <c r="AN191" s="21" t="s">
        <v>179</v>
      </c>
      <c r="AO191" s="21" t="s">
        <v>179</v>
      </c>
      <c r="AP191" s="21" t="s">
        <v>179</v>
      </c>
      <c r="AQ191" s="21" t="s">
        <v>179</v>
      </c>
      <c r="AR191" s="21" t="s">
        <v>162</v>
      </c>
      <c r="AS191" s="131" t="s">
        <v>179</v>
      </c>
      <c r="AT191" s="215" t="s">
        <v>180</v>
      </c>
      <c r="AU191" s="215" t="s">
        <v>180</v>
      </c>
      <c r="AV191" s="170" t="str">
        <f t="shared" si="12"/>
        <v>C</v>
      </c>
    </row>
    <row r="192" spans="1:55" ht="15" customHeight="1" x14ac:dyDescent="0.25">
      <c r="A192" s="59">
        <v>43753</v>
      </c>
      <c r="B192" s="59" t="s">
        <v>1489</v>
      </c>
      <c r="C192" s="59" t="s">
        <v>28</v>
      </c>
      <c r="D192" s="21" t="s">
        <v>30</v>
      </c>
      <c r="E192" s="60">
        <v>949</v>
      </c>
      <c r="F192" s="60">
        <v>95</v>
      </c>
      <c r="G192" s="156" t="s">
        <v>237</v>
      </c>
      <c r="H192" s="133" t="s">
        <v>1487</v>
      </c>
      <c r="I192" s="21" t="s">
        <v>1488</v>
      </c>
      <c r="J192" s="21"/>
      <c r="K192" s="21" t="s">
        <v>7</v>
      </c>
      <c r="L192" s="21" t="s">
        <v>240</v>
      </c>
      <c r="M192" s="21" t="s">
        <v>1568</v>
      </c>
      <c r="N192" s="21" t="s">
        <v>1569</v>
      </c>
      <c r="O192" s="208"/>
      <c r="P192" s="208"/>
      <c r="Q192" s="208">
        <f t="shared" si="13"/>
        <v>0.5</v>
      </c>
      <c r="R192" s="7"/>
      <c r="S192" s="5"/>
      <c r="T192" s="6">
        <v>0.5</v>
      </c>
      <c r="U192" s="41"/>
      <c r="V192" s="20"/>
      <c r="W192" s="129"/>
      <c r="X192" s="20"/>
      <c r="Y192" s="129"/>
      <c r="Z192" s="20"/>
      <c r="AA192" s="129"/>
      <c r="AB192" s="20"/>
      <c r="AC192" s="129"/>
      <c r="AD192" s="20"/>
      <c r="AE192" s="19"/>
      <c r="AF192" s="8"/>
      <c r="AG192" s="17"/>
      <c r="AH192" s="38"/>
      <c r="AI192" s="18"/>
      <c r="AJ192" s="131"/>
      <c r="AK192" s="131"/>
      <c r="AL192" s="131"/>
      <c r="AM192" s="21" t="s">
        <v>161</v>
      </c>
      <c r="AN192" s="21" t="s">
        <v>179</v>
      </c>
      <c r="AO192" s="21" t="s">
        <v>179</v>
      </c>
      <c r="AP192" s="21" t="s">
        <v>179</v>
      </c>
      <c r="AQ192" s="21" t="s">
        <v>179</v>
      </c>
      <c r="AR192" s="21" t="s">
        <v>162</v>
      </c>
      <c r="AS192" s="131" t="s">
        <v>179</v>
      </c>
      <c r="AT192" s="215" t="s">
        <v>179</v>
      </c>
      <c r="AU192" s="215" t="s">
        <v>179</v>
      </c>
      <c r="AV192" s="170" t="str">
        <f t="shared" si="12"/>
        <v>B</v>
      </c>
    </row>
    <row r="193" spans="1:48" ht="15" customHeight="1" x14ac:dyDescent="0.25">
      <c r="A193" s="59">
        <v>43754</v>
      </c>
      <c r="B193" s="59" t="s">
        <v>1491</v>
      </c>
      <c r="C193" s="59" t="s">
        <v>27</v>
      </c>
      <c r="D193" s="21" t="s">
        <v>27</v>
      </c>
      <c r="E193" s="60">
        <v>951</v>
      </c>
      <c r="F193" s="265"/>
      <c r="G193" s="156" t="s">
        <v>8</v>
      </c>
      <c r="H193" s="133" t="s">
        <v>1492</v>
      </c>
      <c r="I193" s="21" t="s">
        <v>292</v>
      </c>
      <c r="J193" s="21"/>
      <c r="K193" s="21" t="s">
        <v>7</v>
      </c>
      <c r="L193" s="21" t="s">
        <v>1493</v>
      </c>
      <c r="M193" s="21" t="s">
        <v>1587</v>
      </c>
      <c r="N193" s="21" t="s">
        <v>1588</v>
      </c>
      <c r="O193" s="21">
        <v>544272</v>
      </c>
      <c r="P193" s="21">
        <v>4863558</v>
      </c>
      <c r="Q193" s="208">
        <f t="shared" si="13"/>
        <v>0.5</v>
      </c>
      <c r="R193" s="7">
        <v>0.5</v>
      </c>
      <c r="S193" s="5"/>
      <c r="T193" s="6"/>
      <c r="U193" s="41"/>
      <c r="V193" s="20"/>
      <c r="W193" s="129"/>
      <c r="X193" s="20"/>
      <c r="Y193" s="129"/>
      <c r="Z193" s="20"/>
      <c r="AA193" s="129"/>
      <c r="AB193" s="20"/>
      <c r="AC193" s="129"/>
      <c r="AD193" s="20"/>
      <c r="AE193" s="19"/>
      <c r="AF193" s="8"/>
      <c r="AG193" s="17"/>
      <c r="AH193" s="38"/>
      <c r="AI193" s="18"/>
      <c r="AJ193" s="131"/>
      <c r="AK193" s="131"/>
      <c r="AL193" s="131"/>
      <c r="AM193" s="21" t="s">
        <v>161</v>
      </c>
      <c r="AN193" s="21" t="s">
        <v>179</v>
      </c>
      <c r="AO193" s="21" t="s">
        <v>179</v>
      </c>
      <c r="AP193" s="21" t="s">
        <v>179</v>
      </c>
      <c r="AQ193" s="21" t="s">
        <v>179</v>
      </c>
      <c r="AR193" s="21" t="s">
        <v>162</v>
      </c>
      <c r="AS193" s="131" t="s">
        <v>179</v>
      </c>
      <c r="AT193" s="215" t="s">
        <v>179</v>
      </c>
      <c r="AU193" s="215" t="s">
        <v>179</v>
      </c>
      <c r="AV193" s="170" t="str">
        <f t="shared" si="12"/>
        <v>B</v>
      </c>
    </row>
    <row r="194" spans="1:48" ht="15" customHeight="1" x14ac:dyDescent="0.25">
      <c r="A194" s="59">
        <v>43754</v>
      </c>
      <c r="B194" s="59" t="s">
        <v>1506</v>
      </c>
      <c r="C194" s="59" t="s">
        <v>28</v>
      </c>
      <c r="D194" s="21" t="s">
        <v>27</v>
      </c>
      <c r="E194" s="60">
        <v>952</v>
      </c>
      <c r="F194" s="60">
        <v>96</v>
      </c>
      <c r="G194" s="156" t="s">
        <v>246</v>
      </c>
      <c r="H194" s="133" t="s">
        <v>829</v>
      </c>
      <c r="I194" s="21" t="s">
        <v>1021</v>
      </c>
      <c r="J194" s="21"/>
      <c r="K194" s="21" t="s">
        <v>7</v>
      </c>
      <c r="L194" s="21" t="s">
        <v>1570</v>
      </c>
      <c r="M194" s="21" t="s">
        <v>1571</v>
      </c>
      <c r="N194" s="21" t="s">
        <v>1572</v>
      </c>
      <c r="O194" s="208"/>
      <c r="P194" s="208"/>
      <c r="Q194" s="208">
        <f t="shared" si="13"/>
        <v>64</v>
      </c>
      <c r="R194" s="7">
        <v>64</v>
      </c>
      <c r="S194" s="5"/>
      <c r="T194" s="6"/>
      <c r="U194" s="41"/>
      <c r="V194" s="20"/>
      <c r="W194" s="129"/>
      <c r="X194" s="20"/>
      <c r="Y194" s="129"/>
      <c r="Z194" s="20"/>
      <c r="AA194" s="129"/>
      <c r="AB194" s="20"/>
      <c r="AC194" s="129"/>
      <c r="AD194" s="20"/>
      <c r="AE194" s="19"/>
      <c r="AF194" s="8"/>
      <c r="AG194" s="17"/>
      <c r="AH194" s="38"/>
      <c r="AI194" s="18"/>
      <c r="AJ194" s="131"/>
      <c r="AK194" s="131"/>
      <c r="AL194" s="131"/>
      <c r="AM194" s="21" t="s">
        <v>161</v>
      </c>
      <c r="AN194" s="21" t="s">
        <v>179</v>
      </c>
      <c r="AO194" s="21" t="s">
        <v>179</v>
      </c>
      <c r="AP194" s="21" t="s">
        <v>179</v>
      </c>
      <c r="AQ194" s="21" t="s">
        <v>179</v>
      </c>
      <c r="AR194" s="21" t="s">
        <v>179</v>
      </c>
      <c r="AS194" s="131" t="s">
        <v>179</v>
      </c>
      <c r="AT194" s="215" t="s">
        <v>179</v>
      </c>
      <c r="AU194" s="215" t="s">
        <v>179</v>
      </c>
      <c r="AV194" s="170" t="str">
        <f t="shared" si="12"/>
        <v>C</v>
      </c>
    </row>
    <row r="195" spans="1:48" ht="15" customHeight="1" x14ac:dyDescent="0.25">
      <c r="A195" s="59">
        <v>43756</v>
      </c>
      <c r="B195" s="59" t="s">
        <v>1507</v>
      </c>
      <c r="C195" s="59" t="s">
        <v>28</v>
      </c>
      <c r="D195" s="21" t="s">
        <v>28</v>
      </c>
      <c r="E195" s="60">
        <v>956</v>
      </c>
      <c r="F195" s="60">
        <v>97</v>
      </c>
      <c r="G195" s="156" t="s">
        <v>277</v>
      </c>
      <c r="H195" s="133" t="s">
        <v>1508</v>
      </c>
      <c r="I195" s="21" t="s">
        <v>442</v>
      </c>
      <c r="J195" s="21"/>
      <c r="K195" s="21" t="s">
        <v>7</v>
      </c>
      <c r="L195" s="21" t="s">
        <v>1509</v>
      </c>
      <c r="M195" s="21" t="s">
        <v>1573</v>
      </c>
      <c r="N195" s="21" t="s">
        <v>1574</v>
      </c>
      <c r="O195" s="208"/>
      <c r="P195" s="208"/>
      <c r="Q195" s="208">
        <f t="shared" si="13"/>
        <v>0.1</v>
      </c>
      <c r="R195" s="7"/>
      <c r="S195" s="5">
        <v>0.1</v>
      </c>
      <c r="T195" s="6"/>
      <c r="U195" s="41"/>
      <c r="V195" s="20"/>
      <c r="W195" s="129"/>
      <c r="X195" s="20"/>
      <c r="Y195" s="129"/>
      <c r="Z195" s="20"/>
      <c r="AA195" s="129"/>
      <c r="AB195" s="20"/>
      <c r="AC195" s="129"/>
      <c r="AD195" s="20"/>
      <c r="AE195" s="19"/>
      <c r="AF195" s="8"/>
      <c r="AG195" s="17"/>
      <c r="AH195" s="38"/>
      <c r="AI195" s="18"/>
      <c r="AJ195" s="131"/>
      <c r="AK195" s="131"/>
      <c r="AL195" s="131"/>
      <c r="AM195" s="21" t="s">
        <v>29</v>
      </c>
      <c r="AN195" s="21" t="s">
        <v>179</v>
      </c>
      <c r="AO195" s="21" t="s">
        <v>179</v>
      </c>
      <c r="AP195" s="21" t="s">
        <v>179</v>
      </c>
      <c r="AQ195" s="21" t="s">
        <v>179</v>
      </c>
      <c r="AR195" s="21" t="s">
        <v>179</v>
      </c>
      <c r="AS195" s="131" t="s">
        <v>179</v>
      </c>
      <c r="AT195" s="215" t="s">
        <v>179</v>
      </c>
      <c r="AU195" s="215" t="s">
        <v>179</v>
      </c>
      <c r="AV195" s="170" t="str">
        <f t="shared" si="12"/>
        <v>A</v>
      </c>
    </row>
    <row r="196" spans="1:48" ht="15" customHeight="1" x14ac:dyDescent="0.25">
      <c r="A196" s="59">
        <v>43767</v>
      </c>
      <c r="B196" s="59" t="s">
        <v>1525</v>
      </c>
      <c r="C196" s="59" t="s">
        <v>28</v>
      </c>
      <c r="D196" s="21" t="s">
        <v>28</v>
      </c>
      <c r="E196" s="60">
        <v>973</v>
      </c>
      <c r="F196" s="60">
        <v>98</v>
      </c>
      <c r="G196" s="156" t="s">
        <v>221</v>
      </c>
      <c r="H196" s="133" t="s">
        <v>1520</v>
      </c>
      <c r="I196" s="21" t="s">
        <v>1037</v>
      </c>
      <c r="J196" s="21" t="s">
        <v>1524</v>
      </c>
      <c r="K196" s="21" t="s">
        <v>7</v>
      </c>
      <c r="L196" s="21" t="s">
        <v>1521</v>
      </c>
      <c r="M196" s="21" t="s">
        <v>1522</v>
      </c>
      <c r="N196" s="21" t="s">
        <v>1620</v>
      </c>
      <c r="O196" s="208"/>
      <c r="P196" s="208"/>
      <c r="Q196" s="208">
        <f t="shared" si="13"/>
        <v>0.25</v>
      </c>
      <c r="R196" s="7"/>
      <c r="S196" s="5">
        <v>0.25</v>
      </c>
      <c r="T196" s="6"/>
      <c r="U196" s="41"/>
      <c r="V196" s="20"/>
      <c r="W196" s="129"/>
      <c r="X196" s="20"/>
      <c r="Y196" s="129"/>
      <c r="Z196" s="20"/>
      <c r="AA196" s="129"/>
      <c r="AB196" s="20"/>
      <c r="AC196" s="129"/>
      <c r="AD196" s="20"/>
      <c r="AE196" s="19"/>
      <c r="AF196" s="8"/>
      <c r="AG196" s="17"/>
      <c r="AH196" s="38"/>
      <c r="AI196" s="18"/>
      <c r="AJ196" s="131"/>
      <c r="AK196" s="131"/>
      <c r="AL196" s="131"/>
      <c r="AM196" s="21" t="s">
        <v>29</v>
      </c>
      <c r="AN196" s="21" t="s">
        <v>179</v>
      </c>
      <c r="AO196" s="21" t="s">
        <v>179</v>
      </c>
      <c r="AP196" s="21" t="s">
        <v>179</v>
      </c>
      <c r="AQ196" s="21" t="s">
        <v>179</v>
      </c>
      <c r="AR196" s="21" t="s">
        <v>179</v>
      </c>
      <c r="AS196" s="131" t="s">
        <v>179</v>
      </c>
      <c r="AT196" s="215" t="s">
        <v>179</v>
      </c>
      <c r="AU196" s="215" t="s">
        <v>179</v>
      </c>
      <c r="AV196" s="170" t="str">
        <f t="shared" si="12"/>
        <v>A</v>
      </c>
    </row>
    <row r="197" spans="1:48" ht="15" customHeight="1" x14ac:dyDescent="0.25">
      <c r="A197" s="59">
        <v>43767</v>
      </c>
      <c r="B197" s="59" t="s">
        <v>1530</v>
      </c>
      <c r="C197" s="59" t="s">
        <v>28</v>
      </c>
      <c r="D197" s="21" t="s">
        <v>28</v>
      </c>
      <c r="E197" s="60">
        <v>974</v>
      </c>
      <c r="F197" s="60">
        <v>99</v>
      </c>
      <c r="G197" s="156" t="s">
        <v>473</v>
      </c>
      <c r="H197" s="133" t="s">
        <v>1527</v>
      </c>
      <c r="I197" s="21" t="s">
        <v>243</v>
      </c>
      <c r="J197" s="21" t="s">
        <v>1526</v>
      </c>
      <c r="K197" s="21" t="s">
        <v>7</v>
      </c>
      <c r="L197" s="21" t="s">
        <v>1529</v>
      </c>
      <c r="M197" s="21" t="s">
        <v>1528</v>
      </c>
      <c r="N197" s="21" t="s">
        <v>1584</v>
      </c>
      <c r="O197" s="208"/>
      <c r="P197" s="208"/>
      <c r="Q197" s="208">
        <f t="shared" si="13"/>
        <v>0.1</v>
      </c>
      <c r="R197" s="7"/>
      <c r="S197" s="5">
        <v>0.1</v>
      </c>
      <c r="T197" s="6"/>
      <c r="U197" s="41"/>
      <c r="V197" s="20"/>
      <c r="W197" s="129"/>
      <c r="X197" s="20"/>
      <c r="Y197" s="129"/>
      <c r="Z197" s="20"/>
      <c r="AA197" s="129"/>
      <c r="AB197" s="20"/>
      <c r="AC197" s="129"/>
      <c r="AD197" s="20"/>
      <c r="AE197" s="19"/>
      <c r="AF197" s="8"/>
      <c r="AG197" s="17"/>
      <c r="AH197" s="38"/>
      <c r="AI197" s="18"/>
      <c r="AJ197" s="131"/>
      <c r="AK197" s="131"/>
      <c r="AL197" s="131"/>
      <c r="AM197" s="21" t="s">
        <v>29</v>
      </c>
      <c r="AN197" s="21" t="s">
        <v>179</v>
      </c>
      <c r="AO197" s="21" t="s">
        <v>179</v>
      </c>
      <c r="AP197" s="21" t="s">
        <v>179</v>
      </c>
      <c r="AQ197" s="21" t="s">
        <v>179</v>
      </c>
      <c r="AR197" s="21" t="s">
        <v>179</v>
      </c>
      <c r="AS197" s="131" t="s">
        <v>179</v>
      </c>
      <c r="AT197" s="215" t="s">
        <v>179</v>
      </c>
      <c r="AU197" s="215" t="s">
        <v>179</v>
      </c>
      <c r="AV197" s="170" t="str">
        <f t="shared" si="12"/>
        <v>A</v>
      </c>
    </row>
    <row r="198" spans="1:48" ht="15" customHeight="1" x14ac:dyDescent="0.25">
      <c r="A198" s="59">
        <v>43771</v>
      </c>
      <c r="B198" s="59" t="s">
        <v>1537</v>
      </c>
      <c r="C198" s="59" t="s">
        <v>27</v>
      </c>
      <c r="D198" s="21" t="s">
        <v>27</v>
      </c>
      <c r="E198" s="60">
        <v>978</v>
      </c>
      <c r="F198" s="265"/>
      <c r="G198" s="156" t="s">
        <v>8</v>
      </c>
      <c r="H198" s="133" t="s">
        <v>1538</v>
      </c>
      <c r="I198" s="21" t="s">
        <v>292</v>
      </c>
      <c r="J198" s="21"/>
      <c r="K198" s="21" t="s">
        <v>7</v>
      </c>
      <c r="L198" s="21" t="s">
        <v>1539</v>
      </c>
      <c r="M198" s="21" t="s">
        <v>1540</v>
      </c>
      <c r="N198" s="21" t="s">
        <v>1541</v>
      </c>
      <c r="O198" s="21">
        <v>557003</v>
      </c>
      <c r="P198" s="21">
        <v>4817093</v>
      </c>
      <c r="Q198" s="208">
        <f t="shared" si="13"/>
        <v>3.5</v>
      </c>
      <c r="R198" s="7">
        <v>3.5</v>
      </c>
      <c r="S198" s="5"/>
      <c r="T198" s="6"/>
      <c r="U198" s="41"/>
      <c r="V198" s="20"/>
      <c r="W198" s="129"/>
      <c r="X198" s="20"/>
      <c r="Y198" s="129"/>
      <c r="Z198" s="20"/>
      <c r="AA198" s="129"/>
      <c r="AB198" s="20"/>
      <c r="AC198" s="129"/>
      <c r="AD198" s="20"/>
      <c r="AE198" s="19"/>
      <c r="AF198" s="8"/>
      <c r="AG198" s="17"/>
      <c r="AH198" s="38"/>
      <c r="AI198" s="18"/>
      <c r="AJ198" s="131"/>
      <c r="AK198" s="131"/>
      <c r="AL198" s="131"/>
      <c r="AM198" s="21" t="s">
        <v>161</v>
      </c>
      <c r="AN198" s="21" t="s">
        <v>179</v>
      </c>
      <c r="AO198" s="21" t="s">
        <v>179</v>
      </c>
      <c r="AP198" s="21" t="s">
        <v>162</v>
      </c>
      <c r="AQ198" s="21" t="s">
        <v>179</v>
      </c>
      <c r="AR198" s="21" t="s">
        <v>162</v>
      </c>
      <c r="AS198" s="131" t="s">
        <v>179</v>
      </c>
      <c r="AT198" s="215" t="s">
        <v>180</v>
      </c>
      <c r="AU198" s="215" t="s">
        <v>180</v>
      </c>
      <c r="AV198" s="170" t="str">
        <f t="shared" si="12"/>
        <v>B</v>
      </c>
    </row>
    <row r="199" spans="1:48" ht="15" customHeight="1" x14ac:dyDescent="0.25">
      <c r="A199" s="59">
        <v>43774</v>
      </c>
      <c r="B199" s="59" t="s">
        <v>1547</v>
      </c>
      <c r="C199" s="59" t="s">
        <v>27</v>
      </c>
      <c r="D199" s="21" t="s">
        <v>27</v>
      </c>
      <c r="E199" s="60">
        <v>980</v>
      </c>
      <c r="F199" s="265"/>
      <c r="G199" s="156" t="s">
        <v>216</v>
      </c>
      <c r="H199" s="133" t="s">
        <v>1548</v>
      </c>
      <c r="I199" s="21" t="s">
        <v>292</v>
      </c>
      <c r="J199" s="21"/>
      <c r="K199" s="21" t="s">
        <v>7</v>
      </c>
      <c r="L199" s="21" t="s">
        <v>1549</v>
      </c>
      <c r="M199" s="21" t="s">
        <v>1550</v>
      </c>
      <c r="N199" s="21" t="s">
        <v>1551</v>
      </c>
      <c r="O199" s="21">
        <v>607851</v>
      </c>
      <c r="P199" s="21">
        <v>4760979</v>
      </c>
      <c r="Q199" s="208">
        <f t="shared" si="13"/>
        <v>50</v>
      </c>
      <c r="R199" s="7">
        <v>50</v>
      </c>
      <c r="S199" s="5"/>
      <c r="T199" s="6"/>
      <c r="U199" s="41"/>
      <c r="V199" s="20"/>
      <c r="W199" s="129"/>
      <c r="X199" s="20"/>
      <c r="Y199" s="129"/>
      <c r="Z199" s="20"/>
      <c r="AA199" s="129"/>
      <c r="AB199" s="20"/>
      <c r="AC199" s="129"/>
      <c r="AD199" s="20"/>
      <c r="AE199" s="19"/>
      <c r="AF199" s="8"/>
      <c r="AG199" s="17"/>
      <c r="AH199" s="38"/>
      <c r="AI199" s="18"/>
      <c r="AJ199" s="131"/>
      <c r="AK199" s="131" t="s">
        <v>301</v>
      </c>
      <c r="AL199" s="131"/>
      <c r="AM199" s="21" t="s">
        <v>161</v>
      </c>
      <c r="AN199" s="21" t="s">
        <v>179</v>
      </c>
      <c r="AO199" s="21" t="s">
        <v>179</v>
      </c>
      <c r="AP199" s="21" t="s">
        <v>179</v>
      </c>
      <c r="AQ199" s="21" t="s">
        <v>179</v>
      </c>
      <c r="AR199" s="21" t="s">
        <v>162</v>
      </c>
      <c r="AS199" s="131" t="s">
        <v>179</v>
      </c>
      <c r="AT199" s="215" t="s">
        <v>180</v>
      </c>
      <c r="AU199" s="215" t="s">
        <v>180</v>
      </c>
      <c r="AV199" s="170" t="str">
        <f t="shared" si="12"/>
        <v>C</v>
      </c>
    </row>
    <row r="200" spans="1:48" ht="15" customHeight="1" x14ac:dyDescent="0.25">
      <c r="A200" s="59">
        <v>43774</v>
      </c>
      <c r="B200" s="59" t="s">
        <v>1552</v>
      </c>
      <c r="C200" s="59" t="s">
        <v>27</v>
      </c>
      <c r="D200" s="21" t="s">
        <v>27</v>
      </c>
      <c r="E200" s="60">
        <v>981</v>
      </c>
      <c r="F200" s="265"/>
      <c r="G200" s="156" t="s">
        <v>216</v>
      </c>
      <c r="H200" s="133" t="s">
        <v>1553</v>
      </c>
      <c r="I200" s="21" t="s">
        <v>292</v>
      </c>
      <c r="J200" s="21"/>
      <c r="K200" s="21" t="s">
        <v>7</v>
      </c>
      <c r="L200" s="21" t="s">
        <v>1554</v>
      </c>
      <c r="M200" s="21" t="s">
        <v>1555</v>
      </c>
      <c r="N200" s="21" t="s">
        <v>1621</v>
      </c>
      <c r="O200" s="21">
        <v>614563</v>
      </c>
      <c r="P200" s="21">
        <v>4778791</v>
      </c>
      <c r="Q200" s="208">
        <f t="shared" si="13"/>
        <v>68</v>
      </c>
      <c r="R200" s="7">
        <v>68</v>
      </c>
      <c r="S200" s="5"/>
      <c r="T200" s="6"/>
      <c r="U200" s="41"/>
      <c r="V200" s="20"/>
      <c r="W200" s="129"/>
      <c r="X200" s="20"/>
      <c r="Y200" s="129"/>
      <c r="Z200" s="20"/>
      <c r="AA200" s="129"/>
      <c r="AB200" s="20"/>
      <c r="AC200" s="129"/>
      <c r="AD200" s="20"/>
      <c r="AE200" s="19"/>
      <c r="AF200" s="8"/>
      <c r="AG200" s="17"/>
      <c r="AH200" s="38"/>
      <c r="AI200" s="18"/>
      <c r="AJ200" s="131"/>
      <c r="AK200" s="131"/>
      <c r="AL200" s="131"/>
      <c r="AM200" s="21" t="s">
        <v>161</v>
      </c>
      <c r="AN200" s="21" t="s">
        <v>179</v>
      </c>
      <c r="AO200" s="21" t="s">
        <v>162</v>
      </c>
      <c r="AP200" s="21" t="s">
        <v>179</v>
      </c>
      <c r="AQ200" s="21" t="s">
        <v>179</v>
      </c>
      <c r="AR200" s="21" t="s">
        <v>162</v>
      </c>
      <c r="AS200" s="131" t="s">
        <v>162</v>
      </c>
      <c r="AT200" s="215" t="s">
        <v>162</v>
      </c>
      <c r="AU200" s="215" t="s">
        <v>180</v>
      </c>
      <c r="AV200" s="170" t="str">
        <f t="shared" ref="AV200:AV263" si="14">IF(Q200&gt;4999.9,"G",IF(Q200&gt;999.9,"F",IF(Q200&gt;299.9,"E",IF(Q200&gt;99.9,"D",IF(Q200&gt;9.9,"C",IF(Q200&gt;0.25,"B",IF(Q200&gt;0,"A","")))))))</f>
        <v>C</v>
      </c>
    </row>
    <row r="201" spans="1:48" ht="15" customHeight="1" x14ac:dyDescent="0.25">
      <c r="A201" s="59">
        <v>43777</v>
      </c>
      <c r="B201" s="59" t="s">
        <v>1558</v>
      </c>
      <c r="C201" s="59" t="s">
        <v>27</v>
      </c>
      <c r="D201" s="21" t="s">
        <v>79</v>
      </c>
      <c r="E201" s="60">
        <v>983</v>
      </c>
      <c r="F201" s="265"/>
      <c r="G201" s="156" t="s">
        <v>8</v>
      </c>
      <c r="H201" s="133" t="s">
        <v>1556</v>
      </c>
      <c r="I201" s="21" t="s">
        <v>1559</v>
      </c>
      <c r="J201" s="21"/>
      <c r="K201" s="21" t="s">
        <v>7</v>
      </c>
      <c r="L201" s="21" t="s">
        <v>1575</v>
      </c>
      <c r="M201" s="21" t="s">
        <v>1576</v>
      </c>
      <c r="N201" s="21" t="s">
        <v>1589</v>
      </c>
      <c r="O201" s="21">
        <v>593893</v>
      </c>
      <c r="P201" s="21">
        <v>4797962</v>
      </c>
      <c r="Q201" s="140">
        <f t="shared" ref="Q201:Q264" si="15">SUM(R201:AI201)</f>
        <v>212</v>
      </c>
      <c r="R201" s="7"/>
      <c r="S201" s="5"/>
      <c r="T201" s="6"/>
      <c r="U201" s="41"/>
      <c r="V201" s="20"/>
      <c r="W201" s="129"/>
      <c r="X201" s="20"/>
      <c r="Y201" s="129"/>
      <c r="Z201" s="20"/>
      <c r="AA201" s="129"/>
      <c r="AB201" s="20"/>
      <c r="AC201" s="129">
        <v>209</v>
      </c>
      <c r="AD201" s="20"/>
      <c r="AE201" s="19"/>
      <c r="AF201" s="8"/>
      <c r="AG201" s="17"/>
      <c r="AH201" s="38">
        <v>3</v>
      </c>
      <c r="AI201" s="18"/>
      <c r="AJ201" s="131"/>
      <c r="AK201" s="131"/>
      <c r="AL201" s="131"/>
      <c r="AM201" s="21" t="s">
        <v>161</v>
      </c>
      <c r="AN201" s="21" t="s">
        <v>179</v>
      </c>
      <c r="AO201" s="21" t="s">
        <v>179</v>
      </c>
      <c r="AP201" s="21" t="s">
        <v>179</v>
      </c>
      <c r="AQ201" s="21" t="s">
        <v>179</v>
      </c>
      <c r="AR201" s="21" t="s">
        <v>162</v>
      </c>
      <c r="AS201" s="131" t="s">
        <v>162</v>
      </c>
      <c r="AT201" s="215" t="s">
        <v>162</v>
      </c>
      <c r="AU201" s="215" t="s">
        <v>180</v>
      </c>
      <c r="AV201" s="170" t="str">
        <f t="shared" si="14"/>
        <v>D</v>
      </c>
    </row>
    <row r="202" spans="1:48" ht="15" customHeight="1" x14ac:dyDescent="0.25">
      <c r="A202" s="59">
        <v>43777</v>
      </c>
      <c r="B202" s="59" t="s">
        <v>1560</v>
      </c>
      <c r="C202" s="59" t="s">
        <v>27</v>
      </c>
      <c r="D202" s="21" t="s">
        <v>27</v>
      </c>
      <c r="E202" s="60">
        <v>984</v>
      </c>
      <c r="F202" s="265"/>
      <c r="G202" s="156" t="s">
        <v>216</v>
      </c>
      <c r="H202" s="133" t="s">
        <v>1557</v>
      </c>
      <c r="I202" s="21" t="s">
        <v>1561</v>
      </c>
      <c r="J202" s="21" t="s">
        <v>1179</v>
      </c>
      <c r="K202" s="21" t="s">
        <v>7</v>
      </c>
      <c r="L202" s="21" t="s">
        <v>1590</v>
      </c>
      <c r="M202" s="21" t="s">
        <v>1562</v>
      </c>
      <c r="N202" s="21" t="s">
        <v>1591</v>
      </c>
      <c r="O202" s="21">
        <v>619030</v>
      </c>
      <c r="P202" s="21">
        <v>4755563</v>
      </c>
      <c r="Q202" s="140">
        <f t="shared" si="15"/>
        <v>67</v>
      </c>
      <c r="R202" s="7">
        <v>62</v>
      </c>
      <c r="S202" s="5"/>
      <c r="T202" s="6"/>
      <c r="U202" s="41"/>
      <c r="V202" s="20"/>
      <c r="W202" s="129"/>
      <c r="X202" s="20"/>
      <c r="Y202" s="129"/>
      <c r="Z202" s="20"/>
      <c r="AA202" s="129"/>
      <c r="AB202" s="20"/>
      <c r="AC202" s="129">
        <v>5</v>
      </c>
      <c r="AD202" s="20"/>
      <c r="AE202" s="19"/>
      <c r="AF202" s="8"/>
      <c r="AG202" s="17"/>
      <c r="AH202" s="38"/>
      <c r="AI202" s="18"/>
      <c r="AJ202" s="131"/>
      <c r="AK202" s="131"/>
      <c r="AL202" s="131" t="s">
        <v>301</v>
      </c>
      <c r="AM202" s="21" t="s">
        <v>161</v>
      </c>
      <c r="AN202" s="21" t="s">
        <v>179</v>
      </c>
      <c r="AO202" s="21" t="s">
        <v>179</v>
      </c>
      <c r="AP202" s="21" t="s">
        <v>179</v>
      </c>
      <c r="AQ202" s="21" t="s">
        <v>179</v>
      </c>
      <c r="AR202" s="21" t="s">
        <v>162</v>
      </c>
      <c r="AS202" s="131" t="s">
        <v>179</v>
      </c>
      <c r="AT202" s="215" t="s">
        <v>180</v>
      </c>
      <c r="AU202" s="215" t="s">
        <v>180</v>
      </c>
      <c r="AV202" s="170" t="str">
        <f t="shared" si="14"/>
        <v>C</v>
      </c>
    </row>
    <row r="203" spans="1:48" ht="15" customHeight="1" x14ac:dyDescent="0.25">
      <c r="A203" s="59">
        <v>43782</v>
      </c>
      <c r="B203" s="59" t="s">
        <v>1580</v>
      </c>
      <c r="C203" s="59" t="s">
        <v>27</v>
      </c>
      <c r="D203" s="21" t="s">
        <v>83</v>
      </c>
      <c r="E203" s="60">
        <v>987</v>
      </c>
      <c r="F203" s="265"/>
      <c r="G203" s="156" t="s">
        <v>8</v>
      </c>
      <c r="H203" s="133" t="s">
        <v>1578</v>
      </c>
      <c r="I203" s="21" t="s">
        <v>1579</v>
      </c>
      <c r="J203" s="21"/>
      <c r="K203" s="21" t="s">
        <v>7</v>
      </c>
      <c r="L203" s="21" t="s">
        <v>509</v>
      </c>
      <c r="M203" s="21" t="s">
        <v>1592</v>
      </c>
      <c r="N203" s="21" t="s">
        <v>1593</v>
      </c>
      <c r="O203" s="21">
        <v>573664</v>
      </c>
      <c r="P203" s="21">
        <v>4819408</v>
      </c>
      <c r="Q203" s="140">
        <f t="shared" si="15"/>
        <v>5</v>
      </c>
      <c r="R203" s="7">
        <v>2</v>
      </c>
      <c r="S203" s="5"/>
      <c r="T203" s="6"/>
      <c r="U203" s="41">
        <v>3</v>
      </c>
      <c r="V203" s="20"/>
      <c r="W203" s="129"/>
      <c r="X203" s="20"/>
      <c r="Y203" s="129"/>
      <c r="Z203" s="20"/>
      <c r="AA203" s="129"/>
      <c r="AB203" s="20"/>
      <c r="AC203" s="129"/>
      <c r="AD203" s="20"/>
      <c r="AE203" s="19"/>
      <c r="AF203" s="8"/>
      <c r="AG203" s="17"/>
      <c r="AH203" s="38"/>
      <c r="AI203" s="18"/>
      <c r="AJ203" s="131"/>
      <c r="AK203" s="131"/>
      <c r="AL203" s="131"/>
      <c r="AM203" s="21" t="s">
        <v>161</v>
      </c>
      <c r="AN203" s="21" t="s">
        <v>179</v>
      </c>
      <c r="AO203" s="21" t="s">
        <v>179</v>
      </c>
      <c r="AP203" s="21" t="s">
        <v>179</v>
      </c>
      <c r="AQ203" s="21" t="s">
        <v>179</v>
      </c>
      <c r="AR203" s="21" t="s">
        <v>162</v>
      </c>
      <c r="AS203" s="131" t="s">
        <v>179</v>
      </c>
      <c r="AT203" s="215" t="s">
        <v>179</v>
      </c>
      <c r="AU203" s="215" t="s">
        <v>179</v>
      </c>
      <c r="AV203" s="170" t="str">
        <f t="shared" si="14"/>
        <v>B</v>
      </c>
    </row>
    <row r="204" spans="1:48" ht="15" customHeight="1" x14ac:dyDescent="0.25">
      <c r="A204" s="59">
        <v>43794</v>
      </c>
      <c r="B204" s="59" t="s">
        <v>1602</v>
      </c>
      <c r="C204" s="59" t="s">
        <v>30</v>
      </c>
      <c r="D204" s="21" t="s">
        <v>82</v>
      </c>
      <c r="E204" s="60">
        <v>993</v>
      </c>
      <c r="F204" s="265"/>
      <c r="G204" s="156" t="s">
        <v>30</v>
      </c>
      <c r="H204" s="133" t="s">
        <v>1603</v>
      </c>
      <c r="I204" s="21" t="s">
        <v>225</v>
      </c>
      <c r="J204" s="21"/>
      <c r="K204" s="21" t="s">
        <v>7</v>
      </c>
      <c r="L204" s="21" t="s">
        <v>1604</v>
      </c>
      <c r="M204" s="21" t="s">
        <v>433</v>
      </c>
      <c r="N204" s="21" t="s">
        <v>1605</v>
      </c>
      <c r="O204" s="276"/>
      <c r="P204" s="276"/>
      <c r="Q204" s="140">
        <f t="shared" si="15"/>
        <v>1.2</v>
      </c>
      <c r="R204" s="7"/>
      <c r="S204" s="5"/>
      <c r="T204" s="6"/>
      <c r="U204" s="41"/>
      <c r="V204" s="20"/>
      <c r="W204" s="129"/>
      <c r="X204" s="20"/>
      <c r="Y204" s="129"/>
      <c r="Z204" s="20"/>
      <c r="AA204" s="129">
        <v>1.2</v>
      </c>
      <c r="AB204" s="20"/>
      <c r="AC204" s="129"/>
      <c r="AD204" s="20"/>
      <c r="AE204" s="19"/>
      <c r="AF204" s="8"/>
      <c r="AG204" s="17"/>
      <c r="AH204" s="38"/>
      <c r="AI204" s="18"/>
      <c r="AJ204" s="131"/>
      <c r="AK204" s="131"/>
      <c r="AL204" s="131"/>
      <c r="AM204" s="21" t="s">
        <v>29</v>
      </c>
      <c r="AN204" s="21" t="s">
        <v>162</v>
      </c>
      <c r="AO204" s="21" t="s">
        <v>179</v>
      </c>
      <c r="AP204" s="21" t="s">
        <v>179</v>
      </c>
      <c r="AQ204" s="21" t="s">
        <v>179</v>
      </c>
      <c r="AR204" s="21" t="s">
        <v>162</v>
      </c>
      <c r="AS204" s="131" t="s">
        <v>179</v>
      </c>
      <c r="AT204" s="215" t="s">
        <v>179</v>
      </c>
      <c r="AU204" s="215" t="s">
        <v>179</v>
      </c>
      <c r="AV204" s="170" t="str">
        <f t="shared" si="14"/>
        <v>B</v>
      </c>
    </row>
    <row r="205" spans="1:48" ht="15" customHeight="1" x14ac:dyDescent="0.25">
      <c r="A205" s="59"/>
      <c r="B205" s="59"/>
      <c r="C205" s="59"/>
      <c r="D205" s="21"/>
      <c r="E205" s="60"/>
      <c r="F205" s="60"/>
      <c r="G205" s="156"/>
      <c r="H205" s="133"/>
      <c r="I205" s="21"/>
      <c r="J205" s="21"/>
      <c r="K205" s="21"/>
      <c r="L205" s="21"/>
      <c r="M205" s="21"/>
      <c r="N205" s="21"/>
      <c r="O205" s="21"/>
      <c r="P205" s="21"/>
      <c r="Q205" s="140">
        <f t="shared" si="15"/>
        <v>0</v>
      </c>
      <c r="R205" s="7"/>
      <c r="S205" s="5"/>
      <c r="T205" s="6"/>
      <c r="U205" s="41"/>
      <c r="V205" s="20"/>
      <c r="W205" s="129"/>
      <c r="X205" s="20"/>
      <c r="Y205" s="129"/>
      <c r="Z205" s="20"/>
      <c r="AA205" s="129"/>
      <c r="AB205" s="20"/>
      <c r="AC205" s="129"/>
      <c r="AD205" s="20"/>
      <c r="AE205" s="19"/>
      <c r="AF205" s="8"/>
      <c r="AG205" s="17"/>
      <c r="AH205" s="38"/>
      <c r="AI205" s="18"/>
      <c r="AJ205" s="131"/>
      <c r="AK205" s="131"/>
      <c r="AL205" s="131"/>
      <c r="AM205" s="21"/>
      <c r="AN205" s="21"/>
      <c r="AO205" s="21"/>
      <c r="AP205" s="21"/>
      <c r="AQ205" s="21"/>
      <c r="AR205" s="21"/>
      <c r="AS205" s="131"/>
      <c r="AT205" s="215"/>
      <c r="AU205" s="215"/>
      <c r="AV205" s="170" t="str">
        <f t="shared" si="14"/>
        <v/>
      </c>
    </row>
    <row r="206" spans="1:48" ht="15" customHeight="1" x14ac:dyDescent="0.25">
      <c r="A206" s="59"/>
      <c r="B206" s="59"/>
      <c r="C206" s="59"/>
      <c r="D206" s="21"/>
      <c r="E206" s="60"/>
      <c r="F206" s="60"/>
      <c r="G206" s="156"/>
      <c r="H206" s="133"/>
      <c r="I206" s="21"/>
      <c r="J206" s="21"/>
      <c r="K206" s="21"/>
      <c r="L206" s="21"/>
      <c r="M206" s="21"/>
      <c r="N206" s="21"/>
      <c r="O206" s="21"/>
      <c r="P206" s="21"/>
      <c r="Q206" s="140">
        <f t="shared" si="15"/>
        <v>0</v>
      </c>
      <c r="R206" s="7"/>
      <c r="S206" s="5"/>
      <c r="T206" s="6"/>
      <c r="U206" s="41"/>
      <c r="V206" s="20"/>
      <c r="W206" s="129"/>
      <c r="X206" s="20"/>
      <c r="Y206" s="129"/>
      <c r="Z206" s="20"/>
      <c r="AA206" s="129"/>
      <c r="AB206" s="20"/>
      <c r="AC206" s="129"/>
      <c r="AD206" s="20"/>
      <c r="AE206" s="19"/>
      <c r="AF206" s="8"/>
      <c r="AG206" s="17"/>
      <c r="AH206" s="38"/>
      <c r="AI206" s="18"/>
      <c r="AJ206" s="131"/>
      <c r="AK206" s="131"/>
      <c r="AL206" s="131"/>
      <c r="AM206" s="21"/>
      <c r="AN206" s="21"/>
      <c r="AO206" s="21"/>
      <c r="AP206" s="21"/>
      <c r="AQ206" s="21"/>
      <c r="AR206" s="21"/>
      <c r="AS206" s="131"/>
      <c r="AT206" s="215"/>
      <c r="AU206" s="215"/>
      <c r="AV206" s="170" t="str">
        <f t="shared" si="14"/>
        <v/>
      </c>
    </row>
    <row r="207" spans="1:48" ht="15" customHeight="1" x14ac:dyDescent="0.25">
      <c r="A207" s="59"/>
      <c r="B207" s="59"/>
      <c r="C207" s="59"/>
      <c r="D207" s="21"/>
      <c r="E207" s="60"/>
      <c r="F207" s="60"/>
      <c r="G207" s="156"/>
      <c r="H207" s="133"/>
      <c r="I207" s="21"/>
      <c r="J207" s="21"/>
      <c r="K207" s="21"/>
      <c r="L207" s="21"/>
      <c r="M207" s="21"/>
      <c r="N207" s="21"/>
      <c r="O207" s="21"/>
      <c r="P207" s="21"/>
      <c r="Q207" s="140">
        <f t="shared" si="15"/>
        <v>0</v>
      </c>
      <c r="R207" s="7"/>
      <c r="S207" s="5"/>
      <c r="T207" s="6"/>
      <c r="U207" s="41"/>
      <c r="V207" s="20"/>
      <c r="W207" s="129"/>
      <c r="X207" s="20"/>
      <c r="Y207" s="129"/>
      <c r="Z207" s="20"/>
      <c r="AA207" s="129"/>
      <c r="AB207" s="20"/>
      <c r="AC207" s="129"/>
      <c r="AD207" s="20"/>
      <c r="AE207" s="19"/>
      <c r="AF207" s="8"/>
      <c r="AG207" s="17"/>
      <c r="AH207" s="38"/>
      <c r="AI207" s="18"/>
      <c r="AJ207" s="131"/>
      <c r="AK207" s="131"/>
      <c r="AL207" s="131"/>
      <c r="AM207" s="21"/>
      <c r="AN207" s="21"/>
      <c r="AO207" s="21"/>
      <c r="AP207" s="21"/>
      <c r="AQ207" s="21"/>
      <c r="AR207" s="21"/>
      <c r="AS207" s="131"/>
      <c r="AT207" s="215"/>
      <c r="AU207" s="215"/>
      <c r="AV207" s="170" t="str">
        <f t="shared" si="14"/>
        <v/>
      </c>
    </row>
    <row r="208" spans="1:48" ht="15" customHeight="1" x14ac:dyDescent="0.25">
      <c r="A208" s="59"/>
      <c r="B208" s="59"/>
      <c r="C208" s="59"/>
      <c r="D208" s="21"/>
      <c r="E208" s="60"/>
      <c r="F208" s="60"/>
      <c r="G208" s="156"/>
      <c r="H208" s="133"/>
      <c r="I208" s="21"/>
      <c r="J208" s="21"/>
      <c r="K208" s="21"/>
      <c r="L208" s="21"/>
      <c r="M208" s="21"/>
      <c r="N208" s="21"/>
      <c r="O208" s="21"/>
      <c r="P208" s="21"/>
      <c r="Q208" s="140">
        <f t="shared" si="15"/>
        <v>0</v>
      </c>
      <c r="R208" s="7"/>
      <c r="S208" s="5"/>
      <c r="T208" s="6"/>
      <c r="U208" s="41"/>
      <c r="V208" s="20"/>
      <c r="W208" s="129"/>
      <c r="X208" s="20"/>
      <c r="Y208" s="129"/>
      <c r="Z208" s="20"/>
      <c r="AA208" s="129"/>
      <c r="AB208" s="20"/>
      <c r="AC208" s="129"/>
      <c r="AD208" s="20"/>
      <c r="AE208" s="19"/>
      <c r="AF208" s="8"/>
      <c r="AG208" s="17"/>
      <c r="AH208" s="38"/>
      <c r="AI208" s="18"/>
      <c r="AJ208" s="131"/>
      <c r="AK208" s="131"/>
      <c r="AL208" s="131"/>
      <c r="AM208" s="21"/>
      <c r="AN208" s="21"/>
      <c r="AO208" s="21"/>
      <c r="AP208" s="21"/>
      <c r="AQ208" s="21"/>
      <c r="AR208" s="21"/>
      <c r="AS208" s="131"/>
      <c r="AT208" s="215"/>
      <c r="AU208" s="215"/>
      <c r="AV208" s="170" t="str">
        <f t="shared" si="14"/>
        <v/>
      </c>
    </row>
    <row r="209" spans="1:48" ht="15" customHeight="1" x14ac:dyDescent="0.25">
      <c r="A209" s="59"/>
      <c r="B209" s="59"/>
      <c r="C209" s="59"/>
      <c r="D209" s="21"/>
      <c r="E209" s="60"/>
      <c r="F209" s="60"/>
      <c r="G209" s="156"/>
      <c r="H209" s="133"/>
      <c r="I209" s="21"/>
      <c r="J209" s="21"/>
      <c r="K209" s="21"/>
      <c r="L209" s="21"/>
      <c r="M209" s="21"/>
      <c r="N209" s="21"/>
      <c r="O209" s="21"/>
      <c r="P209" s="21"/>
      <c r="Q209" s="140">
        <f t="shared" si="15"/>
        <v>0</v>
      </c>
      <c r="R209" s="7"/>
      <c r="S209" s="5"/>
      <c r="T209" s="6"/>
      <c r="U209" s="41"/>
      <c r="V209" s="20"/>
      <c r="W209" s="129"/>
      <c r="X209" s="20"/>
      <c r="Y209" s="129"/>
      <c r="Z209" s="20"/>
      <c r="AA209" s="129"/>
      <c r="AB209" s="20"/>
      <c r="AC209" s="129"/>
      <c r="AD209" s="20"/>
      <c r="AE209" s="19"/>
      <c r="AF209" s="8"/>
      <c r="AG209" s="17"/>
      <c r="AH209" s="38"/>
      <c r="AI209" s="18"/>
      <c r="AJ209" s="131"/>
      <c r="AK209" s="131"/>
      <c r="AL209" s="131"/>
      <c r="AM209" s="21"/>
      <c r="AN209" s="21"/>
      <c r="AO209" s="21"/>
      <c r="AP209" s="21"/>
      <c r="AQ209" s="21"/>
      <c r="AR209" s="21"/>
      <c r="AS209" s="131"/>
      <c r="AT209" s="215"/>
      <c r="AU209" s="215"/>
      <c r="AV209" s="170" t="str">
        <f t="shared" si="14"/>
        <v/>
      </c>
    </row>
    <row r="210" spans="1:48" ht="15" customHeight="1" x14ac:dyDescent="0.25">
      <c r="A210" s="59"/>
      <c r="B210" s="59"/>
      <c r="C210" s="59"/>
      <c r="D210" s="21"/>
      <c r="E210" s="60"/>
      <c r="F210" s="60"/>
      <c r="G210" s="156"/>
      <c r="H210" s="133"/>
      <c r="I210" s="21"/>
      <c r="J210" s="21"/>
      <c r="K210" s="21"/>
      <c r="L210" s="21"/>
      <c r="M210" s="21"/>
      <c r="N210" s="21"/>
      <c r="O210" s="21"/>
      <c r="P210" s="21"/>
      <c r="Q210" s="140">
        <f t="shared" si="15"/>
        <v>0</v>
      </c>
      <c r="R210" s="7"/>
      <c r="S210" s="5"/>
      <c r="T210" s="6"/>
      <c r="U210" s="41"/>
      <c r="V210" s="20"/>
      <c r="W210" s="129"/>
      <c r="X210" s="20"/>
      <c r="Y210" s="129"/>
      <c r="Z210" s="20"/>
      <c r="AA210" s="129"/>
      <c r="AB210" s="20"/>
      <c r="AC210" s="129"/>
      <c r="AD210" s="20"/>
      <c r="AE210" s="19"/>
      <c r="AF210" s="8"/>
      <c r="AG210" s="17"/>
      <c r="AH210" s="38"/>
      <c r="AI210" s="18"/>
      <c r="AJ210" s="131"/>
      <c r="AK210" s="131"/>
      <c r="AL210" s="131"/>
      <c r="AM210" s="21"/>
      <c r="AN210" s="21"/>
      <c r="AO210" s="21"/>
      <c r="AP210" s="21"/>
      <c r="AQ210" s="21"/>
      <c r="AR210" s="21"/>
      <c r="AS210" s="131"/>
      <c r="AT210" s="215"/>
      <c r="AU210" s="215"/>
      <c r="AV210" s="170" t="str">
        <f t="shared" si="14"/>
        <v/>
      </c>
    </row>
    <row r="211" spans="1:48" ht="15" customHeight="1" x14ac:dyDescent="0.25">
      <c r="A211" s="59"/>
      <c r="B211" s="59"/>
      <c r="C211" s="59"/>
      <c r="D211" s="21"/>
      <c r="E211" s="60"/>
      <c r="F211" s="60"/>
      <c r="G211" s="156"/>
      <c r="H211" s="133"/>
      <c r="I211" s="21"/>
      <c r="J211" s="21"/>
      <c r="K211" s="21"/>
      <c r="L211" s="21"/>
      <c r="M211" s="21"/>
      <c r="N211" s="21"/>
      <c r="O211" s="21"/>
      <c r="P211" s="21"/>
      <c r="Q211" s="140">
        <f t="shared" si="15"/>
        <v>0</v>
      </c>
      <c r="R211" s="7"/>
      <c r="S211" s="5"/>
      <c r="T211" s="6"/>
      <c r="U211" s="41"/>
      <c r="V211" s="20"/>
      <c r="W211" s="129"/>
      <c r="X211" s="20"/>
      <c r="Y211" s="129"/>
      <c r="Z211" s="20"/>
      <c r="AA211" s="129"/>
      <c r="AB211" s="20"/>
      <c r="AC211" s="129"/>
      <c r="AD211" s="20"/>
      <c r="AE211" s="19"/>
      <c r="AF211" s="8"/>
      <c r="AG211" s="17"/>
      <c r="AH211" s="38"/>
      <c r="AI211" s="18"/>
      <c r="AJ211" s="131"/>
      <c r="AK211" s="131"/>
      <c r="AL211" s="131"/>
      <c r="AM211" s="21"/>
      <c r="AN211" s="21"/>
      <c r="AO211" s="21"/>
      <c r="AP211" s="21"/>
      <c r="AQ211" s="21"/>
      <c r="AR211" s="21"/>
      <c r="AS211" s="131"/>
      <c r="AT211" s="215"/>
      <c r="AU211" s="215"/>
      <c r="AV211" s="170" t="str">
        <f t="shared" si="14"/>
        <v/>
      </c>
    </row>
    <row r="212" spans="1:48" ht="15" customHeight="1" x14ac:dyDescent="0.25">
      <c r="A212" s="59"/>
      <c r="B212" s="59"/>
      <c r="C212" s="59"/>
      <c r="D212" s="21"/>
      <c r="E212" s="60"/>
      <c r="F212" s="60"/>
      <c r="G212" s="156"/>
      <c r="H212" s="133"/>
      <c r="I212" s="21"/>
      <c r="J212" s="21"/>
      <c r="K212" s="21"/>
      <c r="L212" s="21"/>
      <c r="M212" s="21"/>
      <c r="N212" s="21"/>
      <c r="O212" s="21"/>
      <c r="P212" s="21"/>
      <c r="Q212" s="140">
        <f t="shared" si="15"/>
        <v>0</v>
      </c>
      <c r="R212" s="7"/>
      <c r="S212" s="5"/>
      <c r="T212" s="6"/>
      <c r="U212" s="41"/>
      <c r="V212" s="20"/>
      <c r="W212" s="129"/>
      <c r="X212" s="20"/>
      <c r="Y212" s="129"/>
      <c r="Z212" s="20"/>
      <c r="AA212" s="129"/>
      <c r="AB212" s="20"/>
      <c r="AC212" s="129"/>
      <c r="AD212" s="20"/>
      <c r="AE212" s="19"/>
      <c r="AF212" s="8"/>
      <c r="AG212" s="17"/>
      <c r="AH212" s="38"/>
      <c r="AI212" s="18"/>
      <c r="AJ212" s="131"/>
      <c r="AK212" s="131"/>
      <c r="AL212" s="131"/>
      <c r="AM212" s="21"/>
      <c r="AN212" s="21"/>
      <c r="AO212" s="21"/>
      <c r="AP212" s="21"/>
      <c r="AQ212" s="21"/>
      <c r="AR212" s="21"/>
      <c r="AS212" s="131"/>
      <c r="AT212" s="215"/>
      <c r="AU212" s="215"/>
      <c r="AV212" s="170" t="str">
        <f t="shared" si="14"/>
        <v/>
      </c>
    </row>
    <row r="213" spans="1:48" ht="15" customHeight="1" x14ac:dyDescent="0.25">
      <c r="A213" s="59"/>
      <c r="B213" s="59"/>
      <c r="C213" s="59"/>
      <c r="D213" s="21"/>
      <c r="E213" s="60"/>
      <c r="F213" s="60"/>
      <c r="G213" s="156"/>
      <c r="H213" s="133"/>
      <c r="I213" s="21"/>
      <c r="J213" s="21"/>
      <c r="K213" s="21"/>
      <c r="L213" s="21"/>
      <c r="M213" s="21"/>
      <c r="N213" s="21"/>
      <c r="O213" s="21"/>
      <c r="P213" s="21"/>
      <c r="Q213" s="140">
        <f t="shared" si="15"/>
        <v>0</v>
      </c>
      <c r="R213" s="7"/>
      <c r="S213" s="5"/>
      <c r="T213" s="6"/>
      <c r="U213" s="41"/>
      <c r="V213" s="20"/>
      <c r="W213" s="129"/>
      <c r="X213" s="20"/>
      <c r="Y213" s="129"/>
      <c r="Z213" s="20"/>
      <c r="AA213" s="129"/>
      <c r="AB213" s="20"/>
      <c r="AC213" s="129"/>
      <c r="AD213" s="20"/>
      <c r="AE213" s="19"/>
      <c r="AF213" s="8"/>
      <c r="AG213" s="17"/>
      <c r="AH213" s="38"/>
      <c r="AI213" s="18"/>
      <c r="AJ213" s="131"/>
      <c r="AK213" s="131"/>
      <c r="AL213" s="131"/>
      <c r="AM213" s="21"/>
      <c r="AN213" s="21"/>
      <c r="AO213" s="21"/>
      <c r="AP213" s="21"/>
      <c r="AQ213" s="21"/>
      <c r="AR213" s="21"/>
      <c r="AS213" s="131"/>
      <c r="AT213" s="215"/>
      <c r="AU213" s="215"/>
      <c r="AV213" s="170" t="str">
        <f t="shared" si="14"/>
        <v/>
      </c>
    </row>
    <row r="214" spans="1:48" ht="15" customHeight="1" x14ac:dyDescent="0.25">
      <c r="A214" s="59"/>
      <c r="B214" s="59"/>
      <c r="C214" s="59"/>
      <c r="D214" s="21"/>
      <c r="E214" s="60"/>
      <c r="F214" s="60"/>
      <c r="G214" s="156"/>
      <c r="H214" s="133"/>
      <c r="I214" s="21"/>
      <c r="J214" s="21"/>
      <c r="K214" s="21"/>
      <c r="L214" s="21"/>
      <c r="M214" s="21"/>
      <c r="N214" s="21"/>
      <c r="O214" s="21"/>
      <c r="P214" s="21"/>
      <c r="Q214" s="140">
        <f t="shared" si="15"/>
        <v>0</v>
      </c>
      <c r="R214" s="7"/>
      <c r="S214" s="5"/>
      <c r="T214" s="6"/>
      <c r="U214" s="41"/>
      <c r="V214" s="20"/>
      <c r="W214" s="129"/>
      <c r="X214" s="20"/>
      <c r="Y214" s="129"/>
      <c r="Z214" s="20"/>
      <c r="AA214" s="129"/>
      <c r="AB214" s="20"/>
      <c r="AC214" s="129"/>
      <c r="AD214" s="20"/>
      <c r="AE214" s="19"/>
      <c r="AF214" s="8"/>
      <c r="AG214" s="17"/>
      <c r="AH214" s="38"/>
      <c r="AI214" s="18"/>
      <c r="AJ214" s="131"/>
      <c r="AK214" s="131"/>
      <c r="AL214" s="131"/>
      <c r="AM214" s="21"/>
      <c r="AN214" s="21"/>
      <c r="AO214" s="21"/>
      <c r="AP214" s="21"/>
      <c r="AQ214" s="21"/>
      <c r="AR214" s="21"/>
      <c r="AS214" s="131"/>
      <c r="AT214" s="215"/>
      <c r="AU214" s="215"/>
      <c r="AV214" s="170" t="str">
        <f t="shared" si="14"/>
        <v/>
      </c>
    </row>
    <row r="215" spans="1:48" ht="15" customHeight="1" x14ac:dyDescent="0.25">
      <c r="A215" s="59"/>
      <c r="B215" s="59"/>
      <c r="C215" s="59"/>
      <c r="D215" s="21"/>
      <c r="E215" s="60"/>
      <c r="F215" s="60"/>
      <c r="G215" s="156"/>
      <c r="H215" s="133"/>
      <c r="I215" s="21"/>
      <c r="J215" s="21"/>
      <c r="K215" s="21"/>
      <c r="L215" s="21"/>
      <c r="M215" s="21"/>
      <c r="N215" s="21"/>
      <c r="O215" s="21"/>
      <c r="P215" s="21"/>
      <c r="Q215" s="140">
        <f t="shared" si="15"/>
        <v>0</v>
      </c>
      <c r="R215" s="7"/>
      <c r="S215" s="5"/>
      <c r="T215" s="6"/>
      <c r="U215" s="41"/>
      <c r="V215" s="20"/>
      <c r="W215" s="129"/>
      <c r="X215" s="20"/>
      <c r="Y215" s="129"/>
      <c r="Z215" s="20"/>
      <c r="AA215" s="129"/>
      <c r="AB215" s="20"/>
      <c r="AC215" s="129"/>
      <c r="AD215" s="20"/>
      <c r="AE215" s="19"/>
      <c r="AF215" s="8"/>
      <c r="AG215" s="17"/>
      <c r="AH215" s="38"/>
      <c r="AI215" s="18"/>
      <c r="AJ215" s="131"/>
      <c r="AK215" s="131"/>
      <c r="AL215" s="131"/>
      <c r="AM215" s="21"/>
      <c r="AN215" s="21"/>
      <c r="AO215" s="21"/>
      <c r="AP215" s="21"/>
      <c r="AQ215" s="21"/>
      <c r="AR215" s="21"/>
      <c r="AS215" s="131"/>
      <c r="AT215" s="215"/>
      <c r="AU215" s="215"/>
      <c r="AV215" s="170" t="str">
        <f t="shared" si="14"/>
        <v/>
      </c>
    </row>
    <row r="216" spans="1:48" ht="15" customHeight="1" x14ac:dyDescent="0.25">
      <c r="A216" s="59"/>
      <c r="B216" s="59"/>
      <c r="C216" s="59"/>
      <c r="D216" s="21"/>
      <c r="E216" s="60"/>
      <c r="F216" s="60"/>
      <c r="G216" s="156"/>
      <c r="H216" s="133"/>
      <c r="I216" s="21"/>
      <c r="J216" s="21"/>
      <c r="K216" s="21"/>
      <c r="L216" s="21"/>
      <c r="M216" s="21"/>
      <c r="N216" s="21"/>
      <c r="O216" s="21"/>
      <c r="P216" s="21"/>
      <c r="Q216" s="140">
        <f t="shared" si="15"/>
        <v>0</v>
      </c>
      <c r="R216" s="7"/>
      <c r="S216" s="5"/>
      <c r="T216" s="6"/>
      <c r="U216" s="41"/>
      <c r="V216" s="20"/>
      <c r="W216" s="129"/>
      <c r="X216" s="20"/>
      <c r="Y216" s="129"/>
      <c r="Z216" s="20"/>
      <c r="AA216" s="129"/>
      <c r="AB216" s="20"/>
      <c r="AC216" s="129"/>
      <c r="AD216" s="20"/>
      <c r="AE216" s="19"/>
      <c r="AF216" s="8"/>
      <c r="AG216" s="17"/>
      <c r="AH216" s="38"/>
      <c r="AI216" s="18"/>
      <c r="AJ216" s="131"/>
      <c r="AK216" s="131"/>
      <c r="AL216" s="131"/>
      <c r="AM216" s="21"/>
      <c r="AN216" s="21"/>
      <c r="AO216" s="21"/>
      <c r="AP216" s="21"/>
      <c r="AQ216" s="21"/>
      <c r="AR216" s="21"/>
      <c r="AS216" s="131"/>
      <c r="AT216" s="215"/>
      <c r="AU216" s="215"/>
      <c r="AV216" s="170" t="str">
        <f t="shared" si="14"/>
        <v/>
      </c>
    </row>
    <row r="217" spans="1:48" ht="15" customHeight="1" x14ac:dyDescent="0.25">
      <c r="A217" s="59"/>
      <c r="B217" s="59"/>
      <c r="C217" s="59"/>
      <c r="D217" s="21"/>
      <c r="E217" s="60"/>
      <c r="F217" s="60"/>
      <c r="G217" s="156"/>
      <c r="H217" s="133"/>
      <c r="I217" s="21"/>
      <c r="J217" s="21"/>
      <c r="K217" s="21"/>
      <c r="L217" s="21"/>
      <c r="M217" s="21"/>
      <c r="N217" s="21"/>
      <c r="O217" s="21"/>
      <c r="P217" s="21"/>
      <c r="Q217" s="140">
        <f t="shared" si="15"/>
        <v>0</v>
      </c>
      <c r="R217" s="7"/>
      <c r="S217" s="5"/>
      <c r="T217" s="6"/>
      <c r="U217" s="41"/>
      <c r="V217" s="20"/>
      <c r="W217" s="129"/>
      <c r="X217" s="20"/>
      <c r="Y217" s="129"/>
      <c r="Z217" s="20"/>
      <c r="AA217" s="129"/>
      <c r="AB217" s="20"/>
      <c r="AC217" s="129"/>
      <c r="AD217" s="20"/>
      <c r="AE217" s="19"/>
      <c r="AF217" s="8"/>
      <c r="AG217" s="17"/>
      <c r="AH217" s="38"/>
      <c r="AI217" s="18"/>
      <c r="AJ217" s="131"/>
      <c r="AK217" s="131"/>
      <c r="AL217" s="131"/>
      <c r="AM217" s="21"/>
      <c r="AN217" s="21"/>
      <c r="AO217" s="21"/>
      <c r="AP217" s="21"/>
      <c r="AQ217" s="21"/>
      <c r="AR217" s="21"/>
      <c r="AS217" s="131"/>
      <c r="AT217" s="215"/>
      <c r="AU217" s="215"/>
      <c r="AV217" s="170" t="str">
        <f t="shared" si="14"/>
        <v/>
      </c>
    </row>
    <row r="218" spans="1:48" ht="15" customHeight="1" x14ac:dyDescent="0.25">
      <c r="A218" s="59"/>
      <c r="B218" s="59"/>
      <c r="C218" s="59"/>
      <c r="D218" s="21"/>
      <c r="E218" s="60"/>
      <c r="F218" s="60"/>
      <c r="G218" s="156"/>
      <c r="H218" s="133"/>
      <c r="I218" s="21"/>
      <c r="J218" s="21"/>
      <c r="K218" s="21"/>
      <c r="L218" s="21"/>
      <c r="M218" s="21"/>
      <c r="N218" s="21"/>
      <c r="O218" s="21"/>
      <c r="P218" s="21"/>
      <c r="Q218" s="140">
        <f t="shared" si="15"/>
        <v>0</v>
      </c>
      <c r="R218" s="7"/>
      <c r="S218" s="5"/>
      <c r="T218" s="6"/>
      <c r="U218" s="41"/>
      <c r="V218" s="20"/>
      <c r="W218" s="129"/>
      <c r="X218" s="20"/>
      <c r="Y218" s="129"/>
      <c r="Z218" s="20"/>
      <c r="AA218" s="129"/>
      <c r="AB218" s="20"/>
      <c r="AC218" s="129"/>
      <c r="AD218" s="20"/>
      <c r="AE218" s="19"/>
      <c r="AF218" s="8"/>
      <c r="AG218" s="17"/>
      <c r="AH218" s="38"/>
      <c r="AI218" s="18"/>
      <c r="AJ218" s="131"/>
      <c r="AK218" s="131"/>
      <c r="AL218" s="131"/>
      <c r="AM218" s="21"/>
      <c r="AN218" s="21"/>
      <c r="AO218" s="21"/>
      <c r="AP218" s="21"/>
      <c r="AQ218" s="21"/>
      <c r="AR218" s="21"/>
      <c r="AS218" s="131"/>
      <c r="AT218" s="215"/>
      <c r="AU218" s="215"/>
      <c r="AV218" s="170" t="str">
        <f t="shared" si="14"/>
        <v/>
      </c>
    </row>
    <row r="219" spans="1:48" ht="15" customHeight="1" x14ac:dyDescent="0.25">
      <c r="A219" s="59"/>
      <c r="B219" s="59"/>
      <c r="C219" s="59"/>
      <c r="D219" s="21"/>
      <c r="E219" s="60"/>
      <c r="F219" s="60"/>
      <c r="G219" s="156"/>
      <c r="H219" s="133"/>
      <c r="I219" s="21"/>
      <c r="J219" s="21"/>
      <c r="K219" s="21"/>
      <c r="L219" s="21"/>
      <c r="M219" s="21"/>
      <c r="N219" s="21"/>
      <c r="O219" s="21"/>
      <c r="P219" s="21"/>
      <c r="Q219" s="140">
        <f t="shared" si="15"/>
        <v>0</v>
      </c>
      <c r="R219" s="7"/>
      <c r="S219" s="5"/>
      <c r="T219" s="6"/>
      <c r="U219" s="41"/>
      <c r="V219" s="20"/>
      <c r="W219" s="129"/>
      <c r="X219" s="20"/>
      <c r="Y219" s="129"/>
      <c r="Z219" s="20"/>
      <c r="AA219" s="129"/>
      <c r="AB219" s="20"/>
      <c r="AC219" s="129"/>
      <c r="AD219" s="20"/>
      <c r="AE219" s="19"/>
      <c r="AF219" s="8"/>
      <c r="AG219" s="17"/>
      <c r="AH219" s="38"/>
      <c r="AI219" s="18"/>
      <c r="AJ219" s="131"/>
      <c r="AK219" s="131"/>
      <c r="AL219" s="131"/>
      <c r="AM219" s="21"/>
      <c r="AN219" s="21"/>
      <c r="AO219" s="21"/>
      <c r="AP219" s="21"/>
      <c r="AQ219" s="21"/>
      <c r="AR219" s="21"/>
      <c r="AS219" s="131"/>
      <c r="AT219" s="215"/>
      <c r="AU219" s="215"/>
      <c r="AV219" s="170" t="str">
        <f t="shared" si="14"/>
        <v/>
      </c>
    </row>
    <row r="220" spans="1:48" ht="15" customHeight="1" x14ac:dyDescent="0.25">
      <c r="A220" s="59"/>
      <c r="B220" s="59"/>
      <c r="C220" s="59"/>
      <c r="D220" s="21"/>
      <c r="E220" s="60"/>
      <c r="F220" s="60"/>
      <c r="G220" s="156"/>
      <c r="H220" s="133"/>
      <c r="I220" s="21"/>
      <c r="J220" s="21"/>
      <c r="K220" s="21"/>
      <c r="L220" s="21"/>
      <c r="M220" s="21"/>
      <c r="N220" s="21"/>
      <c r="O220" s="21"/>
      <c r="P220" s="21"/>
      <c r="Q220" s="140">
        <f t="shared" si="15"/>
        <v>0</v>
      </c>
      <c r="R220" s="7"/>
      <c r="S220" s="5"/>
      <c r="T220" s="6"/>
      <c r="U220" s="41"/>
      <c r="V220" s="20"/>
      <c r="W220" s="129"/>
      <c r="X220" s="20"/>
      <c r="Y220" s="129"/>
      <c r="Z220" s="20"/>
      <c r="AA220" s="129"/>
      <c r="AB220" s="20"/>
      <c r="AC220" s="129"/>
      <c r="AD220" s="20"/>
      <c r="AE220" s="19"/>
      <c r="AF220" s="8"/>
      <c r="AG220" s="17"/>
      <c r="AH220" s="38"/>
      <c r="AI220" s="18"/>
      <c r="AJ220" s="131"/>
      <c r="AK220" s="131"/>
      <c r="AL220" s="131"/>
      <c r="AM220" s="21"/>
      <c r="AN220" s="21"/>
      <c r="AO220" s="21"/>
      <c r="AP220" s="21"/>
      <c r="AQ220" s="21"/>
      <c r="AR220" s="21"/>
      <c r="AS220" s="131"/>
      <c r="AT220" s="215"/>
      <c r="AU220" s="215"/>
      <c r="AV220" s="170" t="str">
        <f t="shared" si="14"/>
        <v/>
      </c>
    </row>
    <row r="221" spans="1:48" ht="15" customHeight="1" x14ac:dyDescent="0.25">
      <c r="A221" s="59"/>
      <c r="B221" s="59"/>
      <c r="C221" s="59"/>
      <c r="D221" s="21"/>
      <c r="E221" s="60"/>
      <c r="F221" s="60"/>
      <c r="G221" s="156"/>
      <c r="H221" s="133"/>
      <c r="I221" s="21"/>
      <c r="J221" s="21"/>
      <c r="K221" s="21"/>
      <c r="L221" s="21"/>
      <c r="M221" s="21"/>
      <c r="N221" s="21"/>
      <c r="O221" s="21"/>
      <c r="P221" s="21"/>
      <c r="Q221" s="140">
        <f t="shared" si="15"/>
        <v>0</v>
      </c>
      <c r="R221" s="7"/>
      <c r="S221" s="5"/>
      <c r="T221" s="6"/>
      <c r="U221" s="41"/>
      <c r="V221" s="20"/>
      <c r="W221" s="129"/>
      <c r="X221" s="20"/>
      <c r="Y221" s="129"/>
      <c r="Z221" s="20"/>
      <c r="AA221" s="129"/>
      <c r="AB221" s="20"/>
      <c r="AC221" s="129"/>
      <c r="AD221" s="20"/>
      <c r="AE221" s="19"/>
      <c r="AF221" s="8"/>
      <c r="AG221" s="17"/>
      <c r="AH221" s="38"/>
      <c r="AI221" s="18"/>
      <c r="AJ221" s="131"/>
      <c r="AK221" s="131"/>
      <c r="AL221" s="131"/>
      <c r="AM221" s="21"/>
      <c r="AN221" s="21"/>
      <c r="AO221" s="21"/>
      <c r="AP221" s="21"/>
      <c r="AQ221" s="21"/>
      <c r="AR221" s="21"/>
      <c r="AS221" s="131"/>
      <c r="AT221" s="215"/>
      <c r="AU221" s="215"/>
      <c r="AV221" s="170" t="str">
        <f t="shared" si="14"/>
        <v/>
      </c>
    </row>
    <row r="222" spans="1:48" ht="15" customHeight="1" x14ac:dyDescent="0.25">
      <c r="A222" s="59"/>
      <c r="B222" s="59"/>
      <c r="C222" s="59"/>
      <c r="D222" s="21"/>
      <c r="E222" s="60"/>
      <c r="F222" s="60"/>
      <c r="G222" s="156"/>
      <c r="H222" s="133"/>
      <c r="I222" s="21"/>
      <c r="J222" s="21"/>
      <c r="K222" s="21"/>
      <c r="L222" s="21"/>
      <c r="M222" s="21"/>
      <c r="N222" s="21"/>
      <c r="O222" s="21"/>
      <c r="P222" s="21"/>
      <c r="Q222" s="140">
        <f t="shared" si="15"/>
        <v>0</v>
      </c>
      <c r="R222" s="7"/>
      <c r="S222" s="5"/>
      <c r="T222" s="6"/>
      <c r="U222" s="41"/>
      <c r="V222" s="20"/>
      <c r="W222" s="129"/>
      <c r="X222" s="20"/>
      <c r="Y222" s="129"/>
      <c r="Z222" s="20"/>
      <c r="AA222" s="129"/>
      <c r="AB222" s="20"/>
      <c r="AC222" s="129"/>
      <c r="AD222" s="20"/>
      <c r="AE222" s="19"/>
      <c r="AF222" s="8"/>
      <c r="AG222" s="17"/>
      <c r="AH222" s="38"/>
      <c r="AI222" s="18"/>
      <c r="AJ222" s="131"/>
      <c r="AK222" s="131"/>
      <c r="AL222" s="131"/>
      <c r="AM222" s="21"/>
      <c r="AN222" s="21"/>
      <c r="AO222" s="21"/>
      <c r="AP222" s="21"/>
      <c r="AQ222" s="21"/>
      <c r="AR222" s="21"/>
      <c r="AS222" s="131"/>
      <c r="AT222" s="215"/>
      <c r="AU222" s="215"/>
      <c r="AV222" s="170" t="str">
        <f t="shared" si="14"/>
        <v/>
      </c>
    </row>
    <row r="223" spans="1:48" ht="15" customHeight="1" x14ac:dyDescent="0.25">
      <c r="A223" s="59"/>
      <c r="B223" s="59"/>
      <c r="C223" s="59"/>
      <c r="D223" s="21"/>
      <c r="E223" s="60"/>
      <c r="F223" s="60"/>
      <c r="G223" s="156"/>
      <c r="H223" s="133"/>
      <c r="I223" s="21"/>
      <c r="J223" s="21"/>
      <c r="K223" s="21"/>
      <c r="L223" s="21"/>
      <c r="M223" s="21"/>
      <c r="N223" s="21"/>
      <c r="O223" s="21"/>
      <c r="P223" s="21"/>
      <c r="Q223" s="140">
        <f t="shared" si="15"/>
        <v>0</v>
      </c>
      <c r="R223" s="7"/>
      <c r="S223" s="5"/>
      <c r="T223" s="6"/>
      <c r="U223" s="41"/>
      <c r="V223" s="20"/>
      <c r="W223" s="129"/>
      <c r="X223" s="20"/>
      <c r="Y223" s="129"/>
      <c r="Z223" s="20"/>
      <c r="AA223" s="129"/>
      <c r="AB223" s="20"/>
      <c r="AC223" s="129"/>
      <c r="AD223" s="20"/>
      <c r="AE223" s="19"/>
      <c r="AF223" s="8"/>
      <c r="AG223" s="17"/>
      <c r="AH223" s="38"/>
      <c r="AI223" s="18"/>
      <c r="AJ223" s="131"/>
      <c r="AK223" s="131"/>
      <c r="AL223" s="131"/>
      <c r="AM223" s="21"/>
      <c r="AN223" s="21"/>
      <c r="AO223" s="21"/>
      <c r="AP223" s="21"/>
      <c r="AQ223" s="21"/>
      <c r="AR223" s="21"/>
      <c r="AS223" s="131"/>
      <c r="AT223" s="215"/>
      <c r="AU223" s="215"/>
      <c r="AV223" s="170" t="str">
        <f t="shared" si="14"/>
        <v/>
      </c>
    </row>
    <row r="224" spans="1:48" ht="15" customHeight="1" x14ac:dyDescent="0.25">
      <c r="A224" s="59"/>
      <c r="B224" s="59"/>
      <c r="C224" s="59"/>
      <c r="D224" s="21"/>
      <c r="E224" s="60"/>
      <c r="F224" s="60"/>
      <c r="G224" s="156"/>
      <c r="H224" s="133"/>
      <c r="I224" s="21"/>
      <c r="J224" s="21"/>
      <c r="K224" s="21"/>
      <c r="L224" s="21"/>
      <c r="M224" s="21"/>
      <c r="N224" s="21"/>
      <c r="O224" s="21"/>
      <c r="P224" s="21"/>
      <c r="Q224" s="140">
        <f t="shared" si="15"/>
        <v>0</v>
      </c>
      <c r="R224" s="7"/>
      <c r="S224" s="5"/>
      <c r="T224" s="6"/>
      <c r="U224" s="41"/>
      <c r="V224" s="20"/>
      <c r="W224" s="129"/>
      <c r="X224" s="20"/>
      <c r="Y224" s="129"/>
      <c r="Z224" s="20"/>
      <c r="AA224" s="129"/>
      <c r="AB224" s="20"/>
      <c r="AC224" s="129"/>
      <c r="AD224" s="20"/>
      <c r="AE224" s="19"/>
      <c r="AF224" s="8"/>
      <c r="AG224" s="17"/>
      <c r="AH224" s="38"/>
      <c r="AI224" s="18"/>
      <c r="AJ224" s="131"/>
      <c r="AK224" s="131"/>
      <c r="AL224" s="131"/>
      <c r="AM224" s="21"/>
      <c r="AN224" s="21"/>
      <c r="AO224" s="21"/>
      <c r="AP224" s="21"/>
      <c r="AQ224" s="21"/>
      <c r="AR224" s="21"/>
      <c r="AS224" s="131"/>
      <c r="AT224" s="215"/>
      <c r="AU224" s="215"/>
      <c r="AV224" s="170" t="str">
        <f t="shared" si="14"/>
        <v/>
      </c>
    </row>
    <row r="225" spans="1:48" ht="15" customHeight="1" x14ac:dyDescent="0.25">
      <c r="A225" s="59"/>
      <c r="B225" s="59"/>
      <c r="C225" s="59"/>
      <c r="D225" s="21"/>
      <c r="E225" s="60"/>
      <c r="F225" s="60"/>
      <c r="G225" s="156"/>
      <c r="H225" s="133"/>
      <c r="I225" s="21"/>
      <c r="J225" s="21"/>
      <c r="K225" s="21"/>
      <c r="L225" s="21"/>
      <c r="M225" s="21"/>
      <c r="N225" s="21"/>
      <c r="O225" s="21"/>
      <c r="P225" s="21"/>
      <c r="Q225" s="140">
        <f t="shared" si="15"/>
        <v>0</v>
      </c>
      <c r="R225" s="7"/>
      <c r="S225" s="5"/>
      <c r="T225" s="6"/>
      <c r="U225" s="41"/>
      <c r="V225" s="20"/>
      <c r="W225" s="129"/>
      <c r="X225" s="20"/>
      <c r="Y225" s="129"/>
      <c r="Z225" s="20"/>
      <c r="AA225" s="129"/>
      <c r="AB225" s="20"/>
      <c r="AC225" s="129"/>
      <c r="AD225" s="20"/>
      <c r="AE225" s="19"/>
      <c r="AF225" s="8"/>
      <c r="AG225" s="17"/>
      <c r="AH225" s="38"/>
      <c r="AI225" s="18"/>
      <c r="AJ225" s="131"/>
      <c r="AK225" s="131"/>
      <c r="AL225" s="131"/>
      <c r="AM225" s="21"/>
      <c r="AN225" s="21"/>
      <c r="AO225" s="21"/>
      <c r="AP225" s="21"/>
      <c r="AQ225" s="21"/>
      <c r="AR225" s="21"/>
      <c r="AS225" s="131"/>
      <c r="AT225" s="215"/>
      <c r="AU225" s="215"/>
      <c r="AV225" s="170" t="str">
        <f t="shared" si="14"/>
        <v/>
      </c>
    </row>
    <row r="226" spans="1:48" ht="15" customHeight="1" x14ac:dyDescent="0.25">
      <c r="A226" s="59"/>
      <c r="B226" s="59"/>
      <c r="C226" s="59"/>
      <c r="D226" s="21"/>
      <c r="E226" s="60"/>
      <c r="F226" s="60"/>
      <c r="G226" s="156"/>
      <c r="H226" s="133"/>
      <c r="I226" s="21"/>
      <c r="J226" s="21"/>
      <c r="K226" s="21"/>
      <c r="L226" s="21"/>
      <c r="M226" s="21"/>
      <c r="N226" s="21"/>
      <c r="O226" s="21"/>
      <c r="P226" s="21"/>
      <c r="Q226" s="140">
        <f t="shared" si="15"/>
        <v>0</v>
      </c>
      <c r="R226" s="7"/>
      <c r="S226" s="5"/>
      <c r="T226" s="6"/>
      <c r="U226" s="41"/>
      <c r="V226" s="20"/>
      <c r="W226" s="129"/>
      <c r="X226" s="20"/>
      <c r="Y226" s="129"/>
      <c r="Z226" s="20"/>
      <c r="AA226" s="129"/>
      <c r="AB226" s="20"/>
      <c r="AC226" s="129"/>
      <c r="AD226" s="20"/>
      <c r="AE226" s="19"/>
      <c r="AF226" s="8"/>
      <c r="AG226" s="17"/>
      <c r="AH226" s="38"/>
      <c r="AI226" s="18"/>
      <c r="AJ226" s="131"/>
      <c r="AK226" s="131"/>
      <c r="AL226" s="131"/>
      <c r="AM226" s="21"/>
      <c r="AN226" s="21"/>
      <c r="AO226" s="21"/>
      <c r="AP226" s="21"/>
      <c r="AQ226" s="21"/>
      <c r="AR226" s="21"/>
      <c r="AS226" s="131"/>
      <c r="AT226" s="215"/>
      <c r="AU226" s="215"/>
      <c r="AV226" s="170" t="str">
        <f t="shared" si="14"/>
        <v/>
      </c>
    </row>
    <row r="227" spans="1:48" ht="15" customHeight="1" x14ac:dyDescent="0.25">
      <c r="A227" s="59"/>
      <c r="B227" s="59"/>
      <c r="C227" s="59"/>
      <c r="D227" s="21"/>
      <c r="E227" s="60"/>
      <c r="F227" s="60"/>
      <c r="G227" s="156"/>
      <c r="H227" s="133"/>
      <c r="I227" s="21"/>
      <c r="J227" s="21"/>
      <c r="K227" s="21"/>
      <c r="L227" s="21"/>
      <c r="M227" s="21"/>
      <c r="N227" s="21"/>
      <c r="O227" s="21"/>
      <c r="P227" s="21"/>
      <c r="Q227" s="140">
        <f t="shared" si="15"/>
        <v>0</v>
      </c>
      <c r="R227" s="7"/>
      <c r="S227" s="5"/>
      <c r="T227" s="6"/>
      <c r="U227" s="41"/>
      <c r="V227" s="20"/>
      <c r="W227" s="129"/>
      <c r="X227" s="20"/>
      <c r="Y227" s="129"/>
      <c r="Z227" s="20"/>
      <c r="AA227" s="129"/>
      <c r="AB227" s="20"/>
      <c r="AC227" s="129"/>
      <c r="AD227" s="20"/>
      <c r="AE227" s="19"/>
      <c r="AF227" s="8"/>
      <c r="AG227" s="17"/>
      <c r="AH227" s="38"/>
      <c r="AI227" s="18"/>
      <c r="AJ227" s="131"/>
      <c r="AK227" s="131"/>
      <c r="AL227" s="131"/>
      <c r="AM227" s="21"/>
      <c r="AN227" s="21"/>
      <c r="AO227" s="21"/>
      <c r="AP227" s="21"/>
      <c r="AQ227" s="21"/>
      <c r="AR227" s="21"/>
      <c r="AS227" s="131"/>
      <c r="AT227" s="215"/>
      <c r="AU227" s="215"/>
      <c r="AV227" s="170" t="str">
        <f t="shared" si="14"/>
        <v/>
      </c>
    </row>
    <row r="228" spans="1:48" ht="15" customHeight="1" x14ac:dyDescent="0.25">
      <c r="A228" s="59"/>
      <c r="B228" s="59"/>
      <c r="C228" s="59"/>
      <c r="D228" s="21"/>
      <c r="E228" s="60"/>
      <c r="F228" s="60"/>
      <c r="G228" s="156"/>
      <c r="H228" s="133"/>
      <c r="I228" s="21"/>
      <c r="J228" s="21"/>
      <c r="K228" s="21"/>
      <c r="L228" s="21"/>
      <c r="M228" s="21"/>
      <c r="N228" s="21"/>
      <c r="O228" s="21"/>
      <c r="P228" s="21"/>
      <c r="Q228" s="140">
        <f t="shared" si="15"/>
        <v>0</v>
      </c>
      <c r="R228" s="7"/>
      <c r="S228" s="5"/>
      <c r="T228" s="6"/>
      <c r="U228" s="41"/>
      <c r="V228" s="20"/>
      <c r="W228" s="129"/>
      <c r="X228" s="20"/>
      <c r="Y228" s="129"/>
      <c r="Z228" s="20"/>
      <c r="AA228" s="129"/>
      <c r="AB228" s="20"/>
      <c r="AC228" s="129"/>
      <c r="AD228" s="20"/>
      <c r="AE228" s="19"/>
      <c r="AF228" s="8"/>
      <c r="AG228" s="17"/>
      <c r="AH228" s="38"/>
      <c r="AI228" s="18"/>
      <c r="AJ228" s="131"/>
      <c r="AK228" s="131"/>
      <c r="AL228" s="131"/>
      <c r="AM228" s="21"/>
      <c r="AN228" s="21"/>
      <c r="AO228" s="21"/>
      <c r="AP228" s="21"/>
      <c r="AQ228" s="21"/>
      <c r="AR228" s="21"/>
      <c r="AS228" s="131"/>
      <c r="AT228" s="215"/>
      <c r="AU228" s="215"/>
      <c r="AV228" s="170" t="str">
        <f t="shared" si="14"/>
        <v/>
      </c>
    </row>
    <row r="229" spans="1:48" ht="15" customHeight="1" x14ac:dyDescent="0.25">
      <c r="A229" s="59"/>
      <c r="B229" s="59"/>
      <c r="C229" s="59"/>
      <c r="D229" s="21"/>
      <c r="E229" s="60"/>
      <c r="F229" s="60"/>
      <c r="G229" s="156"/>
      <c r="H229" s="133"/>
      <c r="I229" s="21"/>
      <c r="J229" s="21"/>
      <c r="K229" s="21"/>
      <c r="L229" s="21"/>
      <c r="M229" s="21"/>
      <c r="N229" s="21"/>
      <c r="O229" s="21"/>
      <c r="P229" s="21"/>
      <c r="Q229" s="140">
        <f t="shared" si="15"/>
        <v>0</v>
      </c>
      <c r="R229" s="7"/>
      <c r="S229" s="5"/>
      <c r="T229" s="6"/>
      <c r="U229" s="41"/>
      <c r="V229" s="20"/>
      <c r="W229" s="129"/>
      <c r="X229" s="20"/>
      <c r="Y229" s="129"/>
      <c r="Z229" s="20"/>
      <c r="AA229" s="129"/>
      <c r="AB229" s="20"/>
      <c r="AC229" s="129"/>
      <c r="AD229" s="20"/>
      <c r="AE229" s="19"/>
      <c r="AF229" s="8"/>
      <c r="AG229" s="17"/>
      <c r="AH229" s="38"/>
      <c r="AI229" s="18"/>
      <c r="AJ229" s="131"/>
      <c r="AK229" s="131"/>
      <c r="AL229" s="131"/>
      <c r="AM229" s="21"/>
      <c r="AN229" s="21"/>
      <c r="AO229" s="21"/>
      <c r="AP229" s="21"/>
      <c r="AQ229" s="21"/>
      <c r="AR229" s="21"/>
      <c r="AS229" s="131"/>
      <c r="AT229" s="215"/>
      <c r="AU229" s="215"/>
      <c r="AV229" s="170" t="str">
        <f t="shared" si="14"/>
        <v/>
      </c>
    </row>
    <row r="230" spans="1:48" ht="15" customHeight="1" x14ac:dyDescent="0.25">
      <c r="A230" s="59"/>
      <c r="B230" s="59"/>
      <c r="C230" s="59"/>
      <c r="D230" s="21"/>
      <c r="E230" s="60"/>
      <c r="F230" s="60"/>
      <c r="G230" s="156"/>
      <c r="H230" s="133"/>
      <c r="I230" s="21"/>
      <c r="J230" s="21"/>
      <c r="K230" s="21"/>
      <c r="L230" s="21"/>
      <c r="M230" s="21"/>
      <c r="N230" s="21"/>
      <c r="O230" s="21"/>
      <c r="P230" s="21"/>
      <c r="Q230" s="140">
        <f t="shared" si="15"/>
        <v>0</v>
      </c>
      <c r="R230" s="7"/>
      <c r="S230" s="5"/>
      <c r="T230" s="6"/>
      <c r="U230" s="41"/>
      <c r="V230" s="20"/>
      <c r="W230" s="129"/>
      <c r="X230" s="20"/>
      <c r="Y230" s="129"/>
      <c r="Z230" s="20"/>
      <c r="AA230" s="129"/>
      <c r="AB230" s="20"/>
      <c r="AC230" s="129"/>
      <c r="AD230" s="20"/>
      <c r="AE230" s="19"/>
      <c r="AF230" s="8"/>
      <c r="AG230" s="17"/>
      <c r="AH230" s="38"/>
      <c r="AI230" s="18"/>
      <c r="AJ230" s="131"/>
      <c r="AK230" s="131"/>
      <c r="AL230" s="131"/>
      <c r="AM230" s="21"/>
      <c r="AN230" s="21"/>
      <c r="AO230" s="21"/>
      <c r="AP230" s="21"/>
      <c r="AQ230" s="21"/>
      <c r="AR230" s="21"/>
      <c r="AS230" s="131"/>
      <c r="AT230" s="215"/>
      <c r="AU230" s="215"/>
      <c r="AV230" s="170" t="str">
        <f t="shared" si="14"/>
        <v/>
      </c>
    </row>
    <row r="231" spans="1:48" ht="15" customHeight="1" x14ac:dyDescent="0.25">
      <c r="A231" s="59"/>
      <c r="B231" s="59"/>
      <c r="C231" s="59"/>
      <c r="D231" s="21"/>
      <c r="E231" s="60"/>
      <c r="F231" s="60"/>
      <c r="G231" s="156"/>
      <c r="H231" s="133"/>
      <c r="I231" s="21"/>
      <c r="J231" s="21"/>
      <c r="K231" s="21"/>
      <c r="L231" s="21"/>
      <c r="M231" s="21"/>
      <c r="N231" s="21"/>
      <c r="O231" s="21"/>
      <c r="P231" s="21"/>
      <c r="Q231" s="140">
        <f t="shared" si="15"/>
        <v>0</v>
      </c>
      <c r="R231" s="7"/>
      <c r="S231" s="5"/>
      <c r="T231" s="6"/>
      <c r="U231" s="41"/>
      <c r="V231" s="20"/>
      <c r="W231" s="129"/>
      <c r="X231" s="20"/>
      <c r="Y231" s="129"/>
      <c r="Z231" s="20"/>
      <c r="AA231" s="129"/>
      <c r="AB231" s="20"/>
      <c r="AC231" s="129"/>
      <c r="AD231" s="20"/>
      <c r="AE231" s="19"/>
      <c r="AF231" s="8"/>
      <c r="AG231" s="17"/>
      <c r="AH231" s="38"/>
      <c r="AI231" s="18"/>
      <c r="AJ231" s="131"/>
      <c r="AK231" s="131"/>
      <c r="AL231" s="131"/>
      <c r="AM231" s="21"/>
      <c r="AN231" s="21"/>
      <c r="AO231" s="21"/>
      <c r="AP231" s="21"/>
      <c r="AQ231" s="21"/>
      <c r="AR231" s="21"/>
      <c r="AS231" s="131"/>
      <c r="AT231" s="215"/>
      <c r="AU231" s="215"/>
      <c r="AV231" s="170" t="str">
        <f t="shared" si="14"/>
        <v/>
      </c>
    </row>
    <row r="232" spans="1:48" ht="15" customHeight="1" x14ac:dyDescent="0.25">
      <c r="A232" s="59"/>
      <c r="B232" s="59"/>
      <c r="C232" s="59"/>
      <c r="D232" s="21"/>
      <c r="E232" s="60"/>
      <c r="F232" s="60"/>
      <c r="G232" s="156"/>
      <c r="H232" s="133"/>
      <c r="I232" s="21"/>
      <c r="J232" s="21"/>
      <c r="K232" s="21"/>
      <c r="L232" s="21"/>
      <c r="M232" s="21"/>
      <c r="N232" s="21"/>
      <c r="O232" s="21"/>
      <c r="P232" s="21"/>
      <c r="Q232" s="140">
        <f t="shared" si="15"/>
        <v>0</v>
      </c>
      <c r="R232" s="7"/>
      <c r="S232" s="5"/>
      <c r="T232" s="6"/>
      <c r="U232" s="41"/>
      <c r="V232" s="20"/>
      <c r="W232" s="129"/>
      <c r="X232" s="20"/>
      <c r="Y232" s="129"/>
      <c r="Z232" s="20"/>
      <c r="AA232" s="129"/>
      <c r="AB232" s="20"/>
      <c r="AC232" s="129"/>
      <c r="AD232" s="20"/>
      <c r="AE232" s="19"/>
      <c r="AF232" s="8"/>
      <c r="AG232" s="17"/>
      <c r="AH232" s="38"/>
      <c r="AI232" s="18"/>
      <c r="AJ232" s="131"/>
      <c r="AK232" s="131"/>
      <c r="AL232" s="131"/>
      <c r="AM232" s="21"/>
      <c r="AN232" s="21"/>
      <c r="AO232" s="21"/>
      <c r="AP232" s="21"/>
      <c r="AQ232" s="21"/>
      <c r="AR232" s="21"/>
      <c r="AS232" s="131"/>
      <c r="AT232" s="215"/>
      <c r="AU232" s="215"/>
      <c r="AV232" s="170" t="str">
        <f t="shared" si="14"/>
        <v/>
      </c>
    </row>
    <row r="233" spans="1:48" ht="15" customHeight="1" x14ac:dyDescent="0.25">
      <c r="A233" s="59"/>
      <c r="B233" s="59"/>
      <c r="C233" s="59"/>
      <c r="D233" s="21"/>
      <c r="E233" s="60"/>
      <c r="F233" s="60"/>
      <c r="G233" s="156"/>
      <c r="H233" s="133"/>
      <c r="I233" s="21"/>
      <c r="J233" s="21"/>
      <c r="K233" s="21"/>
      <c r="L233" s="21"/>
      <c r="M233" s="21"/>
      <c r="N233" s="21"/>
      <c r="O233" s="21"/>
      <c r="P233" s="21"/>
      <c r="Q233" s="140">
        <f t="shared" si="15"/>
        <v>0</v>
      </c>
      <c r="R233" s="7"/>
      <c r="S233" s="5"/>
      <c r="T233" s="6"/>
      <c r="U233" s="41"/>
      <c r="V233" s="20"/>
      <c r="W233" s="129"/>
      <c r="X233" s="20"/>
      <c r="Y233" s="129"/>
      <c r="Z233" s="20"/>
      <c r="AA233" s="129"/>
      <c r="AB233" s="20"/>
      <c r="AC233" s="129"/>
      <c r="AD233" s="20"/>
      <c r="AE233" s="19"/>
      <c r="AF233" s="8"/>
      <c r="AG233" s="17"/>
      <c r="AH233" s="38"/>
      <c r="AI233" s="18"/>
      <c r="AJ233" s="131"/>
      <c r="AK233" s="131"/>
      <c r="AL233" s="131"/>
      <c r="AM233" s="21"/>
      <c r="AN233" s="21"/>
      <c r="AO233" s="21"/>
      <c r="AP233" s="21"/>
      <c r="AQ233" s="21"/>
      <c r="AR233" s="21"/>
      <c r="AS233" s="131"/>
      <c r="AT233" s="215"/>
      <c r="AU233" s="215"/>
      <c r="AV233" s="170" t="str">
        <f t="shared" si="14"/>
        <v/>
      </c>
    </row>
    <row r="234" spans="1:48" ht="15" customHeight="1" x14ac:dyDescent="0.25">
      <c r="A234" s="59"/>
      <c r="B234" s="59"/>
      <c r="C234" s="59"/>
      <c r="D234" s="21"/>
      <c r="E234" s="60"/>
      <c r="F234" s="60"/>
      <c r="G234" s="156"/>
      <c r="H234" s="133"/>
      <c r="I234" s="21"/>
      <c r="J234" s="21"/>
      <c r="K234" s="21"/>
      <c r="L234" s="21"/>
      <c r="M234" s="21"/>
      <c r="N234" s="21"/>
      <c r="O234" s="21"/>
      <c r="P234" s="21"/>
      <c r="Q234" s="140">
        <f t="shared" si="15"/>
        <v>0</v>
      </c>
      <c r="R234" s="7"/>
      <c r="S234" s="5"/>
      <c r="T234" s="6"/>
      <c r="U234" s="35"/>
      <c r="V234" s="20"/>
      <c r="W234" s="129"/>
      <c r="X234" s="20"/>
      <c r="Y234" s="129"/>
      <c r="Z234" s="20"/>
      <c r="AA234" s="129"/>
      <c r="AB234" s="20"/>
      <c r="AC234" s="129"/>
      <c r="AD234" s="20"/>
      <c r="AE234" s="19"/>
      <c r="AF234" s="8"/>
      <c r="AG234" s="17"/>
      <c r="AH234" s="38"/>
      <c r="AI234" s="18"/>
      <c r="AJ234" s="131"/>
      <c r="AK234" s="131"/>
      <c r="AL234" s="131"/>
      <c r="AM234" s="21"/>
      <c r="AN234" s="21"/>
      <c r="AO234" s="21"/>
      <c r="AP234" s="21"/>
      <c r="AQ234" s="21"/>
      <c r="AR234" s="21"/>
      <c r="AS234" s="131"/>
      <c r="AT234" s="215"/>
      <c r="AU234" s="215"/>
      <c r="AV234" s="170" t="str">
        <f t="shared" si="14"/>
        <v/>
      </c>
    </row>
    <row r="235" spans="1:48" ht="15" customHeight="1" x14ac:dyDescent="0.25">
      <c r="A235" s="59"/>
      <c r="B235" s="59"/>
      <c r="C235" s="59"/>
      <c r="D235" s="21"/>
      <c r="E235" s="60"/>
      <c r="F235" s="60"/>
      <c r="G235" s="156"/>
      <c r="H235" s="133"/>
      <c r="I235" s="21"/>
      <c r="J235" s="21"/>
      <c r="K235" s="21"/>
      <c r="L235" s="21"/>
      <c r="M235" s="21"/>
      <c r="N235" s="21"/>
      <c r="O235" s="21"/>
      <c r="P235" s="21"/>
      <c r="Q235" s="140">
        <f t="shared" si="15"/>
        <v>0</v>
      </c>
      <c r="R235" s="7"/>
      <c r="S235" s="5"/>
      <c r="T235" s="6"/>
      <c r="U235" s="35"/>
      <c r="V235" s="20"/>
      <c r="W235" s="129"/>
      <c r="X235" s="20"/>
      <c r="Y235" s="129"/>
      <c r="Z235" s="20"/>
      <c r="AA235" s="129"/>
      <c r="AB235" s="20"/>
      <c r="AC235" s="129"/>
      <c r="AD235" s="20"/>
      <c r="AE235" s="19"/>
      <c r="AF235" s="8"/>
      <c r="AG235" s="17"/>
      <c r="AH235" s="38"/>
      <c r="AI235" s="18"/>
      <c r="AJ235" s="131"/>
      <c r="AK235" s="131"/>
      <c r="AL235" s="131"/>
      <c r="AM235" s="21"/>
      <c r="AN235" s="21"/>
      <c r="AO235" s="21"/>
      <c r="AP235" s="21"/>
      <c r="AQ235" s="21"/>
      <c r="AR235" s="21"/>
      <c r="AS235" s="131"/>
      <c r="AT235" s="215"/>
      <c r="AU235" s="215"/>
      <c r="AV235" s="170" t="str">
        <f t="shared" si="14"/>
        <v/>
      </c>
    </row>
    <row r="236" spans="1:48" ht="15" customHeight="1" x14ac:dyDescent="0.25">
      <c r="A236" s="59"/>
      <c r="B236" s="59"/>
      <c r="C236" s="59"/>
      <c r="D236" s="21"/>
      <c r="E236" s="60"/>
      <c r="F236" s="60"/>
      <c r="G236" s="156"/>
      <c r="H236" s="133"/>
      <c r="I236" s="21"/>
      <c r="J236" s="21"/>
      <c r="K236" s="21"/>
      <c r="L236" s="21"/>
      <c r="M236" s="21"/>
      <c r="N236" s="21"/>
      <c r="O236" s="21"/>
      <c r="P236" s="21"/>
      <c r="Q236" s="140">
        <f t="shared" si="15"/>
        <v>0</v>
      </c>
      <c r="R236" s="7"/>
      <c r="S236" s="5"/>
      <c r="T236" s="6"/>
      <c r="U236" s="35"/>
      <c r="V236" s="20"/>
      <c r="W236" s="129"/>
      <c r="X236" s="20"/>
      <c r="Y236" s="129"/>
      <c r="Z236" s="20"/>
      <c r="AA236" s="129"/>
      <c r="AB236" s="20"/>
      <c r="AC236" s="129"/>
      <c r="AD236" s="20"/>
      <c r="AE236" s="19"/>
      <c r="AF236" s="8"/>
      <c r="AG236" s="17"/>
      <c r="AH236" s="38"/>
      <c r="AI236" s="18"/>
      <c r="AJ236" s="131"/>
      <c r="AK236" s="131"/>
      <c r="AL236" s="131"/>
      <c r="AM236" s="21"/>
      <c r="AN236" s="21"/>
      <c r="AO236" s="21"/>
      <c r="AP236" s="21"/>
      <c r="AQ236" s="21"/>
      <c r="AR236" s="21"/>
      <c r="AS236" s="131"/>
      <c r="AT236" s="215"/>
      <c r="AU236" s="215"/>
      <c r="AV236" s="170" t="str">
        <f t="shared" si="14"/>
        <v/>
      </c>
    </row>
    <row r="237" spans="1:48" ht="15" customHeight="1" x14ac:dyDescent="0.25">
      <c r="A237" s="59"/>
      <c r="B237" s="59"/>
      <c r="C237" s="59"/>
      <c r="D237" s="21"/>
      <c r="E237" s="60"/>
      <c r="F237" s="60"/>
      <c r="G237" s="156"/>
      <c r="H237" s="133"/>
      <c r="I237" s="21"/>
      <c r="J237" s="21"/>
      <c r="K237" s="21"/>
      <c r="L237" s="21"/>
      <c r="M237" s="21"/>
      <c r="N237" s="21"/>
      <c r="O237" s="21"/>
      <c r="P237" s="21"/>
      <c r="Q237" s="140">
        <f t="shared" si="15"/>
        <v>0</v>
      </c>
      <c r="R237" s="7"/>
      <c r="S237" s="5"/>
      <c r="T237" s="6"/>
      <c r="U237" s="35"/>
      <c r="V237" s="20"/>
      <c r="W237" s="129"/>
      <c r="X237" s="20"/>
      <c r="Y237" s="129"/>
      <c r="Z237" s="20"/>
      <c r="AA237" s="129"/>
      <c r="AB237" s="20"/>
      <c r="AC237" s="129"/>
      <c r="AD237" s="20"/>
      <c r="AE237" s="19"/>
      <c r="AF237" s="8"/>
      <c r="AG237" s="17"/>
      <c r="AH237" s="38"/>
      <c r="AI237" s="18"/>
      <c r="AJ237" s="131"/>
      <c r="AK237" s="131"/>
      <c r="AL237" s="131"/>
      <c r="AM237" s="21"/>
      <c r="AN237" s="21"/>
      <c r="AO237" s="21"/>
      <c r="AP237" s="21"/>
      <c r="AQ237" s="21"/>
      <c r="AR237" s="21"/>
      <c r="AS237" s="131"/>
      <c r="AT237" s="215"/>
      <c r="AU237" s="215"/>
      <c r="AV237" s="170" t="str">
        <f t="shared" si="14"/>
        <v/>
      </c>
    </row>
    <row r="238" spans="1:48" ht="15" customHeight="1" x14ac:dyDescent="0.25">
      <c r="A238" s="59"/>
      <c r="B238" s="59"/>
      <c r="C238" s="59"/>
      <c r="D238" s="21"/>
      <c r="E238" s="60"/>
      <c r="F238" s="60"/>
      <c r="G238" s="156"/>
      <c r="H238" s="133"/>
      <c r="I238" s="21"/>
      <c r="J238" s="21"/>
      <c r="K238" s="21"/>
      <c r="L238" s="21"/>
      <c r="M238" s="21"/>
      <c r="N238" s="21"/>
      <c r="O238" s="21"/>
      <c r="P238" s="21"/>
      <c r="Q238" s="140">
        <f t="shared" si="15"/>
        <v>0</v>
      </c>
      <c r="R238" s="7"/>
      <c r="S238" s="5"/>
      <c r="T238" s="6"/>
      <c r="U238" s="35"/>
      <c r="V238" s="20"/>
      <c r="W238" s="129"/>
      <c r="X238" s="20"/>
      <c r="Y238" s="129"/>
      <c r="Z238" s="20"/>
      <c r="AA238" s="129"/>
      <c r="AB238" s="20"/>
      <c r="AC238" s="129"/>
      <c r="AD238" s="20"/>
      <c r="AE238" s="19"/>
      <c r="AF238" s="8"/>
      <c r="AG238" s="17"/>
      <c r="AH238" s="38"/>
      <c r="AI238" s="18"/>
      <c r="AJ238" s="131"/>
      <c r="AK238" s="131"/>
      <c r="AL238" s="131"/>
      <c r="AM238" s="21"/>
      <c r="AN238" s="21"/>
      <c r="AO238" s="21"/>
      <c r="AP238" s="21"/>
      <c r="AQ238" s="21"/>
      <c r="AR238" s="21"/>
      <c r="AS238" s="131"/>
      <c r="AT238" s="215"/>
      <c r="AU238" s="215"/>
      <c r="AV238" s="170" t="str">
        <f t="shared" si="14"/>
        <v/>
      </c>
    </row>
    <row r="239" spans="1:48" ht="15" customHeight="1" x14ac:dyDescent="0.25">
      <c r="A239" s="59"/>
      <c r="B239" s="59"/>
      <c r="C239" s="59"/>
      <c r="D239" s="21"/>
      <c r="E239" s="60"/>
      <c r="F239" s="60"/>
      <c r="G239" s="156"/>
      <c r="H239" s="133"/>
      <c r="I239" s="21"/>
      <c r="J239" s="21"/>
      <c r="K239" s="21"/>
      <c r="L239" s="21"/>
      <c r="M239" s="21"/>
      <c r="N239" s="21"/>
      <c r="O239" s="21"/>
      <c r="P239" s="21"/>
      <c r="Q239" s="140">
        <f t="shared" si="15"/>
        <v>0</v>
      </c>
      <c r="R239" s="7"/>
      <c r="S239" s="5"/>
      <c r="T239" s="6"/>
      <c r="U239" s="35"/>
      <c r="V239" s="20"/>
      <c r="W239" s="129"/>
      <c r="X239" s="20"/>
      <c r="Y239" s="129"/>
      <c r="Z239" s="20"/>
      <c r="AA239" s="129"/>
      <c r="AB239" s="20"/>
      <c r="AC239" s="129"/>
      <c r="AD239" s="20"/>
      <c r="AE239" s="19"/>
      <c r="AF239" s="8"/>
      <c r="AG239" s="17"/>
      <c r="AH239" s="38"/>
      <c r="AI239" s="18"/>
      <c r="AJ239" s="131"/>
      <c r="AK239" s="131"/>
      <c r="AL239" s="131"/>
      <c r="AM239" s="21"/>
      <c r="AN239" s="21"/>
      <c r="AO239" s="21"/>
      <c r="AP239" s="21"/>
      <c r="AQ239" s="21"/>
      <c r="AR239" s="21"/>
      <c r="AS239" s="131"/>
      <c r="AT239" s="215"/>
      <c r="AU239" s="215"/>
      <c r="AV239" s="170" t="str">
        <f t="shared" si="14"/>
        <v/>
      </c>
    </row>
    <row r="240" spans="1:48" ht="15" customHeight="1" x14ac:dyDescent="0.25">
      <c r="A240" s="59"/>
      <c r="B240" s="59"/>
      <c r="C240" s="59"/>
      <c r="D240" s="21"/>
      <c r="E240" s="60"/>
      <c r="F240" s="60"/>
      <c r="G240" s="156"/>
      <c r="H240" s="133"/>
      <c r="I240" s="21"/>
      <c r="J240" s="21"/>
      <c r="K240" s="21"/>
      <c r="L240" s="21"/>
      <c r="M240" s="21"/>
      <c r="N240" s="21"/>
      <c r="O240" s="21"/>
      <c r="P240" s="21"/>
      <c r="Q240" s="140">
        <f t="shared" si="15"/>
        <v>0</v>
      </c>
      <c r="R240" s="7"/>
      <c r="S240" s="5"/>
      <c r="T240" s="6"/>
      <c r="U240" s="35"/>
      <c r="V240" s="20"/>
      <c r="W240" s="129"/>
      <c r="X240" s="20"/>
      <c r="Y240" s="129"/>
      <c r="Z240" s="20"/>
      <c r="AA240" s="129"/>
      <c r="AB240" s="20"/>
      <c r="AC240" s="129"/>
      <c r="AD240" s="20"/>
      <c r="AE240" s="19"/>
      <c r="AF240" s="8"/>
      <c r="AG240" s="17"/>
      <c r="AH240" s="38"/>
      <c r="AI240" s="18"/>
      <c r="AJ240" s="131"/>
      <c r="AK240" s="131"/>
      <c r="AL240" s="131"/>
      <c r="AM240" s="21"/>
      <c r="AN240" s="21"/>
      <c r="AO240" s="21"/>
      <c r="AP240" s="21"/>
      <c r="AQ240" s="21"/>
      <c r="AR240" s="21"/>
      <c r="AS240" s="131"/>
      <c r="AT240" s="215"/>
      <c r="AU240" s="215"/>
      <c r="AV240" s="170" t="str">
        <f t="shared" si="14"/>
        <v/>
      </c>
    </row>
    <row r="241" spans="1:48" ht="15" customHeight="1" x14ac:dyDescent="0.25">
      <c r="A241" s="59"/>
      <c r="B241" s="59"/>
      <c r="C241" s="59"/>
      <c r="D241" s="21"/>
      <c r="E241" s="60"/>
      <c r="F241" s="60"/>
      <c r="G241" s="156"/>
      <c r="H241" s="133"/>
      <c r="I241" s="21"/>
      <c r="J241" s="21"/>
      <c r="K241" s="21"/>
      <c r="L241" s="21"/>
      <c r="M241" s="21"/>
      <c r="N241" s="21"/>
      <c r="O241" s="21"/>
      <c r="P241" s="21"/>
      <c r="Q241" s="140">
        <f t="shared" si="15"/>
        <v>0</v>
      </c>
      <c r="R241" s="7"/>
      <c r="S241" s="5"/>
      <c r="T241" s="6"/>
      <c r="U241" s="35"/>
      <c r="V241" s="20"/>
      <c r="W241" s="129"/>
      <c r="X241" s="20"/>
      <c r="Y241" s="129"/>
      <c r="Z241" s="20"/>
      <c r="AA241" s="129"/>
      <c r="AB241" s="20"/>
      <c r="AC241" s="129"/>
      <c r="AD241" s="20"/>
      <c r="AE241" s="19"/>
      <c r="AF241" s="8"/>
      <c r="AG241" s="17"/>
      <c r="AH241" s="38"/>
      <c r="AI241" s="18"/>
      <c r="AJ241" s="131"/>
      <c r="AK241" s="131"/>
      <c r="AL241" s="131"/>
      <c r="AM241" s="21"/>
      <c r="AN241" s="21"/>
      <c r="AO241" s="21"/>
      <c r="AP241" s="21"/>
      <c r="AQ241" s="21"/>
      <c r="AR241" s="21"/>
      <c r="AS241" s="131"/>
      <c r="AT241" s="215"/>
      <c r="AU241" s="215"/>
      <c r="AV241" s="170" t="str">
        <f t="shared" si="14"/>
        <v/>
      </c>
    </row>
    <row r="242" spans="1:48" ht="15" customHeight="1" x14ac:dyDescent="0.25">
      <c r="A242" s="59"/>
      <c r="B242" s="59"/>
      <c r="C242" s="59"/>
      <c r="D242" s="21"/>
      <c r="E242" s="60"/>
      <c r="F242" s="60"/>
      <c r="G242" s="156"/>
      <c r="H242" s="133"/>
      <c r="I242" s="21"/>
      <c r="J242" s="21"/>
      <c r="K242" s="21"/>
      <c r="L242" s="21"/>
      <c r="M242" s="21"/>
      <c r="N242" s="21"/>
      <c r="O242" s="21"/>
      <c r="P242" s="21"/>
      <c r="Q242" s="140">
        <f t="shared" si="15"/>
        <v>0</v>
      </c>
      <c r="R242" s="7"/>
      <c r="S242" s="5"/>
      <c r="T242" s="6"/>
      <c r="U242" s="35"/>
      <c r="V242" s="20"/>
      <c r="W242" s="129"/>
      <c r="X242" s="20"/>
      <c r="Y242" s="129"/>
      <c r="Z242" s="20"/>
      <c r="AA242" s="129"/>
      <c r="AB242" s="20"/>
      <c r="AC242" s="129"/>
      <c r="AD242" s="20"/>
      <c r="AE242" s="19"/>
      <c r="AF242" s="8"/>
      <c r="AG242" s="17"/>
      <c r="AH242" s="38"/>
      <c r="AI242" s="18"/>
      <c r="AJ242" s="131"/>
      <c r="AK242" s="131"/>
      <c r="AL242" s="131"/>
      <c r="AM242" s="21"/>
      <c r="AN242" s="21"/>
      <c r="AO242" s="21"/>
      <c r="AP242" s="21"/>
      <c r="AQ242" s="21"/>
      <c r="AR242" s="21"/>
      <c r="AS242" s="131"/>
      <c r="AT242" s="215"/>
      <c r="AU242" s="215"/>
      <c r="AV242" s="170" t="str">
        <f t="shared" si="14"/>
        <v/>
      </c>
    </row>
    <row r="243" spans="1:48" ht="15" customHeight="1" x14ac:dyDescent="0.25">
      <c r="A243" s="59"/>
      <c r="B243" s="59"/>
      <c r="C243" s="59"/>
      <c r="D243" s="21"/>
      <c r="E243" s="60"/>
      <c r="F243" s="60"/>
      <c r="G243" s="156"/>
      <c r="H243" s="133"/>
      <c r="I243" s="21"/>
      <c r="J243" s="21"/>
      <c r="K243" s="21"/>
      <c r="L243" s="21"/>
      <c r="M243" s="21"/>
      <c r="N243" s="21"/>
      <c r="O243" s="21"/>
      <c r="P243" s="21"/>
      <c r="Q243" s="140">
        <f t="shared" si="15"/>
        <v>0</v>
      </c>
      <c r="R243" s="7"/>
      <c r="S243" s="5"/>
      <c r="T243" s="6"/>
      <c r="U243" s="35"/>
      <c r="V243" s="20"/>
      <c r="W243" s="129"/>
      <c r="X243" s="20"/>
      <c r="Y243" s="129"/>
      <c r="Z243" s="20"/>
      <c r="AA243" s="129"/>
      <c r="AB243" s="20"/>
      <c r="AC243" s="129"/>
      <c r="AD243" s="20"/>
      <c r="AE243" s="19"/>
      <c r="AF243" s="8"/>
      <c r="AG243" s="17"/>
      <c r="AH243" s="38"/>
      <c r="AI243" s="18"/>
      <c r="AJ243" s="131"/>
      <c r="AK243" s="131"/>
      <c r="AL243" s="131"/>
      <c r="AM243" s="21"/>
      <c r="AN243" s="21"/>
      <c r="AO243" s="21"/>
      <c r="AP243" s="21"/>
      <c r="AQ243" s="21"/>
      <c r="AR243" s="21"/>
      <c r="AS243" s="131"/>
      <c r="AT243" s="215"/>
      <c r="AU243" s="215"/>
      <c r="AV243" s="170" t="str">
        <f t="shared" si="14"/>
        <v/>
      </c>
    </row>
    <row r="244" spans="1:48" ht="15" customHeight="1" x14ac:dyDescent="0.25">
      <c r="A244" s="59"/>
      <c r="B244" s="59"/>
      <c r="C244" s="59"/>
      <c r="D244" s="21"/>
      <c r="E244" s="60"/>
      <c r="F244" s="60"/>
      <c r="G244" s="156"/>
      <c r="H244" s="133"/>
      <c r="I244" s="21"/>
      <c r="J244" s="21"/>
      <c r="K244" s="21"/>
      <c r="L244" s="21"/>
      <c r="M244" s="21"/>
      <c r="N244" s="21"/>
      <c r="O244" s="21"/>
      <c r="P244" s="21"/>
      <c r="Q244" s="140">
        <f t="shared" si="15"/>
        <v>0</v>
      </c>
      <c r="R244" s="7"/>
      <c r="S244" s="5"/>
      <c r="T244" s="6"/>
      <c r="U244" s="35"/>
      <c r="V244" s="20"/>
      <c r="W244" s="129"/>
      <c r="X244" s="20"/>
      <c r="Y244" s="129"/>
      <c r="Z244" s="20"/>
      <c r="AA244" s="129"/>
      <c r="AB244" s="20"/>
      <c r="AC244" s="129"/>
      <c r="AD244" s="20"/>
      <c r="AE244" s="19"/>
      <c r="AF244" s="8"/>
      <c r="AG244" s="17"/>
      <c r="AH244" s="38"/>
      <c r="AI244" s="18"/>
      <c r="AJ244" s="131"/>
      <c r="AK244" s="131"/>
      <c r="AL244" s="131"/>
      <c r="AM244" s="21"/>
      <c r="AN244" s="21"/>
      <c r="AO244" s="21"/>
      <c r="AP244" s="21"/>
      <c r="AQ244" s="21"/>
      <c r="AR244" s="21"/>
      <c r="AS244" s="131"/>
      <c r="AT244" s="215"/>
      <c r="AU244" s="215"/>
      <c r="AV244" s="170" t="str">
        <f t="shared" si="14"/>
        <v/>
      </c>
    </row>
    <row r="245" spans="1:48" ht="15" customHeight="1" x14ac:dyDescent="0.25">
      <c r="A245" s="59"/>
      <c r="B245" s="59"/>
      <c r="C245" s="59"/>
      <c r="D245" s="21"/>
      <c r="E245" s="60"/>
      <c r="F245" s="60"/>
      <c r="G245" s="156"/>
      <c r="H245" s="133"/>
      <c r="I245" s="21"/>
      <c r="J245" s="21"/>
      <c r="K245" s="21"/>
      <c r="L245" s="21"/>
      <c r="M245" s="21"/>
      <c r="N245" s="21"/>
      <c r="O245" s="21"/>
      <c r="P245" s="21"/>
      <c r="Q245" s="140">
        <f t="shared" si="15"/>
        <v>0</v>
      </c>
      <c r="R245" s="7"/>
      <c r="S245" s="5"/>
      <c r="T245" s="6"/>
      <c r="U245" s="35"/>
      <c r="V245" s="20"/>
      <c r="W245" s="129"/>
      <c r="X245" s="20"/>
      <c r="Y245" s="129"/>
      <c r="Z245" s="20"/>
      <c r="AA245" s="129"/>
      <c r="AB245" s="20"/>
      <c r="AC245" s="129"/>
      <c r="AD245" s="20"/>
      <c r="AE245" s="19"/>
      <c r="AF245" s="8"/>
      <c r="AG245" s="17"/>
      <c r="AH245" s="38"/>
      <c r="AI245" s="18"/>
      <c r="AJ245" s="131"/>
      <c r="AK245" s="131"/>
      <c r="AL245" s="131"/>
      <c r="AM245" s="21"/>
      <c r="AN245" s="21"/>
      <c r="AO245" s="21"/>
      <c r="AP245" s="21"/>
      <c r="AQ245" s="21"/>
      <c r="AR245" s="21"/>
      <c r="AS245" s="131"/>
      <c r="AT245" s="215"/>
      <c r="AU245" s="215"/>
      <c r="AV245" s="170" t="str">
        <f t="shared" si="14"/>
        <v/>
      </c>
    </row>
    <row r="246" spans="1:48" ht="15" customHeight="1" x14ac:dyDescent="0.25">
      <c r="A246" s="59"/>
      <c r="B246" s="59"/>
      <c r="C246" s="59"/>
      <c r="D246" s="21"/>
      <c r="E246" s="60"/>
      <c r="F246" s="60"/>
      <c r="G246" s="156"/>
      <c r="H246" s="133"/>
      <c r="I246" s="21"/>
      <c r="J246" s="21"/>
      <c r="K246" s="21"/>
      <c r="L246" s="21"/>
      <c r="M246" s="21"/>
      <c r="N246" s="21"/>
      <c r="O246" s="21"/>
      <c r="P246" s="21"/>
      <c r="Q246" s="140">
        <f t="shared" si="15"/>
        <v>0</v>
      </c>
      <c r="R246" s="7"/>
      <c r="S246" s="5"/>
      <c r="T246" s="6"/>
      <c r="U246" s="35"/>
      <c r="V246" s="20"/>
      <c r="W246" s="129"/>
      <c r="X246" s="20"/>
      <c r="Y246" s="129"/>
      <c r="Z246" s="20"/>
      <c r="AA246" s="129"/>
      <c r="AB246" s="20"/>
      <c r="AC246" s="129"/>
      <c r="AD246" s="20"/>
      <c r="AE246" s="19"/>
      <c r="AF246" s="8"/>
      <c r="AG246" s="17"/>
      <c r="AH246" s="38"/>
      <c r="AI246" s="18"/>
      <c r="AJ246" s="131"/>
      <c r="AK246" s="131"/>
      <c r="AL246" s="131"/>
      <c r="AM246" s="21"/>
      <c r="AN246" s="21"/>
      <c r="AO246" s="21"/>
      <c r="AP246" s="21"/>
      <c r="AQ246" s="21"/>
      <c r="AR246" s="21"/>
      <c r="AS246" s="131"/>
      <c r="AT246" s="215"/>
      <c r="AU246" s="215"/>
      <c r="AV246" s="170" t="str">
        <f t="shared" si="14"/>
        <v/>
      </c>
    </row>
    <row r="247" spans="1:48" ht="15" customHeight="1" x14ac:dyDescent="0.25">
      <c r="A247" s="59"/>
      <c r="B247" s="59"/>
      <c r="C247" s="59"/>
      <c r="D247" s="21"/>
      <c r="E247" s="60"/>
      <c r="F247" s="60"/>
      <c r="G247" s="156"/>
      <c r="H247" s="133"/>
      <c r="I247" s="21"/>
      <c r="J247" s="21"/>
      <c r="K247" s="21"/>
      <c r="L247" s="21"/>
      <c r="M247" s="21"/>
      <c r="N247" s="21"/>
      <c r="O247" s="21"/>
      <c r="P247" s="21"/>
      <c r="Q247" s="140">
        <f t="shared" si="15"/>
        <v>0</v>
      </c>
      <c r="R247" s="7"/>
      <c r="S247" s="5"/>
      <c r="T247" s="6"/>
      <c r="U247" s="35"/>
      <c r="V247" s="20"/>
      <c r="W247" s="129"/>
      <c r="X247" s="20"/>
      <c r="Y247" s="129"/>
      <c r="Z247" s="20"/>
      <c r="AA247" s="129"/>
      <c r="AB247" s="20"/>
      <c r="AC247" s="129"/>
      <c r="AD247" s="20"/>
      <c r="AE247" s="19"/>
      <c r="AF247" s="8"/>
      <c r="AG247" s="17"/>
      <c r="AH247" s="38"/>
      <c r="AI247" s="18"/>
      <c r="AJ247" s="131"/>
      <c r="AK247" s="131"/>
      <c r="AL247" s="131"/>
      <c r="AM247" s="21"/>
      <c r="AN247" s="21"/>
      <c r="AO247" s="21"/>
      <c r="AP247" s="21"/>
      <c r="AQ247" s="21"/>
      <c r="AR247" s="21"/>
      <c r="AS247" s="131"/>
      <c r="AT247" s="215"/>
      <c r="AU247" s="215"/>
      <c r="AV247" s="170" t="str">
        <f t="shared" si="14"/>
        <v/>
      </c>
    </row>
    <row r="248" spans="1:48" ht="15" customHeight="1" x14ac:dyDescent="0.25">
      <c r="A248" s="59"/>
      <c r="B248" s="59"/>
      <c r="C248" s="59"/>
      <c r="D248" s="21"/>
      <c r="E248" s="60"/>
      <c r="F248" s="60"/>
      <c r="G248" s="156"/>
      <c r="H248" s="133"/>
      <c r="I248" s="21"/>
      <c r="J248" s="21"/>
      <c r="K248" s="21"/>
      <c r="L248" s="21"/>
      <c r="M248" s="21"/>
      <c r="N248" s="21"/>
      <c r="O248" s="21"/>
      <c r="P248" s="21"/>
      <c r="Q248" s="140">
        <f t="shared" si="15"/>
        <v>0</v>
      </c>
      <c r="R248" s="7"/>
      <c r="S248" s="5"/>
      <c r="T248" s="6"/>
      <c r="U248" s="35"/>
      <c r="V248" s="20"/>
      <c r="W248" s="129"/>
      <c r="X248" s="20"/>
      <c r="Y248" s="129"/>
      <c r="Z248" s="20"/>
      <c r="AA248" s="129"/>
      <c r="AB248" s="20"/>
      <c r="AC248" s="129"/>
      <c r="AD248" s="20"/>
      <c r="AE248" s="19"/>
      <c r="AF248" s="8"/>
      <c r="AG248" s="17"/>
      <c r="AH248" s="38"/>
      <c r="AI248" s="18"/>
      <c r="AJ248" s="131"/>
      <c r="AK248" s="131"/>
      <c r="AL248" s="131"/>
      <c r="AM248" s="21"/>
      <c r="AN248" s="21"/>
      <c r="AO248" s="21"/>
      <c r="AP248" s="21"/>
      <c r="AQ248" s="21"/>
      <c r="AR248" s="21"/>
      <c r="AS248" s="131"/>
      <c r="AT248" s="215"/>
      <c r="AU248" s="215"/>
      <c r="AV248" s="170" t="str">
        <f t="shared" si="14"/>
        <v/>
      </c>
    </row>
    <row r="249" spans="1:48" ht="15" customHeight="1" x14ac:dyDescent="0.25">
      <c r="A249" s="59"/>
      <c r="B249" s="59"/>
      <c r="C249" s="59"/>
      <c r="D249" s="21"/>
      <c r="E249" s="60"/>
      <c r="F249" s="60"/>
      <c r="G249" s="156"/>
      <c r="H249" s="133"/>
      <c r="I249" s="21"/>
      <c r="J249" s="21"/>
      <c r="K249" s="21"/>
      <c r="L249" s="21"/>
      <c r="M249" s="21"/>
      <c r="N249" s="21"/>
      <c r="O249" s="21"/>
      <c r="P249" s="21"/>
      <c r="Q249" s="140">
        <f t="shared" si="15"/>
        <v>0</v>
      </c>
      <c r="R249" s="7"/>
      <c r="S249" s="5"/>
      <c r="T249" s="6"/>
      <c r="U249" s="35"/>
      <c r="V249" s="20"/>
      <c r="W249" s="129"/>
      <c r="X249" s="20"/>
      <c r="Y249" s="129"/>
      <c r="Z249" s="20"/>
      <c r="AA249" s="129"/>
      <c r="AB249" s="20"/>
      <c r="AC249" s="129"/>
      <c r="AD249" s="20"/>
      <c r="AE249" s="19"/>
      <c r="AF249" s="8"/>
      <c r="AG249" s="17"/>
      <c r="AH249" s="38"/>
      <c r="AI249" s="18"/>
      <c r="AJ249" s="131"/>
      <c r="AK249" s="131"/>
      <c r="AL249" s="131"/>
      <c r="AM249" s="21"/>
      <c r="AN249" s="21"/>
      <c r="AO249" s="21"/>
      <c r="AP249" s="21"/>
      <c r="AQ249" s="21"/>
      <c r="AR249" s="21"/>
      <c r="AS249" s="131"/>
      <c r="AT249" s="215"/>
      <c r="AU249" s="215"/>
      <c r="AV249" s="170" t="str">
        <f t="shared" si="14"/>
        <v/>
      </c>
    </row>
    <row r="250" spans="1:48" ht="15" customHeight="1" x14ac:dyDescent="0.25">
      <c r="A250" s="59"/>
      <c r="B250" s="59"/>
      <c r="C250" s="59"/>
      <c r="D250" s="21"/>
      <c r="E250" s="60"/>
      <c r="F250" s="60"/>
      <c r="G250" s="156"/>
      <c r="H250" s="133"/>
      <c r="I250" s="21"/>
      <c r="J250" s="21"/>
      <c r="K250" s="21"/>
      <c r="L250" s="21"/>
      <c r="M250" s="21"/>
      <c r="N250" s="21"/>
      <c r="O250" s="21"/>
      <c r="P250" s="21"/>
      <c r="Q250" s="140">
        <f t="shared" si="15"/>
        <v>0</v>
      </c>
      <c r="R250" s="7"/>
      <c r="S250" s="5"/>
      <c r="T250" s="6"/>
      <c r="U250" s="35"/>
      <c r="V250" s="20"/>
      <c r="W250" s="129"/>
      <c r="X250" s="20"/>
      <c r="Y250" s="129"/>
      <c r="Z250" s="20"/>
      <c r="AA250" s="129"/>
      <c r="AB250" s="20"/>
      <c r="AC250" s="129"/>
      <c r="AD250" s="20"/>
      <c r="AE250" s="19"/>
      <c r="AF250" s="8"/>
      <c r="AG250" s="17"/>
      <c r="AH250" s="38"/>
      <c r="AI250" s="18"/>
      <c r="AJ250" s="131"/>
      <c r="AK250" s="131"/>
      <c r="AL250" s="131"/>
      <c r="AM250" s="21"/>
      <c r="AN250" s="21"/>
      <c r="AO250" s="21"/>
      <c r="AP250" s="21"/>
      <c r="AQ250" s="21"/>
      <c r="AR250" s="21"/>
      <c r="AS250" s="131"/>
      <c r="AT250" s="215"/>
      <c r="AU250" s="215"/>
      <c r="AV250" s="170" t="str">
        <f t="shared" si="14"/>
        <v/>
      </c>
    </row>
    <row r="251" spans="1:48" ht="15" customHeight="1" x14ac:dyDescent="0.25">
      <c r="A251" s="59"/>
      <c r="B251" s="59"/>
      <c r="C251" s="59"/>
      <c r="D251" s="21"/>
      <c r="E251" s="60"/>
      <c r="F251" s="60"/>
      <c r="G251" s="156"/>
      <c r="H251" s="133"/>
      <c r="I251" s="21"/>
      <c r="J251" s="21"/>
      <c r="K251" s="21"/>
      <c r="L251" s="21"/>
      <c r="M251" s="21"/>
      <c r="N251" s="21"/>
      <c r="O251" s="21"/>
      <c r="P251" s="21"/>
      <c r="Q251" s="140">
        <f t="shared" si="15"/>
        <v>0</v>
      </c>
      <c r="R251" s="7"/>
      <c r="S251" s="5"/>
      <c r="T251" s="6"/>
      <c r="U251" s="35"/>
      <c r="V251" s="20"/>
      <c r="W251" s="129"/>
      <c r="X251" s="20"/>
      <c r="Y251" s="129"/>
      <c r="Z251" s="20"/>
      <c r="AA251" s="129"/>
      <c r="AB251" s="20"/>
      <c r="AC251" s="129"/>
      <c r="AD251" s="20"/>
      <c r="AE251" s="19"/>
      <c r="AF251" s="8"/>
      <c r="AG251" s="17"/>
      <c r="AH251" s="38"/>
      <c r="AI251" s="18"/>
      <c r="AJ251" s="131"/>
      <c r="AK251" s="131"/>
      <c r="AL251" s="131"/>
      <c r="AM251" s="21"/>
      <c r="AN251" s="21"/>
      <c r="AO251" s="21"/>
      <c r="AP251" s="21"/>
      <c r="AQ251" s="21"/>
      <c r="AR251" s="21"/>
      <c r="AS251" s="131"/>
      <c r="AT251" s="215"/>
      <c r="AU251" s="215"/>
      <c r="AV251" s="170" t="str">
        <f t="shared" si="14"/>
        <v/>
      </c>
    </row>
    <row r="252" spans="1:48" ht="15" customHeight="1" x14ac:dyDescent="0.25">
      <c r="A252" s="59"/>
      <c r="B252" s="59"/>
      <c r="C252" s="59"/>
      <c r="D252" s="21"/>
      <c r="E252" s="60"/>
      <c r="F252" s="60"/>
      <c r="G252" s="156"/>
      <c r="H252" s="133"/>
      <c r="I252" s="21"/>
      <c r="J252" s="21"/>
      <c r="K252" s="21"/>
      <c r="L252" s="21"/>
      <c r="M252" s="21"/>
      <c r="N252" s="21"/>
      <c r="O252" s="21"/>
      <c r="P252" s="21"/>
      <c r="Q252" s="140">
        <f t="shared" si="15"/>
        <v>0</v>
      </c>
      <c r="R252" s="7"/>
      <c r="S252" s="5"/>
      <c r="T252" s="6"/>
      <c r="U252" s="35"/>
      <c r="V252" s="20"/>
      <c r="W252" s="129"/>
      <c r="X252" s="20"/>
      <c r="Y252" s="129"/>
      <c r="Z252" s="20"/>
      <c r="AA252" s="129"/>
      <c r="AB252" s="20"/>
      <c r="AC252" s="129"/>
      <c r="AD252" s="20"/>
      <c r="AE252" s="19"/>
      <c r="AF252" s="8"/>
      <c r="AG252" s="17"/>
      <c r="AH252" s="38"/>
      <c r="AI252" s="18"/>
      <c r="AJ252" s="131"/>
      <c r="AK252" s="131"/>
      <c r="AL252" s="131"/>
      <c r="AM252" s="21"/>
      <c r="AN252" s="21"/>
      <c r="AO252" s="21"/>
      <c r="AP252" s="21"/>
      <c r="AQ252" s="21"/>
      <c r="AR252" s="21"/>
      <c r="AS252" s="131"/>
      <c r="AT252" s="215"/>
      <c r="AU252" s="215"/>
      <c r="AV252" s="170" t="str">
        <f t="shared" si="14"/>
        <v/>
      </c>
    </row>
    <row r="253" spans="1:48" ht="15" customHeight="1" x14ac:dyDescent="0.25">
      <c r="A253" s="59"/>
      <c r="B253" s="59"/>
      <c r="C253" s="59"/>
      <c r="D253" s="21"/>
      <c r="E253" s="60"/>
      <c r="F253" s="60"/>
      <c r="G253" s="156"/>
      <c r="H253" s="133"/>
      <c r="I253" s="21"/>
      <c r="J253" s="21"/>
      <c r="K253" s="21"/>
      <c r="L253" s="21"/>
      <c r="M253" s="21"/>
      <c r="N253" s="21"/>
      <c r="O253" s="21"/>
      <c r="P253" s="21"/>
      <c r="Q253" s="140">
        <f t="shared" si="15"/>
        <v>0</v>
      </c>
      <c r="R253" s="7"/>
      <c r="S253" s="5"/>
      <c r="T253" s="6"/>
      <c r="U253" s="35"/>
      <c r="V253" s="20"/>
      <c r="W253" s="129"/>
      <c r="X253" s="20"/>
      <c r="Y253" s="129"/>
      <c r="Z253" s="20"/>
      <c r="AA253" s="129"/>
      <c r="AB253" s="20"/>
      <c r="AC253" s="129"/>
      <c r="AD253" s="20"/>
      <c r="AE253" s="19"/>
      <c r="AF253" s="8"/>
      <c r="AG253" s="17"/>
      <c r="AH253" s="38"/>
      <c r="AI253" s="18"/>
      <c r="AJ253" s="131"/>
      <c r="AK253" s="131"/>
      <c r="AL253" s="131"/>
      <c r="AM253" s="21"/>
      <c r="AN253" s="21"/>
      <c r="AO253" s="21"/>
      <c r="AP253" s="21"/>
      <c r="AQ253" s="21"/>
      <c r="AR253" s="21"/>
      <c r="AS253" s="131"/>
      <c r="AT253" s="215"/>
      <c r="AU253" s="215"/>
      <c r="AV253" s="170" t="str">
        <f t="shared" si="14"/>
        <v/>
      </c>
    </row>
    <row r="254" spans="1:48" ht="15" customHeight="1" x14ac:dyDescent="0.25">
      <c r="A254" s="59"/>
      <c r="B254" s="59"/>
      <c r="C254" s="59"/>
      <c r="D254" s="21"/>
      <c r="E254" s="60"/>
      <c r="F254" s="60"/>
      <c r="G254" s="156"/>
      <c r="H254" s="133"/>
      <c r="I254" s="21"/>
      <c r="J254" s="21"/>
      <c r="K254" s="21"/>
      <c r="L254" s="21"/>
      <c r="M254" s="21"/>
      <c r="N254" s="21"/>
      <c r="O254" s="21"/>
      <c r="P254" s="21"/>
      <c r="Q254" s="140">
        <f t="shared" si="15"/>
        <v>0</v>
      </c>
      <c r="R254" s="7"/>
      <c r="S254" s="5"/>
      <c r="T254" s="6"/>
      <c r="U254" s="35"/>
      <c r="V254" s="20"/>
      <c r="W254" s="129"/>
      <c r="X254" s="20"/>
      <c r="Y254" s="129"/>
      <c r="Z254" s="20"/>
      <c r="AA254" s="129"/>
      <c r="AB254" s="20"/>
      <c r="AC254" s="129"/>
      <c r="AD254" s="20"/>
      <c r="AE254" s="19"/>
      <c r="AF254" s="8"/>
      <c r="AG254" s="17"/>
      <c r="AH254" s="38"/>
      <c r="AI254" s="18"/>
      <c r="AJ254" s="131"/>
      <c r="AK254" s="131"/>
      <c r="AL254" s="131"/>
      <c r="AM254" s="21"/>
      <c r="AN254" s="21"/>
      <c r="AO254" s="21"/>
      <c r="AP254" s="21"/>
      <c r="AQ254" s="21"/>
      <c r="AR254" s="21"/>
      <c r="AS254" s="131"/>
      <c r="AT254" s="215"/>
      <c r="AU254" s="215"/>
      <c r="AV254" s="170" t="str">
        <f t="shared" si="14"/>
        <v/>
      </c>
    </row>
    <row r="255" spans="1:48" ht="15" customHeight="1" x14ac:dyDescent="0.25">
      <c r="A255" s="59"/>
      <c r="B255" s="59"/>
      <c r="C255" s="59"/>
      <c r="D255" s="21"/>
      <c r="E255" s="60"/>
      <c r="F255" s="60"/>
      <c r="G255" s="156"/>
      <c r="H255" s="133"/>
      <c r="I255" s="21"/>
      <c r="J255" s="21"/>
      <c r="K255" s="21"/>
      <c r="L255" s="21"/>
      <c r="M255" s="21"/>
      <c r="N255" s="21"/>
      <c r="O255" s="21"/>
      <c r="P255" s="21"/>
      <c r="Q255" s="140">
        <f t="shared" si="15"/>
        <v>0</v>
      </c>
      <c r="R255" s="7"/>
      <c r="S255" s="5"/>
      <c r="T255" s="6"/>
      <c r="U255" s="35"/>
      <c r="V255" s="20"/>
      <c r="W255" s="129"/>
      <c r="X255" s="20"/>
      <c r="Y255" s="129"/>
      <c r="Z255" s="20"/>
      <c r="AA255" s="129"/>
      <c r="AB255" s="20"/>
      <c r="AC255" s="129"/>
      <c r="AD255" s="20"/>
      <c r="AE255" s="19"/>
      <c r="AF255" s="8"/>
      <c r="AG255" s="17"/>
      <c r="AH255" s="38"/>
      <c r="AI255" s="18"/>
      <c r="AJ255" s="131"/>
      <c r="AK255" s="131"/>
      <c r="AL255" s="131"/>
      <c r="AM255" s="21"/>
      <c r="AN255" s="21"/>
      <c r="AO255" s="21"/>
      <c r="AP255" s="21"/>
      <c r="AQ255" s="21"/>
      <c r="AR255" s="21"/>
      <c r="AS255" s="131"/>
      <c r="AT255" s="215"/>
      <c r="AU255" s="215"/>
      <c r="AV255" s="170" t="str">
        <f t="shared" si="14"/>
        <v/>
      </c>
    </row>
    <row r="256" spans="1:48" ht="15" customHeight="1" x14ac:dyDescent="0.25">
      <c r="A256" s="59"/>
      <c r="B256" s="59"/>
      <c r="C256" s="59"/>
      <c r="D256" s="21"/>
      <c r="E256" s="60"/>
      <c r="F256" s="60"/>
      <c r="G256" s="156"/>
      <c r="H256" s="133"/>
      <c r="I256" s="21"/>
      <c r="J256" s="21"/>
      <c r="K256" s="21"/>
      <c r="L256" s="21"/>
      <c r="M256" s="21"/>
      <c r="N256" s="21"/>
      <c r="O256" s="21"/>
      <c r="P256" s="21"/>
      <c r="Q256" s="140">
        <f t="shared" si="15"/>
        <v>0</v>
      </c>
      <c r="R256" s="7"/>
      <c r="S256" s="5"/>
      <c r="T256" s="6"/>
      <c r="U256" s="35"/>
      <c r="V256" s="20"/>
      <c r="W256" s="129"/>
      <c r="X256" s="20"/>
      <c r="Y256" s="129"/>
      <c r="Z256" s="20"/>
      <c r="AA256" s="129"/>
      <c r="AB256" s="20"/>
      <c r="AC256" s="129"/>
      <c r="AD256" s="20"/>
      <c r="AE256" s="19"/>
      <c r="AF256" s="8"/>
      <c r="AG256" s="17"/>
      <c r="AH256" s="38"/>
      <c r="AI256" s="18"/>
      <c r="AJ256" s="131"/>
      <c r="AK256" s="131"/>
      <c r="AL256" s="131"/>
      <c r="AM256" s="21"/>
      <c r="AN256" s="21"/>
      <c r="AO256" s="21"/>
      <c r="AP256" s="21"/>
      <c r="AQ256" s="21"/>
      <c r="AR256" s="21"/>
      <c r="AS256" s="131"/>
      <c r="AT256" s="215"/>
      <c r="AU256" s="215"/>
      <c r="AV256" s="170" t="str">
        <f t="shared" si="14"/>
        <v/>
      </c>
    </row>
    <row r="257" spans="1:48" ht="15" customHeight="1" x14ac:dyDescent="0.25">
      <c r="A257" s="59"/>
      <c r="B257" s="59"/>
      <c r="C257" s="59"/>
      <c r="D257" s="21"/>
      <c r="E257" s="60"/>
      <c r="F257" s="60"/>
      <c r="G257" s="156"/>
      <c r="H257" s="133"/>
      <c r="I257" s="21"/>
      <c r="J257" s="21"/>
      <c r="K257" s="21"/>
      <c r="L257" s="21"/>
      <c r="M257" s="21"/>
      <c r="N257" s="21"/>
      <c r="O257" s="21"/>
      <c r="P257" s="21"/>
      <c r="Q257" s="140">
        <f t="shared" si="15"/>
        <v>0</v>
      </c>
      <c r="R257" s="7"/>
      <c r="S257" s="5"/>
      <c r="T257" s="6"/>
      <c r="U257" s="35"/>
      <c r="V257" s="20"/>
      <c r="W257" s="129"/>
      <c r="X257" s="20"/>
      <c r="Y257" s="129"/>
      <c r="Z257" s="20"/>
      <c r="AA257" s="129"/>
      <c r="AB257" s="20"/>
      <c r="AC257" s="129"/>
      <c r="AD257" s="20"/>
      <c r="AE257" s="19"/>
      <c r="AF257" s="8"/>
      <c r="AG257" s="17"/>
      <c r="AH257" s="38"/>
      <c r="AI257" s="18"/>
      <c r="AJ257" s="131"/>
      <c r="AK257" s="131"/>
      <c r="AL257" s="131"/>
      <c r="AM257" s="21"/>
      <c r="AN257" s="21"/>
      <c r="AO257" s="21"/>
      <c r="AP257" s="21"/>
      <c r="AQ257" s="21"/>
      <c r="AR257" s="21"/>
      <c r="AS257" s="131"/>
      <c r="AT257" s="215"/>
      <c r="AU257" s="215"/>
      <c r="AV257" s="170" t="str">
        <f t="shared" si="14"/>
        <v/>
      </c>
    </row>
    <row r="258" spans="1:48" ht="15" customHeight="1" x14ac:dyDescent="0.25">
      <c r="A258" s="59"/>
      <c r="B258" s="59"/>
      <c r="C258" s="59"/>
      <c r="D258" s="21"/>
      <c r="E258" s="60"/>
      <c r="F258" s="60"/>
      <c r="G258" s="156"/>
      <c r="H258" s="133"/>
      <c r="I258" s="21"/>
      <c r="J258" s="21"/>
      <c r="K258" s="21"/>
      <c r="L258" s="21"/>
      <c r="M258" s="21"/>
      <c r="N258" s="21"/>
      <c r="O258" s="21"/>
      <c r="P258" s="21"/>
      <c r="Q258" s="140">
        <f t="shared" si="15"/>
        <v>0</v>
      </c>
      <c r="R258" s="7"/>
      <c r="S258" s="5"/>
      <c r="T258" s="6"/>
      <c r="U258" s="35"/>
      <c r="V258" s="20"/>
      <c r="W258" s="129"/>
      <c r="X258" s="20"/>
      <c r="Y258" s="129"/>
      <c r="Z258" s="20"/>
      <c r="AA258" s="129"/>
      <c r="AB258" s="20"/>
      <c r="AC258" s="129"/>
      <c r="AD258" s="20"/>
      <c r="AE258" s="19"/>
      <c r="AF258" s="8"/>
      <c r="AG258" s="17"/>
      <c r="AH258" s="38"/>
      <c r="AI258" s="18"/>
      <c r="AJ258" s="131"/>
      <c r="AK258" s="131"/>
      <c r="AL258" s="131"/>
      <c r="AM258" s="21"/>
      <c r="AN258" s="21"/>
      <c r="AO258" s="21"/>
      <c r="AP258" s="21"/>
      <c r="AQ258" s="21"/>
      <c r="AR258" s="21"/>
      <c r="AS258" s="131"/>
      <c r="AT258" s="215"/>
      <c r="AU258" s="215"/>
      <c r="AV258" s="170" t="str">
        <f t="shared" si="14"/>
        <v/>
      </c>
    </row>
    <row r="259" spans="1:48" ht="15" customHeight="1" x14ac:dyDescent="0.25">
      <c r="A259" s="59"/>
      <c r="B259" s="59"/>
      <c r="C259" s="59"/>
      <c r="D259" s="21"/>
      <c r="E259" s="60"/>
      <c r="F259" s="60"/>
      <c r="G259" s="156"/>
      <c r="H259" s="133"/>
      <c r="I259" s="21"/>
      <c r="J259" s="21"/>
      <c r="K259" s="21"/>
      <c r="L259" s="21"/>
      <c r="M259" s="21"/>
      <c r="N259" s="21"/>
      <c r="O259" s="21"/>
      <c r="P259" s="21"/>
      <c r="Q259" s="140">
        <f t="shared" si="15"/>
        <v>0</v>
      </c>
      <c r="R259" s="7"/>
      <c r="S259" s="5"/>
      <c r="T259" s="6"/>
      <c r="U259" s="35"/>
      <c r="V259" s="20"/>
      <c r="W259" s="129"/>
      <c r="X259" s="20"/>
      <c r="Y259" s="129"/>
      <c r="Z259" s="20"/>
      <c r="AA259" s="129"/>
      <c r="AB259" s="20"/>
      <c r="AC259" s="129"/>
      <c r="AD259" s="20"/>
      <c r="AE259" s="19"/>
      <c r="AF259" s="8"/>
      <c r="AG259" s="17"/>
      <c r="AH259" s="38"/>
      <c r="AI259" s="18"/>
      <c r="AJ259" s="131"/>
      <c r="AK259" s="131"/>
      <c r="AL259" s="131"/>
      <c r="AM259" s="21"/>
      <c r="AN259" s="21"/>
      <c r="AO259" s="21"/>
      <c r="AP259" s="21"/>
      <c r="AQ259" s="21"/>
      <c r="AR259" s="21"/>
      <c r="AS259" s="131"/>
      <c r="AT259" s="215"/>
      <c r="AU259" s="215"/>
      <c r="AV259" s="170" t="str">
        <f t="shared" si="14"/>
        <v/>
      </c>
    </row>
    <row r="260" spans="1:48" ht="15" customHeight="1" x14ac:dyDescent="0.25">
      <c r="A260" s="59"/>
      <c r="B260" s="59"/>
      <c r="C260" s="59"/>
      <c r="D260" s="21"/>
      <c r="E260" s="60"/>
      <c r="F260" s="60"/>
      <c r="G260" s="156"/>
      <c r="H260" s="133"/>
      <c r="I260" s="21"/>
      <c r="J260" s="21"/>
      <c r="K260" s="21"/>
      <c r="L260" s="21"/>
      <c r="M260" s="21"/>
      <c r="N260" s="21"/>
      <c r="O260" s="21"/>
      <c r="P260" s="21"/>
      <c r="Q260" s="140">
        <f t="shared" si="15"/>
        <v>0</v>
      </c>
      <c r="R260" s="7"/>
      <c r="S260" s="5"/>
      <c r="T260" s="6"/>
      <c r="U260" s="35"/>
      <c r="V260" s="20"/>
      <c r="W260" s="129"/>
      <c r="X260" s="20"/>
      <c r="Y260" s="129"/>
      <c r="Z260" s="20"/>
      <c r="AA260" s="129"/>
      <c r="AB260" s="20"/>
      <c r="AC260" s="129"/>
      <c r="AD260" s="20"/>
      <c r="AE260" s="19"/>
      <c r="AF260" s="8"/>
      <c r="AG260" s="17"/>
      <c r="AH260" s="38"/>
      <c r="AI260" s="18"/>
      <c r="AJ260" s="131"/>
      <c r="AK260" s="131"/>
      <c r="AL260" s="131"/>
      <c r="AM260" s="21"/>
      <c r="AN260" s="21"/>
      <c r="AO260" s="21"/>
      <c r="AP260" s="21"/>
      <c r="AQ260" s="21"/>
      <c r="AR260" s="21"/>
      <c r="AS260" s="131"/>
      <c r="AT260" s="215"/>
      <c r="AU260" s="215"/>
      <c r="AV260" s="170" t="str">
        <f t="shared" si="14"/>
        <v/>
      </c>
    </row>
    <row r="261" spans="1:48" ht="15" customHeight="1" x14ac:dyDescent="0.25">
      <c r="A261" s="59"/>
      <c r="B261" s="59"/>
      <c r="C261" s="59"/>
      <c r="D261" s="21"/>
      <c r="E261" s="60"/>
      <c r="F261" s="60"/>
      <c r="G261" s="156"/>
      <c r="H261" s="133"/>
      <c r="I261" s="21"/>
      <c r="J261" s="21"/>
      <c r="K261" s="21"/>
      <c r="L261" s="21"/>
      <c r="M261" s="21"/>
      <c r="N261" s="21"/>
      <c r="O261" s="21"/>
      <c r="P261" s="21"/>
      <c r="Q261" s="140">
        <f t="shared" si="15"/>
        <v>0</v>
      </c>
      <c r="R261" s="7"/>
      <c r="S261" s="5"/>
      <c r="T261" s="6"/>
      <c r="U261" s="35"/>
      <c r="V261" s="20"/>
      <c r="W261" s="129"/>
      <c r="X261" s="20"/>
      <c r="Y261" s="129"/>
      <c r="Z261" s="20"/>
      <c r="AA261" s="129"/>
      <c r="AB261" s="20"/>
      <c r="AC261" s="129"/>
      <c r="AD261" s="20"/>
      <c r="AE261" s="19"/>
      <c r="AF261" s="8"/>
      <c r="AG261" s="17"/>
      <c r="AH261" s="38"/>
      <c r="AI261" s="18"/>
      <c r="AJ261" s="131"/>
      <c r="AK261" s="131"/>
      <c r="AL261" s="131"/>
      <c r="AM261" s="21"/>
      <c r="AN261" s="21"/>
      <c r="AO261" s="21"/>
      <c r="AP261" s="21"/>
      <c r="AQ261" s="21"/>
      <c r="AR261" s="21"/>
      <c r="AS261" s="131"/>
      <c r="AT261" s="215"/>
      <c r="AU261" s="215"/>
      <c r="AV261" s="170" t="str">
        <f t="shared" si="14"/>
        <v/>
      </c>
    </row>
    <row r="262" spans="1:48" ht="15" customHeight="1" x14ac:dyDescent="0.25">
      <c r="A262" s="59"/>
      <c r="B262" s="59"/>
      <c r="C262" s="59"/>
      <c r="D262" s="21"/>
      <c r="E262" s="60"/>
      <c r="F262" s="60"/>
      <c r="G262" s="156"/>
      <c r="H262" s="133"/>
      <c r="I262" s="21"/>
      <c r="J262" s="21"/>
      <c r="K262" s="21"/>
      <c r="L262" s="21"/>
      <c r="M262" s="21"/>
      <c r="N262" s="21"/>
      <c r="O262" s="21"/>
      <c r="P262" s="21"/>
      <c r="Q262" s="140">
        <f t="shared" si="15"/>
        <v>0</v>
      </c>
      <c r="R262" s="7"/>
      <c r="S262" s="5"/>
      <c r="T262" s="6"/>
      <c r="U262" s="35"/>
      <c r="V262" s="20"/>
      <c r="W262" s="129"/>
      <c r="X262" s="20"/>
      <c r="Y262" s="129"/>
      <c r="Z262" s="20"/>
      <c r="AA262" s="129"/>
      <c r="AB262" s="20"/>
      <c r="AC262" s="129"/>
      <c r="AD262" s="20"/>
      <c r="AE262" s="19"/>
      <c r="AF262" s="8"/>
      <c r="AG262" s="17"/>
      <c r="AH262" s="38"/>
      <c r="AI262" s="18"/>
      <c r="AJ262" s="131"/>
      <c r="AK262" s="131"/>
      <c r="AL262" s="131"/>
      <c r="AM262" s="21"/>
      <c r="AN262" s="21"/>
      <c r="AO262" s="21"/>
      <c r="AP262" s="21"/>
      <c r="AQ262" s="21"/>
      <c r="AR262" s="21"/>
      <c r="AS262" s="131"/>
      <c r="AT262" s="215"/>
      <c r="AU262" s="215"/>
      <c r="AV262" s="170" t="str">
        <f t="shared" si="14"/>
        <v/>
      </c>
    </row>
    <row r="263" spans="1:48" ht="15" customHeight="1" x14ac:dyDescent="0.25">
      <c r="A263" s="59"/>
      <c r="B263" s="59"/>
      <c r="C263" s="59"/>
      <c r="D263" s="21"/>
      <c r="E263" s="60"/>
      <c r="F263" s="60"/>
      <c r="G263" s="156"/>
      <c r="H263" s="133"/>
      <c r="I263" s="21"/>
      <c r="J263" s="21"/>
      <c r="K263" s="21"/>
      <c r="L263" s="21"/>
      <c r="M263" s="21"/>
      <c r="N263" s="21"/>
      <c r="O263" s="21"/>
      <c r="P263" s="21"/>
      <c r="Q263" s="140">
        <f t="shared" si="15"/>
        <v>0</v>
      </c>
      <c r="R263" s="7"/>
      <c r="S263" s="5"/>
      <c r="T263" s="6"/>
      <c r="U263" s="35"/>
      <c r="V263" s="20"/>
      <c r="W263" s="129"/>
      <c r="X263" s="20"/>
      <c r="Y263" s="129"/>
      <c r="Z263" s="20"/>
      <c r="AA263" s="129"/>
      <c r="AB263" s="20"/>
      <c r="AC263" s="129"/>
      <c r="AD263" s="20"/>
      <c r="AE263" s="19"/>
      <c r="AF263" s="8"/>
      <c r="AG263" s="17"/>
      <c r="AH263" s="38"/>
      <c r="AI263" s="18"/>
      <c r="AJ263" s="131"/>
      <c r="AK263" s="131"/>
      <c r="AL263" s="131"/>
      <c r="AM263" s="21"/>
      <c r="AN263" s="21"/>
      <c r="AO263" s="21"/>
      <c r="AP263" s="21"/>
      <c r="AQ263" s="21"/>
      <c r="AR263" s="21"/>
      <c r="AS263" s="131"/>
      <c r="AT263" s="215"/>
      <c r="AU263" s="215"/>
      <c r="AV263" s="170" t="str">
        <f t="shared" si="14"/>
        <v/>
      </c>
    </row>
    <row r="264" spans="1:48" ht="15" customHeight="1" x14ac:dyDescent="0.25">
      <c r="A264" s="59"/>
      <c r="B264" s="59"/>
      <c r="C264" s="59"/>
      <c r="D264" s="21"/>
      <c r="E264" s="60"/>
      <c r="F264" s="60"/>
      <c r="G264" s="156"/>
      <c r="H264" s="133"/>
      <c r="I264" s="21"/>
      <c r="J264" s="21"/>
      <c r="K264" s="21"/>
      <c r="L264" s="21"/>
      <c r="M264" s="21"/>
      <c r="N264" s="21"/>
      <c r="O264" s="21"/>
      <c r="P264" s="21"/>
      <c r="Q264" s="140">
        <f t="shared" si="15"/>
        <v>0</v>
      </c>
      <c r="R264" s="7"/>
      <c r="S264" s="5"/>
      <c r="T264" s="6"/>
      <c r="U264" s="35"/>
      <c r="V264" s="20"/>
      <c r="W264" s="129"/>
      <c r="X264" s="20"/>
      <c r="Y264" s="129"/>
      <c r="Z264" s="20"/>
      <c r="AA264" s="129"/>
      <c r="AB264" s="20"/>
      <c r="AC264" s="129"/>
      <c r="AD264" s="20"/>
      <c r="AE264" s="19"/>
      <c r="AF264" s="8"/>
      <c r="AG264" s="17"/>
      <c r="AH264" s="38"/>
      <c r="AI264" s="18"/>
      <c r="AJ264" s="131"/>
      <c r="AK264" s="131"/>
      <c r="AL264" s="131"/>
      <c r="AM264" s="21"/>
      <c r="AN264" s="21"/>
      <c r="AO264" s="21"/>
      <c r="AP264" s="21"/>
      <c r="AQ264" s="21"/>
      <c r="AR264" s="21"/>
      <c r="AS264" s="131"/>
      <c r="AT264" s="215"/>
      <c r="AU264" s="215"/>
      <c r="AV264" s="170" t="str">
        <f t="shared" ref="AV264:AV265" si="16">IF(Q264&gt;4999.9,"G",IF(Q264&gt;999.9,"F",IF(Q264&gt;299.9,"E",IF(Q264&gt;99.9,"D",IF(Q264&gt;9.9,"C",IF(Q264&gt;0.25,"B",IF(Q264&gt;0,"A","")))))))</f>
        <v/>
      </c>
    </row>
    <row r="265" spans="1:48" ht="15" customHeight="1" x14ac:dyDescent="0.25">
      <c r="A265" s="59"/>
      <c r="B265" s="76"/>
      <c r="C265" s="59"/>
      <c r="D265" s="21"/>
      <c r="E265" s="60"/>
      <c r="F265" s="60"/>
      <c r="G265" s="156"/>
      <c r="H265" s="133" t="s">
        <v>98</v>
      </c>
      <c r="I265" s="21"/>
      <c r="J265" s="21"/>
      <c r="K265" s="21"/>
      <c r="L265" s="21"/>
      <c r="M265" s="21"/>
      <c r="N265" s="21"/>
      <c r="O265" s="21"/>
      <c r="P265" s="21"/>
      <c r="Q265" s="140">
        <f t="shared" ref="Q265" si="17">SUM(R265:AI265)</f>
        <v>0</v>
      </c>
      <c r="R265" s="7"/>
      <c r="S265" s="5"/>
      <c r="T265" s="6"/>
      <c r="U265" s="4"/>
      <c r="V265" s="20"/>
      <c r="W265" s="129"/>
      <c r="X265" s="20"/>
      <c r="Y265" s="129"/>
      <c r="Z265" s="20"/>
      <c r="AA265" s="129"/>
      <c r="AB265" s="20"/>
      <c r="AC265" s="129"/>
      <c r="AD265" s="20"/>
      <c r="AE265" s="19"/>
      <c r="AF265" s="8"/>
      <c r="AG265" s="17"/>
      <c r="AH265" s="38"/>
      <c r="AI265" s="18"/>
      <c r="AJ265" s="131"/>
      <c r="AK265" s="131"/>
      <c r="AL265" s="131"/>
      <c r="AM265" s="21"/>
      <c r="AN265" s="21"/>
      <c r="AO265" s="21"/>
      <c r="AP265" s="21"/>
      <c r="AQ265" s="21"/>
      <c r="AR265" s="21"/>
      <c r="AS265" s="131"/>
      <c r="AT265" s="215"/>
      <c r="AU265" s="215"/>
      <c r="AV265" s="170" t="str">
        <f t="shared" si="16"/>
        <v/>
      </c>
    </row>
    <row r="266" spans="1:48" ht="15" customHeight="1" x14ac:dyDescent="0.25">
      <c r="A266" s="76" t="s">
        <v>5</v>
      </c>
      <c r="B266" s="76"/>
      <c r="C266" s="76"/>
      <c r="D266" s="76"/>
      <c r="H266" s="62" t="s">
        <v>5</v>
      </c>
      <c r="K266" s="62" t="s">
        <v>5</v>
      </c>
    </row>
    <row r="267" spans="1:48" ht="15" customHeight="1" x14ac:dyDescent="0.25">
      <c r="A267" s="76"/>
      <c r="B267" s="76"/>
      <c r="C267" s="76"/>
      <c r="D267" s="76"/>
    </row>
    <row r="268" spans="1:48" ht="15" customHeight="1" x14ac:dyDescent="0.25">
      <c r="A268" s="76"/>
      <c r="B268" s="76"/>
      <c r="C268" s="76"/>
      <c r="D268" s="76"/>
    </row>
    <row r="269" spans="1:48" ht="15" customHeight="1" x14ac:dyDescent="0.25">
      <c r="A269" s="76"/>
      <c r="B269" s="76"/>
      <c r="C269" s="76"/>
      <c r="D269" s="76"/>
    </row>
    <row r="270" spans="1:48" ht="15" customHeight="1" x14ac:dyDescent="0.25">
      <c r="A270" s="76"/>
      <c r="B270" s="76"/>
      <c r="C270" s="76"/>
      <c r="D270" s="76"/>
    </row>
    <row r="271" spans="1:48" ht="15" customHeight="1" x14ac:dyDescent="0.25">
      <c r="A271" s="76"/>
      <c r="B271" s="76"/>
      <c r="C271" s="76"/>
      <c r="D271" s="76"/>
    </row>
    <row r="272" spans="1:48" ht="15" customHeight="1" x14ac:dyDescent="0.25">
      <c r="A272" s="76"/>
      <c r="B272" s="76"/>
      <c r="C272" s="76"/>
      <c r="D272" s="76"/>
    </row>
    <row r="273" spans="1:4" ht="15" customHeight="1" x14ac:dyDescent="0.25">
      <c r="A273" s="76"/>
      <c r="B273" s="76"/>
      <c r="C273" s="76"/>
      <c r="D273" s="76"/>
    </row>
    <row r="274" spans="1:4" ht="15" customHeight="1" x14ac:dyDescent="0.25">
      <c r="A274" s="76"/>
      <c r="B274" s="76"/>
      <c r="C274" s="76"/>
      <c r="D274" s="76"/>
    </row>
    <row r="275" spans="1:4" ht="15" customHeight="1" x14ac:dyDescent="0.25">
      <c r="A275" s="76"/>
      <c r="B275" s="76"/>
      <c r="C275" s="76"/>
      <c r="D275" s="76"/>
    </row>
    <row r="276" spans="1:4" ht="15" customHeight="1" x14ac:dyDescent="0.25">
      <c r="A276" s="76"/>
      <c r="B276" s="76"/>
      <c r="C276" s="76"/>
      <c r="D276" s="76"/>
    </row>
    <row r="277" spans="1:4" ht="15" customHeight="1" x14ac:dyDescent="0.25">
      <c r="A277" s="76"/>
      <c r="B277" s="76"/>
      <c r="C277" s="76"/>
      <c r="D277" s="76"/>
    </row>
    <row r="278" spans="1:4" ht="15" customHeight="1" x14ac:dyDescent="0.25">
      <c r="A278" s="76"/>
      <c r="B278" s="76"/>
      <c r="C278" s="76"/>
      <c r="D278" s="76"/>
    </row>
    <row r="279" spans="1:4" ht="15" customHeight="1" x14ac:dyDescent="0.25">
      <c r="A279" s="76"/>
      <c r="B279" s="76"/>
      <c r="C279" s="76"/>
      <c r="D279" s="76"/>
    </row>
    <row r="280" spans="1:4" ht="15" customHeight="1" x14ac:dyDescent="0.25">
      <c r="A280" s="76"/>
      <c r="B280" s="76"/>
      <c r="C280" s="76"/>
      <c r="D280" s="76"/>
    </row>
    <row r="281" spans="1:4" ht="15" customHeight="1" x14ac:dyDescent="0.25">
      <c r="A281" s="76"/>
      <c r="B281" s="76"/>
      <c r="C281" s="76"/>
      <c r="D281" s="76"/>
    </row>
    <row r="282" spans="1:4" ht="15" customHeight="1" x14ac:dyDescent="0.25">
      <c r="A282" s="76"/>
      <c r="B282" s="76"/>
      <c r="C282" s="76"/>
      <c r="D282" s="76"/>
    </row>
    <row r="283" spans="1:4" ht="15" customHeight="1" x14ac:dyDescent="0.25">
      <c r="A283" s="76"/>
      <c r="B283" s="76"/>
      <c r="C283" s="76"/>
      <c r="D283" s="76"/>
    </row>
    <row r="284" spans="1:4" ht="15" customHeight="1" x14ac:dyDescent="0.25">
      <c r="A284" s="76"/>
      <c r="B284" s="76"/>
      <c r="C284" s="76"/>
      <c r="D284" s="76"/>
    </row>
    <row r="285" spans="1:4" ht="15" customHeight="1" x14ac:dyDescent="0.25">
      <c r="A285" s="76"/>
      <c r="B285" s="76"/>
      <c r="C285" s="76"/>
      <c r="D285" s="76"/>
    </row>
    <row r="286" spans="1:4" ht="15" customHeight="1" x14ac:dyDescent="0.25">
      <c r="A286" s="76"/>
      <c r="B286" s="76"/>
      <c r="C286" s="76"/>
      <c r="D286" s="76"/>
    </row>
    <row r="287" spans="1:4" ht="15" customHeight="1" x14ac:dyDescent="0.25">
      <c r="A287" s="76"/>
      <c r="B287" s="76"/>
      <c r="C287" s="76"/>
      <c r="D287" s="76"/>
    </row>
    <row r="288" spans="1:4" ht="15" customHeight="1" x14ac:dyDescent="0.25">
      <c r="A288" s="76"/>
      <c r="B288" s="76"/>
      <c r="C288" s="76"/>
      <c r="D288" s="76"/>
    </row>
    <row r="289" spans="1:4" ht="15" customHeight="1" x14ac:dyDescent="0.25">
      <c r="A289" s="76"/>
      <c r="B289" s="76"/>
      <c r="C289" s="76"/>
      <c r="D289" s="76"/>
    </row>
    <row r="290" spans="1:4" ht="15" customHeight="1" x14ac:dyDescent="0.25">
      <c r="A290" s="76"/>
      <c r="B290" s="76"/>
      <c r="C290" s="76"/>
      <c r="D290" s="76"/>
    </row>
    <row r="291" spans="1:4" ht="15" customHeight="1" x14ac:dyDescent="0.25">
      <c r="A291" s="76"/>
      <c r="B291" s="76"/>
      <c r="C291" s="76"/>
      <c r="D291" s="76"/>
    </row>
    <row r="292" spans="1:4" ht="15" customHeight="1" x14ac:dyDescent="0.25">
      <c r="A292" s="76"/>
      <c r="B292" s="76"/>
      <c r="C292" s="76"/>
      <c r="D292" s="76"/>
    </row>
    <row r="293" spans="1:4" ht="15" customHeight="1" x14ac:dyDescent="0.25">
      <c r="A293" s="76"/>
      <c r="B293" s="76"/>
      <c r="C293" s="76"/>
      <c r="D293" s="76"/>
    </row>
    <row r="294" spans="1:4" ht="15" customHeight="1" x14ac:dyDescent="0.25">
      <c r="A294" s="76"/>
      <c r="B294" s="76"/>
      <c r="C294" s="76"/>
      <c r="D294" s="76"/>
    </row>
    <row r="295" spans="1:4" ht="15" customHeight="1" x14ac:dyDescent="0.25">
      <c r="A295" s="76"/>
      <c r="B295" s="76"/>
      <c r="C295" s="76"/>
      <c r="D295" s="76"/>
    </row>
    <row r="296" spans="1:4" ht="15" customHeight="1" x14ac:dyDescent="0.25">
      <c r="A296" s="76"/>
      <c r="B296" s="76"/>
      <c r="C296" s="76"/>
      <c r="D296" s="76"/>
    </row>
    <row r="297" spans="1:4" ht="15" customHeight="1" x14ac:dyDescent="0.25">
      <c r="A297" s="76"/>
      <c r="B297" s="76"/>
      <c r="C297" s="76"/>
      <c r="D297" s="76"/>
    </row>
    <row r="298" spans="1:4" ht="15" customHeight="1" x14ac:dyDescent="0.25">
      <c r="A298" s="76"/>
      <c r="B298" s="76"/>
      <c r="C298" s="76"/>
      <c r="D298" s="76"/>
    </row>
    <row r="299" spans="1:4" ht="15" customHeight="1" x14ac:dyDescent="0.25">
      <c r="A299" s="76"/>
      <c r="B299" s="76"/>
      <c r="C299" s="76"/>
      <c r="D299" s="76"/>
    </row>
    <row r="300" spans="1:4" ht="15" customHeight="1" x14ac:dyDescent="0.25">
      <c r="A300" s="76"/>
      <c r="B300" s="76"/>
      <c r="C300" s="76"/>
      <c r="D300" s="76"/>
    </row>
    <row r="301" spans="1:4" ht="15" customHeight="1" x14ac:dyDescent="0.25">
      <c r="A301" s="76"/>
      <c r="B301" s="76"/>
      <c r="C301" s="76"/>
      <c r="D301" s="76"/>
    </row>
    <row r="302" spans="1:4" ht="15" customHeight="1" x14ac:dyDescent="0.25">
      <c r="A302" s="76"/>
      <c r="B302" s="76"/>
      <c r="C302" s="76"/>
      <c r="D302" s="76"/>
    </row>
    <row r="303" spans="1:4" ht="15" customHeight="1" x14ac:dyDescent="0.25">
      <c r="A303" s="76"/>
      <c r="B303" s="76"/>
      <c r="C303" s="76"/>
      <c r="D303" s="76"/>
    </row>
    <row r="304" spans="1:4" ht="15" customHeight="1" x14ac:dyDescent="0.25">
      <c r="A304" s="76"/>
      <c r="B304" s="76"/>
      <c r="C304" s="76"/>
      <c r="D304" s="76"/>
    </row>
    <row r="305" spans="1:4" ht="15" customHeight="1" x14ac:dyDescent="0.25">
      <c r="A305" s="76"/>
      <c r="B305" s="76"/>
      <c r="C305" s="76"/>
      <c r="D305" s="76"/>
    </row>
    <row r="306" spans="1:4" ht="15" customHeight="1" x14ac:dyDescent="0.25">
      <c r="A306" s="76"/>
      <c r="B306" s="76"/>
      <c r="C306" s="76"/>
      <c r="D306" s="76"/>
    </row>
    <row r="307" spans="1:4" ht="15" customHeight="1" x14ac:dyDescent="0.25">
      <c r="A307" s="76"/>
      <c r="B307" s="76"/>
      <c r="C307" s="76"/>
      <c r="D307" s="76"/>
    </row>
    <row r="308" spans="1:4" ht="15" customHeight="1" x14ac:dyDescent="0.25">
      <c r="A308" s="76"/>
      <c r="B308" s="76"/>
      <c r="C308" s="76"/>
      <c r="D308" s="76"/>
    </row>
    <row r="309" spans="1:4" ht="15" customHeight="1" x14ac:dyDescent="0.25">
      <c r="A309" s="76"/>
      <c r="B309" s="76"/>
      <c r="C309" s="76"/>
      <c r="D309" s="76"/>
    </row>
    <row r="310" spans="1:4" ht="15" customHeight="1" x14ac:dyDescent="0.25">
      <c r="A310" s="76"/>
      <c r="B310" s="76"/>
      <c r="C310" s="76"/>
      <c r="D310" s="76"/>
    </row>
    <row r="311" spans="1:4" ht="15" customHeight="1" x14ac:dyDescent="0.25">
      <c r="A311" s="76"/>
      <c r="B311" s="76"/>
      <c r="C311" s="76"/>
      <c r="D311" s="76"/>
    </row>
    <row r="312" spans="1:4" ht="15" customHeight="1" x14ac:dyDescent="0.25">
      <c r="A312" s="76"/>
      <c r="B312" s="76"/>
      <c r="C312" s="76"/>
      <c r="D312" s="76"/>
    </row>
    <row r="313" spans="1:4" ht="15" customHeight="1" x14ac:dyDescent="0.25">
      <c r="A313" s="76"/>
      <c r="B313" s="76"/>
      <c r="C313" s="76"/>
      <c r="D313" s="76"/>
    </row>
    <row r="314" spans="1:4" ht="15" customHeight="1" x14ac:dyDescent="0.25">
      <c r="A314" s="76"/>
      <c r="B314" s="76"/>
      <c r="C314" s="76"/>
      <c r="D314" s="76"/>
    </row>
    <row r="315" spans="1:4" ht="15" customHeight="1" x14ac:dyDescent="0.25">
      <c r="A315" s="76"/>
      <c r="B315" s="76"/>
      <c r="C315" s="76"/>
      <c r="D315" s="76"/>
    </row>
    <row r="316" spans="1:4" ht="15" customHeight="1" x14ac:dyDescent="0.25">
      <c r="A316" s="76"/>
      <c r="B316" s="76"/>
      <c r="C316" s="76"/>
      <c r="D316" s="76"/>
    </row>
    <row r="317" spans="1:4" ht="15" customHeight="1" x14ac:dyDescent="0.25">
      <c r="A317" s="76"/>
      <c r="B317" s="76"/>
      <c r="C317" s="76"/>
      <c r="D317" s="76"/>
    </row>
    <row r="318" spans="1:4" ht="15" customHeight="1" x14ac:dyDescent="0.25">
      <c r="A318" s="76"/>
      <c r="B318" s="76"/>
      <c r="C318" s="76"/>
      <c r="D318" s="76"/>
    </row>
    <row r="319" spans="1:4" ht="15" customHeight="1" x14ac:dyDescent="0.25">
      <c r="A319" s="76"/>
      <c r="B319" s="76"/>
      <c r="C319" s="76"/>
      <c r="D319" s="76"/>
    </row>
    <row r="320" spans="1:4" ht="15" customHeight="1" x14ac:dyDescent="0.25">
      <c r="A320" s="76"/>
      <c r="B320" s="76"/>
      <c r="C320" s="76"/>
      <c r="D320" s="76"/>
    </row>
    <row r="321" spans="1:4" ht="15" customHeight="1" x14ac:dyDescent="0.25">
      <c r="A321" s="76"/>
      <c r="B321" s="76"/>
      <c r="C321" s="76"/>
      <c r="D321" s="76"/>
    </row>
    <row r="322" spans="1:4" ht="15" customHeight="1" x14ac:dyDescent="0.25">
      <c r="A322" s="76"/>
      <c r="B322" s="76"/>
      <c r="C322" s="76"/>
      <c r="D322" s="76"/>
    </row>
    <row r="323" spans="1:4" ht="15" customHeight="1" x14ac:dyDescent="0.25">
      <c r="A323" s="76"/>
      <c r="B323" s="76"/>
      <c r="C323" s="76"/>
      <c r="D323" s="76"/>
    </row>
    <row r="324" spans="1:4" ht="15" customHeight="1" x14ac:dyDescent="0.25">
      <c r="A324" s="76"/>
      <c r="B324" s="76"/>
      <c r="C324" s="76"/>
      <c r="D324" s="76"/>
    </row>
    <row r="325" spans="1:4" ht="15" customHeight="1" x14ac:dyDescent="0.25">
      <c r="A325" s="76"/>
      <c r="B325" s="76"/>
      <c r="C325" s="76"/>
      <c r="D325" s="76"/>
    </row>
    <row r="326" spans="1:4" ht="15" customHeight="1" x14ac:dyDescent="0.25">
      <c r="A326" s="76"/>
      <c r="B326" s="76"/>
      <c r="C326" s="76"/>
      <c r="D326" s="76"/>
    </row>
    <row r="327" spans="1:4" ht="15" customHeight="1" x14ac:dyDescent="0.25">
      <c r="A327" s="76"/>
      <c r="B327" s="76"/>
      <c r="C327" s="76"/>
      <c r="D327" s="76"/>
    </row>
    <row r="328" spans="1:4" ht="15" customHeight="1" x14ac:dyDescent="0.25">
      <c r="A328" s="76"/>
      <c r="B328" s="76"/>
      <c r="C328" s="76"/>
      <c r="D328" s="76"/>
    </row>
    <row r="329" spans="1:4" ht="15" customHeight="1" x14ac:dyDescent="0.25">
      <c r="A329" s="76"/>
      <c r="B329" s="76"/>
      <c r="C329" s="76"/>
      <c r="D329" s="76"/>
    </row>
    <row r="330" spans="1:4" ht="15" customHeight="1" x14ac:dyDescent="0.25">
      <c r="A330" s="76"/>
      <c r="B330" s="76"/>
      <c r="C330" s="76"/>
      <c r="D330" s="76"/>
    </row>
    <row r="331" spans="1:4" ht="15" customHeight="1" x14ac:dyDescent="0.25">
      <c r="A331" s="76"/>
      <c r="B331" s="76"/>
      <c r="C331" s="76"/>
      <c r="D331" s="76"/>
    </row>
    <row r="332" spans="1:4" ht="15" customHeight="1" x14ac:dyDescent="0.25">
      <c r="A332" s="76"/>
      <c r="B332" s="76"/>
      <c r="C332" s="76"/>
      <c r="D332" s="76"/>
    </row>
    <row r="333" spans="1:4" ht="15" customHeight="1" x14ac:dyDescent="0.25">
      <c r="A333" s="76"/>
      <c r="B333" s="76"/>
      <c r="C333" s="76"/>
      <c r="D333" s="76"/>
    </row>
    <row r="334" spans="1:4" ht="15" customHeight="1" x14ac:dyDescent="0.25">
      <c r="A334" s="76"/>
      <c r="B334" s="76"/>
      <c r="C334" s="76"/>
      <c r="D334" s="76"/>
    </row>
    <row r="335" spans="1:4" ht="15" customHeight="1" x14ac:dyDescent="0.25">
      <c r="A335" s="76"/>
      <c r="B335" s="76"/>
      <c r="C335" s="76"/>
      <c r="D335" s="76"/>
    </row>
    <row r="336" spans="1:4" ht="15" customHeight="1" x14ac:dyDescent="0.25">
      <c r="A336" s="76"/>
      <c r="B336" s="76"/>
      <c r="C336" s="76"/>
      <c r="D336" s="76"/>
    </row>
    <row r="337" spans="1:4" ht="15" customHeight="1" x14ac:dyDescent="0.25">
      <c r="A337" s="76"/>
      <c r="B337" s="76"/>
      <c r="C337" s="76"/>
      <c r="D337" s="76"/>
    </row>
    <row r="338" spans="1:4" ht="15" customHeight="1" x14ac:dyDescent="0.25">
      <c r="A338" s="76"/>
      <c r="B338" s="76"/>
      <c r="C338" s="76"/>
      <c r="D338" s="76"/>
    </row>
    <row r="339" spans="1:4" ht="15" customHeight="1" x14ac:dyDescent="0.25">
      <c r="A339" s="76"/>
      <c r="B339" s="76"/>
      <c r="C339" s="76"/>
      <c r="D339" s="76"/>
    </row>
    <row r="340" spans="1:4" ht="15" customHeight="1" x14ac:dyDescent="0.25">
      <c r="A340" s="76"/>
      <c r="B340" s="76"/>
      <c r="C340" s="76"/>
      <c r="D340" s="76"/>
    </row>
    <row r="341" spans="1:4" ht="15" customHeight="1" x14ac:dyDescent="0.25">
      <c r="A341" s="76"/>
      <c r="B341" s="76"/>
      <c r="C341" s="76"/>
      <c r="D341" s="76"/>
    </row>
    <row r="342" spans="1:4" ht="15" customHeight="1" x14ac:dyDescent="0.25">
      <c r="A342" s="76"/>
      <c r="B342" s="76"/>
      <c r="C342" s="76"/>
      <c r="D342" s="76"/>
    </row>
    <row r="343" spans="1:4" ht="15" customHeight="1" x14ac:dyDescent="0.25">
      <c r="A343" s="76"/>
      <c r="B343" s="76"/>
      <c r="C343" s="76"/>
      <c r="D343" s="76"/>
    </row>
    <row r="344" spans="1:4" ht="15" customHeight="1" x14ac:dyDescent="0.25">
      <c r="A344" s="76"/>
      <c r="B344" s="76"/>
      <c r="C344" s="76"/>
      <c r="D344" s="76"/>
    </row>
    <row r="345" spans="1:4" ht="15" customHeight="1" x14ac:dyDescent="0.25">
      <c r="A345" s="76"/>
      <c r="B345" s="76"/>
      <c r="C345" s="76"/>
      <c r="D345" s="76"/>
    </row>
    <row r="346" spans="1:4" ht="15" customHeight="1" x14ac:dyDescent="0.25">
      <c r="A346" s="76"/>
      <c r="B346" s="76"/>
      <c r="C346" s="76"/>
      <c r="D346" s="76"/>
    </row>
    <row r="347" spans="1:4" ht="15" customHeight="1" x14ac:dyDescent="0.25">
      <c r="A347" s="76"/>
      <c r="B347" s="76"/>
      <c r="C347" s="76"/>
      <c r="D347" s="76"/>
    </row>
    <row r="348" spans="1:4" ht="15" customHeight="1" x14ac:dyDescent="0.25">
      <c r="A348" s="76"/>
      <c r="B348" s="76"/>
      <c r="C348" s="76"/>
      <c r="D348" s="76"/>
    </row>
    <row r="349" spans="1:4" ht="15" customHeight="1" x14ac:dyDescent="0.25">
      <c r="A349" s="76"/>
      <c r="B349" s="76"/>
      <c r="C349" s="76"/>
      <c r="D349" s="76"/>
    </row>
    <row r="350" spans="1:4" ht="15" customHeight="1" x14ac:dyDescent="0.25">
      <c r="A350" s="76"/>
      <c r="B350" s="76"/>
      <c r="C350" s="76"/>
      <c r="D350" s="76"/>
    </row>
    <row r="351" spans="1:4" ht="15" customHeight="1" x14ac:dyDescent="0.25">
      <c r="A351" s="76"/>
      <c r="B351" s="76"/>
      <c r="C351" s="76"/>
      <c r="D351" s="76"/>
    </row>
    <row r="352" spans="1:4" ht="15" customHeight="1" x14ac:dyDescent="0.25">
      <c r="A352" s="76"/>
      <c r="B352" s="76"/>
      <c r="C352" s="76"/>
      <c r="D352" s="76"/>
    </row>
    <row r="353" spans="1:4" ht="15" customHeight="1" x14ac:dyDescent="0.25">
      <c r="A353" s="76"/>
      <c r="B353" s="76"/>
      <c r="C353" s="76"/>
      <c r="D353" s="76"/>
    </row>
    <row r="354" spans="1:4" ht="15" customHeight="1" x14ac:dyDescent="0.25">
      <c r="A354" s="76"/>
      <c r="B354" s="76"/>
      <c r="C354" s="76"/>
      <c r="D354" s="76"/>
    </row>
    <row r="355" spans="1:4" ht="15" customHeight="1" x14ac:dyDescent="0.25">
      <c r="A355" s="76"/>
      <c r="B355" s="76"/>
      <c r="C355" s="76"/>
      <c r="D355" s="76"/>
    </row>
    <row r="356" spans="1:4" ht="15" customHeight="1" x14ac:dyDescent="0.25">
      <c r="A356" s="76"/>
      <c r="B356" s="76"/>
      <c r="C356" s="76"/>
      <c r="D356" s="76"/>
    </row>
    <row r="357" spans="1:4" ht="15" customHeight="1" x14ac:dyDescent="0.25">
      <c r="A357" s="76"/>
      <c r="B357" s="76"/>
      <c r="C357" s="76"/>
      <c r="D357" s="76"/>
    </row>
    <row r="358" spans="1:4" ht="15" customHeight="1" x14ac:dyDescent="0.25">
      <c r="A358" s="76"/>
      <c r="B358" s="76"/>
      <c r="C358" s="76"/>
      <c r="D358" s="76"/>
    </row>
    <row r="359" spans="1:4" ht="15" customHeight="1" x14ac:dyDescent="0.25">
      <c r="A359" s="76"/>
      <c r="B359" s="76"/>
      <c r="C359" s="76"/>
      <c r="D359" s="76"/>
    </row>
    <row r="360" spans="1:4" ht="15" customHeight="1" x14ac:dyDescent="0.25">
      <c r="A360" s="76"/>
      <c r="B360" s="76"/>
      <c r="C360" s="76"/>
      <c r="D360" s="76"/>
    </row>
    <row r="361" spans="1:4" ht="15" customHeight="1" x14ac:dyDescent="0.25">
      <c r="A361" s="76"/>
      <c r="B361" s="76"/>
      <c r="C361" s="76"/>
      <c r="D361" s="76"/>
    </row>
    <row r="362" spans="1:4" ht="15" customHeight="1" x14ac:dyDescent="0.25">
      <c r="A362" s="76"/>
      <c r="B362" s="76"/>
      <c r="C362" s="76"/>
      <c r="D362" s="76"/>
    </row>
    <row r="363" spans="1:4" ht="15" customHeight="1" x14ac:dyDescent="0.25">
      <c r="A363" s="76"/>
      <c r="B363" s="76"/>
      <c r="C363" s="76"/>
      <c r="D363" s="76"/>
    </row>
    <row r="364" spans="1:4" ht="15" customHeight="1" x14ac:dyDescent="0.25">
      <c r="A364" s="76"/>
      <c r="B364" s="76"/>
      <c r="C364" s="76"/>
      <c r="D364" s="76"/>
    </row>
    <row r="365" spans="1:4" ht="15" customHeight="1" x14ac:dyDescent="0.25">
      <c r="A365" s="76"/>
      <c r="B365" s="76"/>
      <c r="C365" s="76"/>
      <c r="D365" s="76"/>
    </row>
    <row r="366" spans="1:4" ht="15" customHeight="1" x14ac:dyDescent="0.25">
      <c r="A366" s="76"/>
      <c r="B366" s="76"/>
      <c r="C366" s="76"/>
      <c r="D366" s="76"/>
    </row>
    <row r="367" spans="1:4" ht="15" customHeight="1" x14ac:dyDescent="0.25">
      <c r="A367" s="76"/>
      <c r="B367" s="76"/>
      <c r="C367" s="76"/>
      <c r="D367" s="76"/>
    </row>
    <row r="368" spans="1:4" ht="15" customHeight="1" x14ac:dyDescent="0.25">
      <c r="A368" s="76"/>
      <c r="B368" s="76"/>
      <c r="C368" s="76"/>
      <c r="D368" s="76"/>
    </row>
    <row r="369" spans="1:4" ht="15" customHeight="1" x14ac:dyDescent="0.25">
      <c r="A369" s="76"/>
      <c r="B369" s="76"/>
      <c r="C369" s="76"/>
      <c r="D369" s="76"/>
    </row>
    <row r="370" spans="1:4" ht="15" customHeight="1" x14ac:dyDescent="0.25">
      <c r="A370" s="76"/>
      <c r="B370" s="76"/>
      <c r="C370" s="76"/>
      <c r="D370" s="76"/>
    </row>
    <row r="371" spans="1:4" ht="15" customHeight="1" x14ac:dyDescent="0.25">
      <c r="A371" s="76"/>
      <c r="B371" s="76"/>
      <c r="C371" s="76"/>
      <c r="D371" s="76"/>
    </row>
    <row r="372" spans="1:4" ht="15" customHeight="1" x14ac:dyDescent="0.25">
      <c r="A372" s="76"/>
      <c r="B372" s="76"/>
      <c r="C372" s="76"/>
      <c r="D372" s="76"/>
    </row>
    <row r="373" spans="1:4" ht="15" customHeight="1" x14ac:dyDescent="0.25">
      <c r="A373" s="76"/>
      <c r="B373" s="76"/>
      <c r="C373" s="76"/>
      <c r="D373" s="76"/>
    </row>
    <row r="374" spans="1:4" ht="15" customHeight="1" x14ac:dyDescent="0.25">
      <c r="A374" s="76"/>
      <c r="B374" s="76"/>
      <c r="C374" s="76"/>
      <c r="D374" s="76"/>
    </row>
    <row r="375" spans="1:4" ht="15" customHeight="1" x14ac:dyDescent="0.25">
      <c r="A375" s="76"/>
      <c r="B375" s="76"/>
      <c r="C375" s="76"/>
      <c r="D375" s="76"/>
    </row>
    <row r="376" spans="1:4" ht="15" customHeight="1" x14ac:dyDescent="0.25">
      <c r="A376" s="76"/>
      <c r="B376" s="76"/>
      <c r="C376" s="76"/>
      <c r="D376" s="76"/>
    </row>
    <row r="377" spans="1:4" ht="15" customHeight="1" x14ac:dyDescent="0.25">
      <c r="A377" s="76"/>
      <c r="B377" s="76"/>
      <c r="C377" s="76"/>
      <c r="D377" s="76"/>
    </row>
    <row r="378" spans="1:4" ht="15" customHeight="1" x14ac:dyDescent="0.25">
      <c r="A378" s="76"/>
      <c r="B378" s="76"/>
      <c r="C378" s="76"/>
      <c r="D378" s="76"/>
    </row>
    <row r="379" spans="1:4" ht="15" customHeight="1" x14ac:dyDescent="0.25">
      <c r="A379" s="76"/>
      <c r="B379" s="76"/>
      <c r="C379" s="76"/>
      <c r="D379" s="76"/>
    </row>
    <row r="380" spans="1:4" ht="15" customHeight="1" x14ac:dyDescent="0.25">
      <c r="A380" s="76"/>
      <c r="B380" s="76"/>
      <c r="C380" s="76"/>
      <c r="D380" s="76"/>
    </row>
    <row r="381" spans="1:4" ht="15" customHeight="1" x14ac:dyDescent="0.25">
      <c r="A381" s="76"/>
      <c r="B381" s="76"/>
      <c r="C381" s="76"/>
      <c r="D381" s="76"/>
    </row>
    <row r="382" spans="1:4" ht="15" customHeight="1" x14ac:dyDescent="0.25">
      <c r="A382" s="76"/>
      <c r="B382" s="76"/>
      <c r="C382" s="76"/>
      <c r="D382" s="76"/>
    </row>
    <row r="383" spans="1:4" ht="15" customHeight="1" x14ac:dyDescent="0.25">
      <c r="A383" s="76"/>
      <c r="B383" s="76"/>
      <c r="C383" s="76"/>
      <c r="D383" s="76"/>
    </row>
    <row r="384" spans="1:4" ht="15" customHeight="1" x14ac:dyDescent="0.25">
      <c r="A384" s="76"/>
      <c r="B384" s="76"/>
      <c r="C384" s="76"/>
      <c r="D384" s="76"/>
    </row>
    <row r="385" spans="1:4" ht="15" customHeight="1" x14ac:dyDescent="0.25">
      <c r="A385" s="76"/>
      <c r="B385" s="76"/>
      <c r="C385" s="76"/>
      <c r="D385" s="76"/>
    </row>
    <row r="386" spans="1:4" ht="15" customHeight="1" x14ac:dyDescent="0.25">
      <c r="A386" s="76"/>
      <c r="B386" s="76"/>
      <c r="C386" s="76"/>
      <c r="D386" s="76"/>
    </row>
    <row r="387" spans="1:4" ht="15" customHeight="1" x14ac:dyDescent="0.25">
      <c r="A387" s="76"/>
      <c r="B387" s="76"/>
      <c r="C387" s="76"/>
      <c r="D387" s="76"/>
    </row>
    <row r="388" spans="1:4" ht="15" customHeight="1" x14ac:dyDescent="0.25">
      <c r="A388" s="76"/>
      <c r="B388" s="76"/>
      <c r="C388" s="76"/>
      <c r="D388" s="76"/>
    </row>
    <row r="389" spans="1:4" ht="15" customHeight="1" x14ac:dyDescent="0.25">
      <c r="A389" s="76"/>
      <c r="B389" s="76"/>
      <c r="C389" s="76"/>
      <c r="D389" s="76"/>
    </row>
    <row r="390" spans="1:4" ht="15" customHeight="1" x14ac:dyDescent="0.25">
      <c r="A390" s="76"/>
      <c r="B390" s="76"/>
      <c r="C390" s="76"/>
      <c r="D390" s="76"/>
    </row>
    <row r="391" spans="1:4" ht="15" customHeight="1" x14ac:dyDescent="0.25">
      <c r="A391" s="76"/>
      <c r="B391" s="76"/>
      <c r="C391" s="76"/>
      <c r="D391" s="76"/>
    </row>
    <row r="392" spans="1:4" ht="15" customHeight="1" x14ac:dyDescent="0.25">
      <c r="A392" s="76"/>
      <c r="B392" s="76"/>
      <c r="C392" s="76"/>
      <c r="D392" s="76"/>
    </row>
    <row r="393" spans="1:4" ht="15" customHeight="1" x14ac:dyDescent="0.25">
      <c r="A393" s="76"/>
      <c r="B393" s="76"/>
      <c r="C393" s="76"/>
      <c r="D393" s="76"/>
    </row>
    <row r="394" spans="1:4" ht="15" customHeight="1" x14ac:dyDescent="0.25">
      <c r="A394" s="76"/>
      <c r="B394" s="76"/>
      <c r="C394" s="76"/>
      <c r="D394" s="76"/>
    </row>
    <row r="395" spans="1:4" ht="15" customHeight="1" x14ac:dyDescent="0.25">
      <c r="A395" s="76"/>
      <c r="B395" s="76"/>
      <c r="C395" s="76"/>
      <c r="D395" s="76"/>
    </row>
    <row r="396" spans="1:4" ht="15" customHeight="1" x14ac:dyDescent="0.25">
      <c r="A396" s="76"/>
      <c r="B396" s="76"/>
      <c r="C396" s="76"/>
      <c r="D396" s="76"/>
    </row>
    <row r="397" spans="1:4" ht="15" customHeight="1" x14ac:dyDescent="0.25">
      <c r="A397" s="76"/>
      <c r="B397" s="76"/>
      <c r="C397" s="76"/>
      <c r="D397" s="76"/>
    </row>
    <row r="398" spans="1:4" ht="15" customHeight="1" x14ac:dyDescent="0.25">
      <c r="A398" s="76"/>
      <c r="B398" s="76"/>
      <c r="C398" s="76"/>
      <c r="D398" s="76"/>
    </row>
    <row r="399" spans="1:4" ht="15" customHeight="1" x14ac:dyDescent="0.25">
      <c r="A399" s="76"/>
      <c r="B399" s="76"/>
      <c r="C399" s="76"/>
      <c r="D399" s="76"/>
    </row>
    <row r="400" spans="1:4" ht="15" customHeight="1" x14ac:dyDescent="0.25">
      <c r="A400" s="76"/>
      <c r="B400" s="76"/>
      <c r="C400" s="76"/>
      <c r="D400" s="76"/>
    </row>
    <row r="401" spans="1:4" ht="15" customHeight="1" x14ac:dyDescent="0.25">
      <c r="A401" s="76"/>
      <c r="B401" s="76"/>
      <c r="C401" s="76"/>
      <c r="D401" s="76"/>
    </row>
    <row r="402" spans="1:4" ht="15" customHeight="1" x14ac:dyDescent="0.25">
      <c r="A402" s="76"/>
      <c r="B402" s="76"/>
      <c r="C402" s="76"/>
      <c r="D402" s="76"/>
    </row>
    <row r="403" spans="1:4" ht="15" customHeight="1" x14ac:dyDescent="0.25">
      <c r="A403" s="76"/>
      <c r="B403" s="76"/>
      <c r="C403" s="76"/>
      <c r="D403" s="76"/>
    </row>
    <row r="404" spans="1:4" ht="15" customHeight="1" x14ac:dyDescent="0.25">
      <c r="A404" s="76"/>
      <c r="B404" s="76"/>
      <c r="C404" s="76"/>
      <c r="D404" s="76"/>
    </row>
    <row r="405" spans="1:4" ht="15" customHeight="1" x14ac:dyDescent="0.25">
      <c r="A405" s="76"/>
      <c r="B405" s="76"/>
      <c r="C405" s="76"/>
      <c r="D405" s="76"/>
    </row>
    <row r="406" spans="1:4" ht="15" customHeight="1" x14ac:dyDescent="0.25">
      <c r="A406" s="76"/>
      <c r="B406" s="76"/>
      <c r="C406" s="76"/>
      <c r="D406" s="76"/>
    </row>
    <row r="407" spans="1:4" ht="15" customHeight="1" x14ac:dyDescent="0.25">
      <c r="A407" s="76"/>
      <c r="B407" s="76"/>
      <c r="C407" s="76"/>
      <c r="D407" s="76"/>
    </row>
    <row r="408" spans="1:4" ht="15" customHeight="1" x14ac:dyDescent="0.25">
      <c r="A408" s="76"/>
      <c r="B408" s="76"/>
      <c r="C408" s="76"/>
      <c r="D408" s="76"/>
    </row>
    <row r="409" spans="1:4" ht="15" customHeight="1" x14ac:dyDescent="0.25">
      <c r="A409" s="76"/>
      <c r="B409" s="76"/>
      <c r="C409" s="76"/>
      <c r="D409" s="76"/>
    </row>
    <row r="410" spans="1:4" ht="15" customHeight="1" x14ac:dyDescent="0.25">
      <c r="A410" s="76"/>
      <c r="B410" s="76"/>
      <c r="C410" s="76"/>
      <c r="D410" s="76"/>
    </row>
    <row r="411" spans="1:4" ht="15" customHeight="1" x14ac:dyDescent="0.25">
      <c r="A411" s="76"/>
      <c r="B411" s="76"/>
      <c r="C411" s="76"/>
      <c r="D411" s="76"/>
    </row>
    <row r="412" spans="1:4" ht="15" customHeight="1" x14ac:dyDescent="0.25">
      <c r="A412" s="76"/>
      <c r="B412" s="76"/>
      <c r="C412" s="76"/>
      <c r="D412" s="76"/>
    </row>
    <row r="413" spans="1:4" ht="15" customHeight="1" x14ac:dyDescent="0.25">
      <c r="A413" s="76"/>
      <c r="B413" s="76"/>
      <c r="C413" s="76"/>
      <c r="D413" s="76"/>
    </row>
    <row r="414" spans="1:4" ht="15" customHeight="1" x14ac:dyDescent="0.25">
      <c r="A414" s="76"/>
      <c r="B414" s="76"/>
      <c r="C414" s="76"/>
      <c r="D414" s="76"/>
    </row>
    <row r="415" spans="1:4" ht="15" customHeight="1" x14ac:dyDescent="0.25">
      <c r="A415" s="76"/>
      <c r="B415" s="76"/>
      <c r="C415" s="76"/>
      <c r="D415" s="76"/>
    </row>
    <row r="416" spans="1:4" ht="15" customHeight="1" x14ac:dyDescent="0.25">
      <c r="A416" s="76"/>
      <c r="B416" s="76"/>
      <c r="C416" s="76"/>
      <c r="D416" s="76"/>
    </row>
    <row r="417" spans="1:4" ht="15" customHeight="1" x14ac:dyDescent="0.25">
      <c r="A417" s="76"/>
      <c r="B417" s="76"/>
      <c r="C417" s="76"/>
      <c r="D417" s="76"/>
    </row>
    <row r="418" spans="1:4" ht="15" customHeight="1" x14ac:dyDescent="0.25">
      <c r="A418" s="76"/>
      <c r="B418" s="76"/>
      <c r="C418" s="76"/>
      <c r="D418" s="76"/>
    </row>
    <row r="419" spans="1:4" ht="15" customHeight="1" x14ac:dyDescent="0.25">
      <c r="A419" s="76"/>
      <c r="B419" s="76"/>
      <c r="C419" s="76"/>
      <c r="D419" s="76"/>
    </row>
    <row r="420" spans="1:4" ht="15" customHeight="1" x14ac:dyDescent="0.25">
      <c r="A420" s="76"/>
      <c r="B420" s="76"/>
      <c r="C420" s="76"/>
      <c r="D420" s="76"/>
    </row>
    <row r="421" spans="1:4" ht="15" customHeight="1" x14ac:dyDescent="0.25">
      <c r="A421" s="76"/>
      <c r="B421" s="76"/>
      <c r="C421" s="76"/>
      <c r="D421" s="76"/>
    </row>
    <row r="422" spans="1:4" ht="15" customHeight="1" x14ac:dyDescent="0.25">
      <c r="A422" s="76"/>
      <c r="B422" s="76"/>
      <c r="C422" s="76"/>
      <c r="D422" s="76"/>
    </row>
    <row r="423" spans="1:4" ht="15" customHeight="1" x14ac:dyDescent="0.25">
      <c r="A423" s="76"/>
      <c r="B423" s="76"/>
      <c r="C423" s="76"/>
      <c r="D423" s="76"/>
    </row>
    <row r="424" spans="1:4" ht="15" customHeight="1" x14ac:dyDescent="0.25">
      <c r="A424" s="76"/>
      <c r="B424" s="76"/>
      <c r="C424" s="76"/>
      <c r="D424" s="76"/>
    </row>
    <row r="425" spans="1:4" ht="15" customHeight="1" x14ac:dyDescent="0.25">
      <c r="A425" s="76"/>
      <c r="B425" s="76"/>
      <c r="C425" s="76"/>
      <c r="D425" s="76"/>
    </row>
    <row r="426" spans="1:4" ht="15" customHeight="1" x14ac:dyDescent="0.25">
      <c r="A426" s="76"/>
      <c r="B426" s="76"/>
      <c r="C426" s="76"/>
      <c r="D426" s="76"/>
    </row>
    <row r="427" spans="1:4" ht="15" customHeight="1" x14ac:dyDescent="0.25">
      <c r="A427" s="76"/>
      <c r="B427" s="76"/>
      <c r="C427" s="76"/>
      <c r="D427" s="76"/>
    </row>
    <row r="428" spans="1:4" ht="15" customHeight="1" x14ac:dyDescent="0.25">
      <c r="A428" s="76"/>
      <c r="B428" s="76"/>
      <c r="C428" s="76"/>
      <c r="D428" s="76"/>
    </row>
    <row r="429" spans="1:4" ht="15" customHeight="1" x14ac:dyDescent="0.25">
      <c r="A429" s="76"/>
      <c r="B429" s="76"/>
      <c r="C429" s="76"/>
      <c r="D429" s="76"/>
    </row>
    <row r="430" spans="1:4" ht="15" customHeight="1" x14ac:dyDescent="0.25">
      <c r="A430" s="76"/>
      <c r="B430" s="76"/>
      <c r="C430" s="76"/>
      <c r="D430" s="76"/>
    </row>
    <row r="431" spans="1:4" ht="15" customHeight="1" x14ac:dyDescent="0.25">
      <c r="A431" s="76"/>
      <c r="B431" s="76"/>
      <c r="C431" s="76"/>
      <c r="D431" s="76"/>
    </row>
    <row r="432" spans="1:4" ht="15" customHeight="1" x14ac:dyDescent="0.25">
      <c r="A432" s="76"/>
      <c r="B432" s="76"/>
      <c r="C432" s="76"/>
      <c r="D432" s="76"/>
    </row>
    <row r="433" spans="1:4" ht="15" customHeight="1" x14ac:dyDescent="0.25">
      <c r="A433" s="76"/>
      <c r="B433" s="76"/>
      <c r="C433" s="76"/>
      <c r="D433" s="76"/>
    </row>
    <row r="434" spans="1:4" ht="15" customHeight="1" x14ac:dyDescent="0.25">
      <c r="A434" s="76"/>
      <c r="B434" s="76"/>
      <c r="C434" s="76"/>
      <c r="D434" s="76"/>
    </row>
    <row r="435" spans="1:4" ht="15" customHeight="1" x14ac:dyDescent="0.25">
      <c r="A435" s="76"/>
      <c r="B435" s="76"/>
      <c r="C435" s="76"/>
      <c r="D435" s="76"/>
    </row>
    <row r="436" spans="1:4" ht="15" customHeight="1" x14ac:dyDescent="0.25">
      <c r="A436" s="76"/>
      <c r="B436" s="76"/>
      <c r="C436" s="76"/>
      <c r="D436" s="76"/>
    </row>
    <row r="437" spans="1:4" ht="15" customHeight="1" x14ac:dyDescent="0.25">
      <c r="A437" s="76"/>
      <c r="B437" s="76"/>
      <c r="C437" s="76"/>
      <c r="D437" s="76"/>
    </row>
    <row r="438" spans="1:4" ht="15" customHeight="1" x14ac:dyDescent="0.25">
      <c r="A438" s="76"/>
      <c r="B438" s="76"/>
      <c r="C438" s="76"/>
      <c r="D438" s="76"/>
    </row>
    <row r="439" spans="1:4" ht="15" customHeight="1" x14ac:dyDescent="0.25">
      <c r="A439" s="76"/>
      <c r="B439" s="76"/>
      <c r="C439" s="76"/>
      <c r="D439" s="76"/>
    </row>
    <row r="440" spans="1:4" ht="15" customHeight="1" x14ac:dyDescent="0.25">
      <c r="A440" s="76"/>
      <c r="B440" s="76"/>
      <c r="C440" s="76"/>
      <c r="D440" s="76"/>
    </row>
    <row r="441" spans="1:4" ht="15" customHeight="1" x14ac:dyDescent="0.25">
      <c r="A441" s="76"/>
      <c r="B441" s="76"/>
      <c r="C441" s="76"/>
      <c r="D441" s="76"/>
    </row>
    <row r="442" spans="1:4" ht="15" customHeight="1" x14ac:dyDescent="0.25">
      <c r="A442" s="76"/>
      <c r="B442" s="76"/>
      <c r="C442" s="76"/>
      <c r="D442" s="76"/>
    </row>
    <row r="443" spans="1:4" ht="15" customHeight="1" x14ac:dyDescent="0.25">
      <c r="A443" s="76"/>
      <c r="B443" s="76"/>
      <c r="C443" s="76"/>
      <c r="D443" s="76"/>
    </row>
    <row r="444" spans="1:4" ht="15" customHeight="1" x14ac:dyDescent="0.25">
      <c r="A444" s="76"/>
      <c r="B444" s="76"/>
      <c r="C444" s="76"/>
      <c r="D444" s="76"/>
    </row>
    <row r="445" spans="1:4" ht="15" customHeight="1" x14ac:dyDescent="0.25">
      <c r="A445" s="76"/>
      <c r="B445" s="76"/>
      <c r="C445" s="76"/>
      <c r="D445" s="76"/>
    </row>
    <row r="446" spans="1:4" ht="15" customHeight="1" x14ac:dyDescent="0.25">
      <c r="A446" s="76"/>
      <c r="B446" s="76"/>
      <c r="C446" s="76"/>
      <c r="D446" s="76"/>
    </row>
    <row r="447" spans="1:4" ht="15" customHeight="1" x14ac:dyDescent="0.25">
      <c r="A447" s="76"/>
      <c r="B447" s="76"/>
      <c r="C447" s="76"/>
      <c r="D447" s="76"/>
    </row>
    <row r="448" spans="1:4" ht="15" customHeight="1" x14ac:dyDescent="0.25">
      <c r="A448" s="76"/>
      <c r="B448" s="76"/>
      <c r="C448" s="76"/>
      <c r="D448" s="76"/>
    </row>
    <row r="449" spans="1:4" ht="15" customHeight="1" x14ac:dyDescent="0.25">
      <c r="A449" s="76"/>
      <c r="B449" s="76"/>
      <c r="C449" s="76"/>
      <c r="D449" s="76"/>
    </row>
    <row r="450" spans="1:4" ht="15" customHeight="1" x14ac:dyDescent="0.25">
      <c r="A450" s="76"/>
      <c r="B450" s="76"/>
      <c r="C450" s="76"/>
      <c r="D450" s="76"/>
    </row>
    <row r="451" spans="1:4" ht="15" customHeight="1" x14ac:dyDescent="0.25">
      <c r="A451" s="76"/>
      <c r="B451" s="76"/>
      <c r="C451" s="76"/>
      <c r="D451" s="76"/>
    </row>
    <row r="452" spans="1:4" ht="15" customHeight="1" x14ac:dyDescent="0.25">
      <c r="A452" s="76"/>
      <c r="B452" s="76"/>
      <c r="C452" s="76"/>
      <c r="D452" s="76"/>
    </row>
    <row r="453" spans="1:4" ht="15" customHeight="1" x14ac:dyDescent="0.25">
      <c r="A453" s="76"/>
      <c r="B453" s="76"/>
      <c r="C453" s="76"/>
      <c r="D453" s="76"/>
    </row>
    <row r="454" spans="1:4" ht="15" customHeight="1" x14ac:dyDescent="0.25">
      <c r="A454" s="76"/>
      <c r="B454" s="76"/>
      <c r="C454" s="76"/>
      <c r="D454" s="76"/>
    </row>
    <row r="455" spans="1:4" ht="15" customHeight="1" x14ac:dyDescent="0.25">
      <c r="A455" s="76"/>
      <c r="B455" s="76"/>
      <c r="C455" s="76"/>
      <c r="D455" s="76"/>
    </row>
    <row r="456" spans="1:4" ht="15" customHeight="1" x14ac:dyDescent="0.25">
      <c r="A456" s="76"/>
      <c r="B456" s="76"/>
      <c r="C456" s="76"/>
      <c r="D456" s="76"/>
    </row>
    <row r="457" spans="1:4" ht="15" customHeight="1" x14ac:dyDescent="0.25">
      <c r="A457" s="76"/>
      <c r="B457" s="76"/>
      <c r="C457" s="76"/>
      <c r="D457" s="76"/>
    </row>
    <row r="458" spans="1:4" ht="15" customHeight="1" x14ac:dyDescent="0.25">
      <c r="A458" s="76"/>
      <c r="B458" s="76"/>
      <c r="C458" s="76"/>
      <c r="D458" s="76"/>
    </row>
    <row r="459" spans="1:4" ht="15" customHeight="1" x14ac:dyDescent="0.25">
      <c r="A459" s="76"/>
      <c r="B459" s="76"/>
      <c r="C459" s="76"/>
      <c r="D459" s="76"/>
    </row>
    <row r="460" spans="1:4" ht="15" customHeight="1" x14ac:dyDescent="0.25">
      <c r="A460" s="76"/>
      <c r="B460" s="76"/>
      <c r="C460" s="76"/>
      <c r="D460" s="76"/>
    </row>
    <row r="461" spans="1:4" ht="15" customHeight="1" x14ac:dyDescent="0.25">
      <c r="A461" s="76"/>
      <c r="B461" s="76"/>
      <c r="C461" s="76"/>
      <c r="D461" s="76"/>
    </row>
    <row r="462" spans="1:4" ht="15" customHeight="1" x14ac:dyDescent="0.25">
      <c r="A462" s="76"/>
      <c r="B462" s="76"/>
      <c r="C462" s="76"/>
      <c r="D462" s="76"/>
    </row>
    <row r="463" spans="1:4" ht="15" customHeight="1" x14ac:dyDescent="0.25">
      <c r="A463" s="76"/>
      <c r="B463" s="76"/>
      <c r="C463" s="76"/>
      <c r="D463" s="76"/>
    </row>
    <row r="464" spans="1:4" ht="15" customHeight="1" x14ac:dyDescent="0.25">
      <c r="A464" s="76"/>
      <c r="B464" s="76"/>
      <c r="C464" s="76"/>
      <c r="D464" s="76"/>
    </row>
    <row r="465" spans="1:18" ht="15" customHeight="1" x14ac:dyDescent="0.25">
      <c r="A465" s="76"/>
      <c r="B465" s="76"/>
      <c r="C465" s="76"/>
      <c r="D465" s="76"/>
    </row>
    <row r="466" spans="1:18" ht="15" customHeight="1" x14ac:dyDescent="0.25">
      <c r="A466" s="76"/>
      <c r="C466" s="76"/>
      <c r="D466" s="76"/>
    </row>
    <row r="467" spans="1:18" ht="15" customHeight="1" x14ac:dyDescent="0.25">
      <c r="R467" s="2">
        <f>SUBTOTAL(9,R13:R466)</f>
        <v>3625.5499999999997</v>
      </c>
    </row>
  </sheetData>
  <autoFilter ref="K1:K467"/>
  <mergeCells count="34">
    <mergeCell ref="AZ31:BA31"/>
    <mergeCell ref="AZ30:BA30"/>
    <mergeCell ref="AZ23:BA23"/>
    <mergeCell ref="AZ24:BA24"/>
    <mergeCell ref="AZ26:BA26"/>
    <mergeCell ref="AZ28:BA28"/>
    <mergeCell ref="AZ29:BA29"/>
    <mergeCell ref="AU2:AU3"/>
    <mergeCell ref="AZ25:BA25"/>
    <mergeCell ref="AV2:AV3"/>
    <mergeCell ref="AT2:AT3"/>
    <mergeCell ref="F2:F3"/>
    <mergeCell ref="AS2:AS3"/>
    <mergeCell ref="AR2:AR3"/>
    <mergeCell ref="AP2:AP3"/>
    <mergeCell ref="AQ2:AQ3"/>
    <mergeCell ref="AO2:AO3"/>
    <mergeCell ref="A4:P4"/>
    <mergeCell ref="AZ22:BA22"/>
    <mergeCell ref="A1:R1"/>
    <mergeCell ref="AN2:AN3"/>
    <mergeCell ref="L2:P2"/>
    <mergeCell ref="A2:A3"/>
    <mergeCell ref="B2:B3"/>
    <mergeCell ref="G2:G3"/>
    <mergeCell ref="H2:H3"/>
    <mergeCell ref="K2:K3"/>
    <mergeCell ref="I2:I3"/>
    <mergeCell ref="Q2:AL2"/>
    <mergeCell ref="J2:J3"/>
    <mergeCell ref="E2:E3"/>
    <mergeCell ref="D2:D3"/>
    <mergeCell ref="C2:C3"/>
    <mergeCell ref="AM2:AM3"/>
  </mergeCells>
  <conditionalFormatting sqref="H5:H59 H64:H265">
    <cfRule type="expression" dxfId="19" priority="13">
      <formula>C5="OTHER"</formula>
    </cfRule>
    <cfRule type="expression" dxfId="18" priority="14">
      <formula>C5="BOF"</formula>
    </cfRule>
    <cfRule type="expression" dxfId="17" priority="15">
      <formula>C5="SWS"</formula>
    </cfRule>
    <cfRule type="expression" dxfId="16" priority="17">
      <formula>C5="BOD"</formula>
    </cfRule>
  </conditionalFormatting>
  <conditionalFormatting sqref="H63">
    <cfRule type="expression" dxfId="15" priority="5">
      <formula>C63="OTHER"</formula>
    </cfRule>
    <cfRule type="expression" dxfId="14" priority="6">
      <formula>C63="BOF"</formula>
    </cfRule>
    <cfRule type="expression" dxfId="13" priority="7">
      <formula>C63="SWS"</formula>
    </cfRule>
    <cfRule type="expression" dxfId="12" priority="8">
      <formula>C63="BOD"</formula>
    </cfRule>
  </conditionalFormatting>
  <conditionalFormatting sqref="H60:H62">
    <cfRule type="expression" dxfId="11" priority="1">
      <formula>C60="OTHER"</formula>
    </cfRule>
    <cfRule type="expression" dxfId="10" priority="2">
      <formula>C60="BOF"</formula>
    </cfRule>
    <cfRule type="expression" dxfId="9" priority="3">
      <formula>C60="SWS"</formula>
    </cfRule>
    <cfRule type="expression" dxfId="8" priority="4">
      <formula>C60="BOD"</formula>
    </cfRule>
  </conditionalFormatting>
  <dataValidations count="9">
    <dataValidation type="list" allowBlank="1" showInputMessage="1" showErrorMessage="1" sqref="K5">
      <formula1>"H, L, O"</formula1>
    </dataValidation>
    <dataValidation allowBlank="1" showInputMessage="1" sqref="AU1:AU4 AU266:AU1048576"/>
    <dataValidation type="list" allowBlank="1" showInputMessage="1" showErrorMessage="1" sqref="K6:K265">
      <formula1>"H, L, A, FA, RFD, O"</formula1>
    </dataValidation>
    <dataValidation type="list" allowBlank="1" showInputMessage="1" showErrorMessage="1" sqref="AM5:AM265">
      <formula1>"LOOKOUT, AGENCY, AIRCRAFT, PRIVATE, COUNTY"</formula1>
    </dataValidation>
    <dataValidation type="list" allowBlank="1" showInputMessage="1" showErrorMessage="1" sqref="C5:C265">
      <formula1>"BOD, BOF, SWS, 1AX, 1GX, 1PX, 1VX, 1WX, 2CX, 6BX, ADX, ELX, OWX, MHQ, DFR, LPE, SRL, OTHER"</formula1>
    </dataValidation>
    <dataValidation type="list" allowBlank="1" showInputMessage="1" showErrorMessage="1" sqref="D5:D265">
      <formula1>"BOD, BOF, SWS, 1AX, 1GX, 1PX, 1VX, 1WX, 2CX, 6BX, ADX, ELX, OWX, MHQ, DFR, LPE, SRL"</formula1>
    </dataValidation>
    <dataValidation type="list" allowBlank="1" showInputMessage="1" showErrorMessage="1" sqref="AN5:AS265">
      <formula1>"Y, N"</formula1>
    </dataValidation>
    <dataValidation type="list" allowBlank="1" showInputMessage="1" showErrorMessage="1" sqref="G5:G265">
      <formula1>"BFO, BOP, FRFO, OFO, D1, D3, D4, D5, D6, SWS"</formula1>
    </dataValidation>
    <dataValidation type="list" allowBlank="1" showInputMessage="1" sqref="AT1:AT1048576 AU5:AU265">
      <formula1>"Y, N "</formula1>
    </dataValidation>
  </dataValidations>
  <pageMargins left="0.25" right="0.25" top="0.75" bottom="0.75" header="0.3" footer="0.3"/>
  <pageSetup scale="2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Z40"/>
  <sheetViews>
    <sheetView workbookViewId="0">
      <selection activeCell="D21" sqref="D21"/>
    </sheetView>
  </sheetViews>
  <sheetFormatPr defaultRowHeight="15" x14ac:dyDescent="0.25"/>
  <cols>
    <col min="14" max="14" width="1.28515625" customWidth="1"/>
    <col min="15" max="15" width="9.140625" customWidth="1"/>
    <col min="26" max="26" width="10.42578125" customWidth="1"/>
  </cols>
  <sheetData>
    <row r="1" spans="1:26" ht="15.75" thickBot="1" x14ac:dyDescent="0.3">
      <c r="A1" s="314" t="s">
        <v>124</v>
      </c>
      <c r="B1" s="314"/>
      <c r="C1" s="314"/>
      <c r="D1" s="314"/>
      <c r="E1" s="314"/>
      <c r="F1" s="314"/>
      <c r="G1" s="314"/>
      <c r="H1" s="314"/>
    </row>
    <row r="2" spans="1:26" ht="33.75" x14ac:dyDescent="0.25">
      <c r="A2" s="315" t="s">
        <v>123</v>
      </c>
      <c r="B2" s="315"/>
      <c r="C2" s="315"/>
      <c r="D2" s="315"/>
      <c r="E2" s="315"/>
      <c r="F2" s="315"/>
      <c r="G2" s="138"/>
      <c r="H2" s="315" t="s">
        <v>122</v>
      </c>
      <c r="I2" s="315"/>
      <c r="J2" s="315"/>
      <c r="K2" s="315"/>
      <c r="L2" s="315"/>
      <c r="M2" s="315"/>
      <c r="O2" s="315" t="s">
        <v>121</v>
      </c>
      <c r="P2" s="315"/>
      <c r="Q2" s="315"/>
      <c r="R2" s="315"/>
      <c r="S2" s="315"/>
      <c r="T2" s="315"/>
      <c r="V2" s="181"/>
      <c r="W2" s="182" t="s">
        <v>36</v>
      </c>
      <c r="X2" s="183" t="s">
        <v>37</v>
      </c>
      <c r="Y2" s="184" t="s">
        <v>38</v>
      </c>
      <c r="Z2" s="180" t="s">
        <v>193</v>
      </c>
    </row>
    <row r="3" spans="1:26" ht="17.25" customHeight="1" x14ac:dyDescent="0.25">
      <c r="A3" s="316"/>
      <c r="B3" s="316"/>
      <c r="C3" s="316" t="s">
        <v>118</v>
      </c>
      <c r="D3" s="316"/>
      <c r="E3" s="316" t="s">
        <v>2</v>
      </c>
      <c r="F3" s="316"/>
      <c r="H3" s="316"/>
      <c r="I3" s="316"/>
      <c r="J3" s="316" t="s">
        <v>118</v>
      </c>
      <c r="K3" s="316"/>
      <c r="L3" s="316" t="s">
        <v>2</v>
      </c>
      <c r="M3" s="316"/>
      <c r="O3" s="351" t="s">
        <v>137</v>
      </c>
      <c r="P3" s="352"/>
      <c r="Q3" s="355" t="s">
        <v>118</v>
      </c>
      <c r="R3" s="349" t="s">
        <v>25</v>
      </c>
      <c r="S3" s="349" t="s">
        <v>26</v>
      </c>
      <c r="T3" s="350" t="s">
        <v>3</v>
      </c>
      <c r="V3" s="185" t="s">
        <v>190</v>
      </c>
      <c r="W3" s="176">
        <f>COUNTIFS(STATS!A:A,"&gt;="&amp;STATS!BE4,STATS!A:A,"&lt;="&amp;STATS!BF4,STATS!C:C,"BOD")</f>
        <v>1</v>
      </c>
      <c r="X3" s="14">
        <f>COUNTIFS(STATS!A:A,"&gt;="&amp;STATS!BE4,STATS!A:A,"&lt;="&amp;STATS!BF4,STATS!C:C,"BOD",STATS!K:K,"H")</f>
        <v>1</v>
      </c>
      <c r="Y3" s="10">
        <f>COUNTIFS(STATS!A:A,"&gt;="&amp;STATS!BE4,STATS!A:A,"&lt;="&amp;STATS!BF4,STATS!C:C,"BOF",STATS!K:K,"L")</f>
        <v>0</v>
      </c>
      <c r="Z3" s="186">
        <f>SUMIFS(STATS!Q:Q,STATS!A:A,"&gt;="&amp;STATS!BE4,STATS!A:A,"&lt;="&amp;STATS!BF4,STATS!C:C,"BOD")</f>
        <v>5</v>
      </c>
    </row>
    <row r="4" spans="1:26" x14ac:dyDescent="0.25">
      <c r="A4" s="317" t="s">
        <v>21</v>
      </c>
      <c r="B4" s="317"/>
      <c r="C4" s="317">
        <f>D30</f>
        <v>63</v>
      </c>
      <c r="D4" s="317"/>
      <c r="E4" s="317">
        <f>E30</f>
        <v>4419.54</v>
      </c>
      <c r="F4" s="317"/>
      <c r="H4" s="317" t="s">
        <v>21</v>
      </c>
      <c r="I4" s="317"/>
      <c r="J4" s="317">
        <f>D30</f>
        <v>63</v>
      </c>
      <c r="K4" s="317"/>
      <c r="L4" s="317">
        <f>ROUND(E30-E29,0)</f>
        <v>4420</v>
      </c>
      <c r="M4" s="317"/>
      <c r="O4" s="353"/>
      <c r="P4" s="354"/>
      <c r="Q4" s="356"/>
      <c r="R4" s="349"/>
      <c r="S4" s="349"/>
      <c r="T4" s="350"/>
      <c r="V4" s="187" t="s">
        <v>53</v>
      </c>
      <c r="W4" s="176">
        <f>COUNTIFS(STATS!A:A,"&gt;="&amp;STATS!BE5,STATS!A:A,"&lt;="&amp;STATS!BF5,STATS!C:C,"BOD")</f>
        <v>0</v>
      </c>
      <c r="X4" s="14">
        <f>COUNTIFS(STATS!A:A,"&gt;="&amp;STATS!BE5,STATS!A:A,"&lt;="&amp;STATS!BF5,STATS!C:C,"BOD",STATS!K:K,"H")</f>
        <v>0</v>
      </c>
      <c r="Y4" s="10">
        <f>COUNTIFS(STATS!A:A,"&gt;="&amp;STATS!BE5,STATS!A:A,"&lt;="&amp;STATS!BF5,STATS!C:C,"BOD",STATS!K:K,"L")</f>
        <v>0</v>
      </c>
      <c r="Z4" s="186">
        <f>SUMIFS(STATS!Q:Q,STATS!A:A,"&gt;="&amp;STATS!BE5,STATS!A:A,"&lt;="&amp;STATS!BF5,STATS!C:C,"BOD")</f>
        <v>0</v>
      </c>
    </row>
    <row r="5" spans="1:26" ht="15.75" thickBot="1" x14ac:dyDescent="0.3">
      <c r="A5" s="318" t="s">
        <v>22</v>
      </c>
      <c r="B5" s="318"/>
      <c r="C5" s="321">
        <f>G30</f>
        <v>26</v>
      </c>
      <c r="D5" s="321"/>
      <c r="E5" s="321">
        <f>H30</f>
        <v>3689.2499999999991</v>
      </c>
      <c r="F5" s="321"/>
      <c r="H5" s="318" t="s">
        <v>22</v>
      </c>
      <c r="I5" s="318"/>
      <c r="J5" s="321">
        <f>G30</f>
        <v>26</v>
      </c>
      <c r="K5" s="321"/>
      <c r="L5" s="321">
        <f>ROUND(H30-H29,0)</f>
        <v>3689</v>
      </c>
      <c r="M5" s="321"/>
      <c r="O5" s="317" t="s">
        <v>133</v>
      </c>
      <c r="P5" s="317"/>
      <c r="Q5" s="179">
        <f>COUNTIFS( STATS!C:C,"BOD",STATS!G:G,"BOP")</f>
        <v>16</v>
      </c>
      <c r="R5" s="179">
        <f>SUMIFS(STATS!Q:Q, STATS!C:C,"BOD",STATS!G:G,"BOP",STATS!K:K,"H")</f>
        <v>1051.9499999999998</v>
      </c>
      <c r="S5" s="179">
        <f>SUMIFS(STATS!Q:Q, STATS!C:C,"BOD",STATS!G:G,"BOP",STATS!K:K,"L")</f>
        <v>0</v>
      </c>
      <c r="T5" s="179">
        <f>SUM(R5:S5)</f>
        <v>1051.9499999999998</v>
      </c>
      <c r="V5" s="187" t="s">
        <v>39</v>
      </c>
      <c r="W5" s="176">
        <f>COUNTIFS(STATS!A:A,"&gt;="&amp;STATS!BE6,STATS!A:A,"&lt;="&amp;STATS!BF6,STATS!C:C,"BOD")</f>
        <v>1</v>
      </c>
      <c r="X5" s="14">
        <f>COUNTIFS(STATS!A:A,"&gt;="&amp;STATS!BE6,STATS!A:A,"&lt;="&amp;STATS!BF6,STATS!C:C,"BOD",STATS!K:K,"H")</f>
        <v>1</v>
      </c>
      <c r="Y5" s="10">
        <f>COUNTIFS(STATS!A:A,"&gt;="&amp;STATS!BE6,STATS!A:A,"&lt;="&amp;STATS!BF6,STATS!C:C,"BOD",STATS!K:K,"L")</f>
        <v>0</v>
      </c>
      <c r="Z5" s="186">
        <f>SUMIFS(STATS!Q:Q,STATS!A:A,"&gt;="&amp;STATS!BE6,STATS!A:A,"&lt;="&amp;STATS!BF6,STATS!C:C,"BOD")</f>
        <v>0.5</v>
      </c>
    </row>
    <row r="6" spans="1:26" x14ac:dyDescent="0.25">
      <c r="A6" s="319" t="s">
        <v>4</v>
      </c>
      <c r="B6" s="319"/>
      <c r="C6" s="320">
        <f>J30</f>
        <v>89</v>
      </c>
      <c r="D6" s="320"/>
      <c r="E6" s="320">
        <f>K30</f>
        <v>8108.7899999999991</v>
      </c>
      <c r="F6" s="320"/>
      <c r="H6" s="319" t="s">
        <v>4</v>
      </c>
      <c r="I6" s="319"/>
      <c r="J6" s="320">
        <f>SUM(J4:K5)</f>
        <v>89</v>
      </c>
      <c r="K6" s="320"/>
      <c r="L6" s="320">
        <f>ROUND(E6,0)</f>
        <v>8109</v>
      </c>
      <c r="M6" s="320"/>
      <c r="O6" s="316" t="s">
        <v>134</v>
      </c>
      <c r="P6" s="316"/>
      <c r="Q6" s="152">
        <f>COUNTIFS( STATS!C:C,"BOD",STATS!G:G,"BFO")</f>
        <v>10</v>
      </c>
      <c r="R6" s="152">
        <f>SUMIFS(STATS!Q:Q, STATS!C:C,"BOD",STATS!G:G,"BFO",STATS!K:K,"H")</f>
        <v>550</v>
      </c>
      <c r="S6" s="152">
        <f>SUMIFS(STATS!Q:Q, STATS!C:C,"BOD",STATS!G:G,"BFO",STATS!K:K,"L")</f>
        <v>803.4</v>
      </c>
      <c r="T6" s="148">
        <f>SUM(R6:S6)</f>
        <v>1353.4</v>
      </c>
      <c r="V6" s="187" t="s">
        <v>40</v>
      </c>
      <c r="W6" s="176">
        <f>COUNTIFS(STATS!A:A,"&gt;="&amp;STATS!BE7,STATS!A:A,"&lt;="&amp;STATS!BF7,STATS!C:C,"BOD")</f>
        <v>0</v>
      </c>
      <c r="X6" s="14">
        <f>COUNTIFS(STATS!A:A,"&gt;="&amp;STATS!BE7,STATS!A:A,"&lt;="&amp;STATS!BF7,STATS!C:C,"BOD",STATS!K:K,"H")</f>
        <v>0</v>
      </c>
      <c r="Y6" s="10">
        <f>COUNTIFS(STATS!A:A,"&gt;="&amp;STATS!BE7,STATS!A:A,"&lt;="&amp;STATS!BF7,STATS!C:C,"BOD",STATS!K:K,"L")</f>
        <v>0</v>
      </c>
      <c r="Z6" s="186">
        <f>SUMIFS(STATS!Q:Q,STATS!A:A,"&gt;="&amp;STATS!BE7,STATS!A:A,"&lt;="&amp;STATS!BF7,STATS!C:C,"BOD")</f>
        <v>0</v>
      </c>
    </row>
    <row r="7" spans="1:26" x14ac:dyDescent="0.25">
      <c r="O7" s="317" t="s">
        <v>135</v>
      </c>
      <c r="P7" s="317"/>
      <c r="Q7" s="179">
        <f>COUNTIFS( STATS!C:C,"BOD",STATS!G:G,"FRFO")</f>
        <v>53</v>
      </c>
      <c r="R7" s="179">
        <f>SUMIFS(STATS!Q:Q, STATS!C:C,"BOD",STATS!G:G,"FRFO",STATS!K:K,"H")</f>
        <v>2816.49</v>
      </c>
      <c r="S7" s="179">
        <f>SUMIFS(STATS!Q:Q, STATS!C:C,"BOD",STATS!G:G,"FRFO",STATS!K:K,"L")</f>
        <v>2884.9</v>
      </c>
      <c r="T7" s="179">
        <f>SUM(R7:S7)</f>
        <v>5701.3899999999994</v>
      </c>
      <c r="V7" s="187" t="s">
        <v>41</v>
      </c>
      <c r="W7" s="176">
        <f>COUNTIFS(STATS!A:A,"&gt;="&amp;STATS!BE8,STATS!A:A,"&lt;="&amp;STATS!BF8,STATS!C:C,"BOD")</f>
        <v>1</v>
      </c>
      <c r="X7" s="14">
        <f>COUNTIFS(STATS!A:A,"&gt;="&amp;STATS!BE8,STATS!A:A,"&lt;="&amp;STATS!BF8,STATS!C:C,"BOD",STATS!K:K,"H")</f>
        <v>1</v>
      </c>
      <c r="Y7" s="10">
        <f>COUNTIFS(STATS!A:A,"&gt;="&amp;STATS!BE8,STATS!A:A,"&lt;="&amp;STATS!BF8,STATS!C:C,"BOD",STATS!K:K,"L")</f>
        <v>0</v>
      </c>
      <c r="Z7" s="186">
        <f>SUMIFS(STATS!Q:Q,STATS!A:A,"&gt;="&amp;STATS!BE8,STATS!A:A,"&lt;="&amp;STATS!BF8,STATS!C:C,"BOD")</f>
        <v>0.3</v>
      </c>
    </row>
    <row r="8" spans="1:26" x14ac:dyDescent="0.25">
      <c r="A8" s="317" t="s">
        <v>65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O8" s="316" t="s">
        <v>136</v>
      </c>
      <c r="P8" s="316"/>
      <c r="Q8" s="148">
        <f>COUNTIFS( STATS!C:C,"BOD",STATS!G:G,"OFO")</f>
        <v>9</v>
      </c>
      <c r="R8" s="152">
        <f>SUMIFS(STATS!Q:Q, STATS!C:C,"BOD",STATS!G:G,"OFO",STATS!K:K,"H")</f>
        <v>1</v>
      </c>
      <c r="S8" s="152">
        <f>SUMIFS(STATS!Q:Q, STATS!C:C,"BOD",STATS!G:G,"OFO",STATS!K:K,"L")</f>
        <v>0.94999999999999984</v>
      </c>
      <c r="T8" s="148">
        <f>SUM(R8:S8)</f>
        <v>1.9499999999999997</v>
      </c>
      <c r="V8" s="187" t="s">
        <v>191</v>
      </c>
      <c r="W8" s="176">
        <f>COUNTIFS(STATS!A:A,"&gt;="&amp;STATS!BE9,STATS!A:A,"&lt;="&amp;STATS!BF9,STATS!C:C,"BOD")</f>
        <v>10</v>
      </c>
      <c r="X8" s="14">
        <f>COUNTIFS(STATS!A:A,"&gt;="&amp;STATS!BE9,STATS!A:A,"&lt;="&amp;STATS!BF9,STATS!C:C,"BOD",STATS!K:K,"H")</f>
        <v>8</v>
      </c>
      <c r="Y8" s="10">
        <f>COUNTIFS(STATS!A:A,"&gt;="&amp;STATS!BE9,STATS!A:A,"&lt;="&amp;STATS!BF9,STATS!C:C,"BOD",STATS!K:K,"L")</f>
        <v>2</v>
      </c>
      <c r="Z8" s="186">
        <f>SUMIFS(STATS!Q:Q,STATS!A:A,"&gt;="&amp;STATS!BE9,STATS!A:A,"&lt;="&amp;STATS!BF9,STATS!C:C,"BOD")</f>
        <v>427.1</v>
      </c>
    </row>
    <row r="9" spans="1:26" ht="15.75" thickBot="1" x14ac:dyDescent="0.3">
      <c r="A9" s="331" t="s">
        <v>120</v>
      </c>
      <c r="B9" s="331"/>
      <c r="C9" s="331"/>
      <c r="D9" s="332"/>
      <c r="E9" s="332"/>
      <c r="F9" s="332"/>
      <c r="G9" s="332"/>
      <c r="H9" s="332"/>
      <c r="I9" s="332"/>
      <c r="J9" s="332"/>
      <c r="K9" s="332"/>
      <c r="L9" s="332"/>
      <c r="M9" s="332"/>
      <c r="V9" s="187" t="s">
        <v>192</v>
      </c>
      <c r="W9" s="176">
        <f>COUNTIFS(STATS!A:A,"&gt;="&amp;STATS!BE10,STATS!A:A,"&lt;="&amp;STATS!BF10,STATS!C:C,"BOD")</f>
        <v>33</v>
      </c>
      <c r="X9" s="14">
        <f>COUNTIFS(STATS!A:A,"&gt;="&amp;STATS!BE10,STATS!A:A,"&lt;="&amp;STATS!BF10,STATS!C:C,"BOD",STATS!K:K,"H")</f>
        <v>17</v>
      </c>
      <c r="Y9" s="10">
        <f>COUNTIFS(STATS!A:A,"&gt;="&amp;STATS!BE10,STATS!A:A,"&lt;="&amp;STATS!BF10,STATS!C:C,"BOD",STATS!K:K,"L")</f>
        <v>16</v>
      </c>
      <c r="Z9" s="186">
        <f>SUMIFS(STATS!Q:Q,STATS!A:A,"&gt;="&amp;STATS!BE10,STATS!A:A,"&lt;="&amp;STATS!BF10,STATS!C:C,"BOD")</f>
        <v>4492.2400000000016</v>
      </c>
    </row>
    <row r="10" spans="1:26" x14ac:dyDescent="0.25">
      <c r="A10" s="315"/>
      <c r="B10" s="315"/>
      <c r="C10" s="326"/>
      <c r="D10" s="329" t="s">
        <v>21</v>
      </c>
      <c r="E10" s="320"/>
      <c r="F10" s="330"/>
      <c r="G10" s="329" t="s">
        <v>22</v>
      </c>
      <c r="H10" s="320"/>
      <c r="I10" s="330"/>
      <c r="J10" s="329" t="s">
        <v>4</v>
      </c>
      <c r="K10" s="320"/>
      <c r="L10" s="320"/>
      <c r="M10" s="330"/>
      <c r="O10" s="315" t="s">
        <v>23</v>
      </c>
      <c r="P10" s="315"/>
      <c r="Q10" s="315"/>
      <c r="R10" s="315"/>
      <c r="S10" s="315"/>
      <c r="T10" s="315"/>
      <c r="V10" s="187" t="s">
        <v>42</v>
      </c>
      <c r="W10" s="176">
        <f>COUNTIFS(STATS!A:A,"&gt;="&amp;STATS!BE11,STATS!A:A,"&lt;="&amp;STATS!BF11,STATS!C:C,"BOD")</f>
        <v>24</v>
      </c>
      <c r="X10" s="14">
        <f>COUNTIFS(STATS!A:A,"&gt;="&amp;STATS!BE11,STATS!A:A,"&lt;="&amp;STATS!BF11,STATS!C:C,"BOD",STATS!K:K,"H")</f>
        <v>19</v>
      </c>
      <c r="Y10" s="10">
        <f>COUNTIFS(STATS!A:A,"&gt;="&amp;STATS!BE11,STATS!A:A,"&lt;="&amp;STATS!BF11,STATS!C:C,"BOD",STATS!K:K,"L")</f>
        <v>5</v>
      </c>
      <c r="Z10" s="186">
        <f>SUMIFS(STATS!Q:Q,STATS!A:A,"&gt;="&amp;STATS!BE11,STATS!A:A,"&lt;="&amp;STATS!BF11,STATS!C:C,"BOD")</f>
        <v>2348.1499999999996</v>
      </c>
    </row>
    <row r="11" spans="1:26" x14ac:dyDescent="0.25">
      <c r="A11" s="322" t="s">
        <v>119</v>
      </c>
      <c r="B11" s="322"/>
      <c r="C11" s="323"/>
      <c r="D11" s="141" t="s">
        <v>118</v>
      </c>
      <c r="E11" s="322" t="s">
        <v>2</v>
      </c>
      <c r="F11" s="335"/>
      <c r="G11" s="141" t="s">
        <v>118</v>
      </c>
      <c r="H11" s="322" t="s">
        <v>2</v>
      </c>
      <c r="I11" s="335"/>
      <c r="J11" s="141" t="s">
        <v>118</v>
      </c>
      <c r="K11" s="322" t="s">
        <v>2</v>
      </c>
      <c r="L11" s="322"/>
      <c r="M11" s="335"/>
      <c r="O11" s="322" t="s">
        <v>14</v>
      </c>
      <c r="P11" s="322"/>
      <c r="Q11" s="322" t="s">
        <v>48</v>
      </c>
      <c r="R11" s="322"/>
      <c r="S11" s="358" t="s">
        <v>138</v>
      </c>
      <c r="T11" s="358"/>
      <c r="V11" s="187" t="s">
        <v>43</v>
      </c>
      <c r="W11" s="176">
        <f>COUNTIFS(STATS!A:A,"&gt;="&amp;STATS!BE12,STATS!A:A,"&lt;="&amp;STATS!BF12,STATS!C:C,"BOD")</f>
        <v>9</v>
      </c>
      <c r="X11" s="14">
        <f>COUNTIFS(STATS!A:A,"&gt;="&amp;STATS!BE12,STATS!A:A,"&lt;="&amp;STATS!BF12,STATS!C:C,"BOD",STATS!K:K,"H")</f>
        <v>6</v>
      </c>
      <c r="Y11" s="10">
        <f>COUNTIFS(STATS!A:A,"&gt;="&amp;STATS!BE12,STATS!A:A,"&lt;="&amp;STATS!BF12,STATS!C:C,"BOD",STATS!K:K,"L")</f>
        <v>3</v>
      </c>
      <c r="Z11" s="186">
        <f>SUMIFS(STATS!Q:Q,STATS!A:A,"&gt;="&amp;STATS!BE12,STATS!A:A,"&lt;="&amp;STATS!BF12,STATS!C:C,"BOD")</f>
        <v>102.5</v>
      </c>
    </row>
    <row r="12" spans="1:26" x14ac:dyDescent="0.25">
      <c r="A12" s="326" t="s">
        <v>32</v>
      </c>
      <c r="B12" s="327"/>
      <c r="C12" s="328"/>
      <c r="D12" s="177">
        <f>COUNTIFS(STATS!D:D,"BOD", STATS!C:C,"BOD",STATS!K:K,"H")</f>
        <v>34</v>
      </c>
      <c r="E12" s="333">
        <f>SUMIFS(STATS!R:R, STATS!C:C,"BOD",STATS!K:K,"H")</f>
        <v>1769.9</v>
      </c>
      <c r="F12" s="334"/>
      <c r="G12" s="177">
        <f>COUNTIFS(STATS!D:D,"BOD", STATS!C:C,"BOD",STATS!K:K,"L")</f>
        <v>22</v>
      </c>
      <c r="H12" s="333">
        <f>SUMIFS(STATS!R:R, STATS!C:C,"BOD",STATS!K:K,"L")</f>
        <v>1767.6499999999992</v>
      </c>
      <c r="I12" s="334"/>
      <c r="J12" s="177">
        <f>SUM(D12,G12)</f>
        <v>56</v>
      </c>
      <c r="K12" s="333">
        <f>SUM(E12,H12)</f>
        <v>3537.5499999999993</v>
      </c>
      <c r="L12" s="341"/>
      <c r="M12" s="334"/>
      <c r="O12" s="317" t="s">
        <v>141</v>
      </c>
      <c r="P12" s="317"/>
      <c r="Q12" s="317">
        <f>COUNTIFS(STATS!C:C,"BOD",STATS!AM:AM,"AGENCY")</f>
        <v>21</v>
      </c>
      <c r="R12" s="357"/>
      <c r="S12" s="359">
        <f>Q12/SUM(Q12:R16)</f>
        <v>0.23595505617977527</v>
      </c>
      <c r="T12" s="359"/>
      <c r="V12" s="187" t="s">
        <v>44</v>
      </c>
      <c r="W12" s="176">
        <f>COUNTIFS(STATS!A:A,"&gt;="&amp;STATS!BE13,STATS!A:A,"&lt;="&amp;STATS!BF13,STATS!C:C,"BOD")</f>
        <v>4</v>
      </c>
      <c r="X12" s="14">
        <f>COUNTIFS(STATS!A:A,"&gt;="&amp;STATS!BE13,STATS!A:A,"&lt;="&amp;STATS!BF13,STATS!C:C,"BOD",STATS!K:K,"H")</f>
        <v>4</v>
      </c>
      <c r="Y12" s="10">
        <f>COUNTIFS(STATS!A:A,"&gt;="&amp;STATS!BE13,STATS!A:A,"&lt;="&amp;STATS!BF13,STATS!C:C,"BOD",STATS!K:K,"L")</f>
        <v>0</v>
      </c>
      <c r="Z12" s="186">
        <f>SUMIFS(STATS!Q:Q,STATS!A:A,"&gt;="&amp;STATS!BE13,STATS!A:A,"&lt;="&amp;STATS!BF13,STATS!C:C,"BOD")</f>
        <v>327.5</v>
      </c>
    </row>
    <row r="13" spans="1:26" x14ac:dyDescent="0.25">
      <c r="A13" s="324" t="s">
        <v>33</v>
      </c>
      <c r="B13" s="324"/>
      <c r="C13" s="325"/>
      <c r="D13" s="142">
        <f>COUNTIFS(STATS!D:D,"BOF", STATS!C:C,"BOD",STATS!K:K,"H")</f>
        <v>1</v>
      </c>
      <c r="E13" s="336">
        <f>SUMIFS(STATS!S:S, STATS!C:C,"BOD",STATS!K:K,"H")</f>
        <v>0.1</v>
      </c>
      <c r="F13" s="337"/>
      <c r="G13" s="142">
        <f>COUNTIFS(STATS!D:D,"BOF", STATS!C:C,"BOD",STATS!K:K,"L")</f>
        <v>0</v>
      </c>
      <c r="H13" s="336">
        <f>SUMIFS(STATS!S:S, STATS!C:C,"BOD",STATS!K:K,"L")</f>
        <v>0</v>
      </c>
      <c r="I13" s="337"/>
      <c r="J13" s="142">
        <f t="shared" ref="J13:J28" si="0">SUM(D13,G13)</f>
        <v>1</v>
      </c>
      <c r="K13" s="342">
        <f t="shared" ref="K13:K28" si="1">SUM(E13,H13)</f>
        <v>0.1</v>
      </c>
      <c r="L13" s="342"/>
      <c r="M13" s="343"/>
      <c r="O13" s="316" t="s">
        <v>140</v>
      </c>
      <c r="P13" s="316"/>
      <c r="Q13" s="316">
        <f>COUNTIFS(STATS!C:C,"BOD",STATS!AM:AM,"AIRCRAFT")</f>
        <v>9</v>
      </c>
      <c r="R13" s="316"/>
      <c r="S13" s="359">
        <f>Q13/SUM(Q12:R16)</f>
        <v>0.10112359550561797</v>
      </c>
      <c r="T13" s="359"/>
      <c r="V13" s="187" t="s">
        <v>45</v>
      </c>
      <c r="W13" s="176">
        <f>COUNTIFS(STATS!A:A,"&gt;="&amp;STATS!BE14,STATS!A:A,"&lt;="&amp;STATS!BF14,STATS!C:C,"BOD")</f>
        <v>6</v>
      </c>
      <c r="X13" s="14">
        <f>COUNTIFS(STATS!A:A,"&gt;="&amp;STATS!BE14,STATS!A:A,"&lt;="&amp;STATS!BF14,STATS!C:C,"BOD",STATS!K:K,"H")</f>
        <v>6</v>
      </c>
      <c r="Y13" s="10">
        <f>COUNTIFS(STATS!A:A,"&gt;="&amp;STATS!BE14,STATS!A:A,"&lt;="&amp;STATS!BF14,STATS!C:C,"BOD",STATS!K:K,"L")</f>
        <v>0</v>
      </c>
      <c r="Z13" s="186">
        <f>SUMIFS(STATS!Q:Q,STATS!A:A,"&gt;="&amp;STATS!BE14,STATS!A:A,"&lt;="&amp;STATS!BF14,STATS!C:C,"BOD")</f>
        <v>405.5</v>
      </c>
    </row>
    <row r="14" spans="1:26" x14ac:dyDescent="0.25">
      <c r="A14" s="326" t="s">
        <v>34</v>
      </c>
      <c r="B14" s="327"/>
      <c r="C14" s="328"/>
      <c r="D14" s="177">
        <f>COUNTIFS(STATS!D:D,"SWS", STATS!C:C,"BOD",STATS!K:K,"H")</f>
        <v>8</v>
      </c>
      <c r="E14" s="333">
        <f>SUMIFS(STATS!T:T, STATS!C:C,"BOD",STATS!K:K,"H")</f>
        <v>281.69</v>
      </c>
      <c r="F14" s="334"/>
      <c r="G14" s="177">
        <f>COUNTIFS(STATS!D:D,"SWS", STATS!C:C,"BOD",STATS!K:K,"L")</f>
        <v>2</v>
      </c>
      <c r="H14" s="333">
        <f>SUMIFS(STATS!T:T, STATS!C:C,"BOD",STATS!K:K,"L")</f>
        <v>13.6</v>
      </c>
      <c r="I14" s="334"/>
      <c r="J14" s="177">
        <f t="shared" si="0"/>
        <v>10</v>
      </c>
      <c r="K14" s="333">
        <f t="shared" si="1"/>
        <v>295.29000000000002</v>
      </c>
      <c r="L14" s="341"/>
      <c r="M14" s="334"/>
      <c r="O14" s="317" t="s">
        <v>142</v>
      </c>
      <c r="P14" s="317"/>
      <c r="Q14" s="317">
        <f>COUNTIFS(STATS!C:C,"BOD",STATS!AM:AM,"COUNTY")</f>
        <v>44</v>
      </c>
      <c r="R14" s="317"/>
      <c r="S14" s="359">
        <f>Q14/SUM(Q12:R16)</f>
        <v>0.4943820224719101</v>
      </c>
      <c r="T14" s="359"/>
      <c r="V14" s="187" t="s">
        <v>46</v>
      </c>
      <c r="W14" s="176">
        <f>COUNTIFS(STATS!A:A,"&gt;="&amp;STATS!BE15,STATS!A:A,"&lt;="&amp;STATS!BF15,STATS!C:C,"BOD")</f>
        <v>0</v>
      </c>
      <c r="X14" s="14">
        <f>COUNTIFS(STATS!A:A,"&gt;="&amp;STATS!BE15,STATS!A:A,"&lt;="&amp;STATS!BF15,STATS!C:C,"BOD",STATS!K:K,"H")</f>
        <v>0</v>
      </c>
      <c r="Y14" s="10">
        <f>COUNTIFS(STATS!A:A,"&gt;="&amp;STATS!BE15,STATS!A:A,"&lt;="&amp;STATS!BF15,STATS!C:C,"BOD",STATS!K:K,"L")</f>
        <v>0</v>
      </c>
      <c r="Z14" s="186">
        <f>SUMIFS(STATS!Q:Q,STATS!A:A,"&gt;="&amp;STATS!BE15,STATS!A:A,"&lt;="&amp;STATS!BF15,STATS!C:C,"BOD")</f>
        <v>0</v>
      </c>
    </row>
    <row r="15" spans="1:26" ht="15.75" thickBot="1" x14ac:dyDescent="0.3">
      <c r="A15" s="324" t="s">
        <v>117</v>
      </c>
      <c r="B15" s="324"/>
      <c r="C15" s="325"/>
      <c r="D15" s="142">
        <f>COUNTIFS(STATS!D:D,"1AX", STATS!C:C,"BOD",STATS!K:K,"H")</f>
        <v>6</v>
      </c>
      <c r="E15" s="336">
        <f>SUMIFS(STATS!U:U, STATS!C:C,"BOD",STATS!K:K,"H")</f>
        <v>490.4</v>
      </c>
      <c r="F15" s="337"/>
      <c r="G15" s="142">
        <f>COUNTIFS(STATS!D:D,"1AX", STATS!C:C,"BOD",STATS!K:K,"L")</f>
        <v>0</v>
      </c>
      <c r="H15" s="336">
        <f>SUMIFS(STATS!U:U, STATS!C:C,"BOD",STATS!K:K,"L")</f>
        <v>0</v>
      </c>
      <c r="I15" s="337"/>
      <c r="J15" s="142">
        <f t="shared" si="0"/>
        <v>6</v>
      </c>
      <c r="K15" s="342">
        <f t="shared" si="1"/>
        <v>490.4</v>
      </c>
      <c r="L15" s="342"/>
      <c r="M15" s="343"/>
      <c r="O15" s="316" t="s">
        <v>139</v>
      </c>
      <c r="P15" s="316"/>
      <c r="Q15" s="316">
        <f>COUNTIFS(STATS!C:C,"BOD",STATS!AM:AM,"LOOKOUT")</f>
        <v>2</v>
      </c>
      <c r="R15" s="316"/>
      <c r="S15" s="359">
        <f>Q15/SUM(Q12:R16)</f>
        <v>2.247191011235955E-2</v>
      </c>
      <c r="T15" s="359"/>
      <c r="V15" s="188" t="s">
        <v>4</v>
      </c>
      <c r="W15" s="189">
        <f t="shared" ref="W15:Y15" si="2">SUM(W3:W14)</f>
        <v>89</v>
      </c>
      <c r="X15" s="190">
        <f t="shared" si="2"/>
        <v>63</v>
      </c>
      <c r="Y15" s="191">
        <f t="shared" si="2"/>
        <v>26</v>
      </c>
      <c r="Z15" s="192">
        <f>SUM(Z3:Z14)</f>
        <v>8108.7900000000009</v>
      </c>
    </row>
    <row r="16" spans="1:26" x14ac:dyDescent="0.25">
      <c r="A16" s="326" t="s">
        <v>116</v>
      </c>
      <c r="B16" s="327"/>
      <c r="C16" s="328"/>
      <c r="D16" s="177">
        <f>COUNTIFS(STATS!D:D,"1GX", STATS!C:C,"BOD",STATS!K:K,"H")</f>
        <v>0</v>
      </c>
      <c r="E16" s="333">
        <f>SUMIFS(STATS!V:V, STATS!C:C,"BOD",STATS!K:K,"H")</f>
        <v>0</v>
      </c>
      <c r="F16" s="334"/>
      <c r="G16" s="177">
        <f>COUNTIFS(STATS!D:D,"1GX", STATS!C:C,"BOD",STATS!K:K,"L")</f>
        <v>0</v>
      </c>
      <c r="H16" s="333">
        <f>SUMIFS(STATS!V:V, STATS!C:C,"BOD",STATS!K:K,"L")</f>
        <v>0</v>
      </c>
      <c r="I16" s="334"/>
      <c r="J16" s="177">
        <f t="shared" si="0"/>
        <v>0</v>
      </c>
      <c r="K16" s="333">
        <f t="shared" si="1"/>
        <v>0</v>
      </c>
      <c r="L16" s="341"/>
      <c r="M16" s="334"/>
      <c r="O16" s="317" t="s">
        <v>143</v>
      </c>
      <c r="P16" s="317"/>
      <c r="Q16" s="317">
        <f>COUNTIFS(STATS!C:C,"BOD",STATS!AM:AM,"PRIVATE")</f>
        <v>13</v>
      </c>
      <c r="R16" s="317"/>
      <c r="S16" s="359">
        <f>Q16/SUM(Q12:R16)</f>
        <v>0.14606741573033707</v>
      </c>
      <c r="T16" s="359"/>
    </row>
    <row r="17" spans="1:20" x14ac:dyDescent="0.25">
      <c r="A17" s="324" t="s">
        <v>115</v>
      </c>
      <c r="B17" s="324"/>
      <c r="C17" s="325"/>
      <c r="D17" s="142">
        <f>COUNTIFS(STATS!D:D,"1PX", STATS!C:C,"BOD",STATS!K:K,"H")</f>
        <v>1</v>
      </c>
      <c r="E17" s="336">
        <f>SUMIFS(STATS!W:W, STATS!C:C,"BOD",STATS!K:K,"H")</f>
        <v>10</v>
      </c>
      <c r="F17" s="337"/>
      <c r="G17" s="142">
        <f>COUNTIFS(STATS!D:D,"1PX", STATS!C:C,"BOD",STATS!K:K,"L")</f>
        <v>1</v>
      </c>
      <c r="H17" s="336">
        <f>SUMIFS(STATS!W:W, STATS!C:C,"BOD",STATS!K:K,"L")</f>
        <v>1609</v>
      </c>
      <c r="I17" s="337"/>
      <c r="J17" s="142">
        <f t="shared" si="0"/>
        <v>2</v>
      </c>
      <c r="K17" s="342">
        <f t="shared" si="1"/>
        <v>1619</v>
      </c>
      <c r="L17" s="342"/>
      <c r="M17" s="343"/>
    </row>
    <row r="18" spans="1:20" x14ac:dyDescent="0.25">
      <c r="A18" s="326" t="s">
        <v>114</v>
      </c>
      <c r="B18" s="327"/>
      <c r="C18" s="328"/>
      <c r="D18" s="177">
        <f>COUNTIFS(STATS!D:D,"1VX", STATS!C:C,"BOD",STATS!K:K,"H")</f>
        <v>0</v>
      </c>
      <c r="E18" s="333">
        <f>SUMIFS(STATS!X:X, STATS!C:C,"BOD",STATS!K:K,"H")</f>
        <v>0</v>
      </c>
      <c r="F18" s="334"/>
      <c r="G18" s="177">
        <f>COUNTIFS(STATS!D:D,"1VX", STATS!C:C,"BOD",STATS!K:K,"L")</f>
        <v>0</v>
      </c>
      <c r="H18" s="333">
        <f>SUMIFS(STATS!X:X, STATS!C:C,"BOD",STATS!K:K,"L")</f>
        <v>0</v>
      </c>
      <c r="I18" s="334"/>
      <c r="J18" s="177">
        <f t="shared" si="0"/>
        <v>0</v>
      </c>
      <c r="K18" s="333">
        <f t="shared" si="1"/>
        <v>0</v>
      </c>
      <c r="L18" s="341"/>
      <c r="M18" s="334"/>
      <c r="O18" s="315" t="s">
        <v>144</v>
      </c>
      <c r="P18" s="315"/>
      <c r="Q18" s="315"/>
      <c r="R18" s="315"/>
      <c r="S18" s="315"/>
      <c r="T18" s="315"/>
    </row>
    <row r="19" spans="1:20" x14ac:dyDescent="0.25">
      <c r="A19" s="324" t="s">
        <v>113</v>
      </c>
      <c r="B19" s="324"/>
      <c r="C19" s="325"/>
      <c r="D19" s="142">
        <f>COUNTIFS(STATS!D:D,"1WX", STATS!C:C,"BOD",STATS!K:K,"H")</f>
        <v>0</v>
      </c>
      <c r="E19" s="336">
        <f>SUMIFS(STATS!Y:Y, STATS!C:C,"BOD",STATS!K:K,"H")</f>
        <v>0</v>
      </c>
      <c r="F19" s="337"/>
      <c r="G19" s="142">
        <f>COUNTIFS(STATS!D:D,"1WX", STATS!C:C,"BOD",STATS!K:K,"L")</f>
        <v>0</v>
      </c>
      <c r="H19" s="336">
        <f>SUMIFS(STATS!Y:Y, STATS!C:C,"BOD",STATS!K:K,"L")</f>
        <v>6</v>
      </c>
      <c r="I19" s="337"/>
      <c r="J19" s="142">
        <f t="shared" si="0"/>
        <v>0</v>
      </c>
      <c r="K19" s="342">
        <f t="shared" si="1"/>
        <v>6</v>
      </c>
      <c r="L19" s="342"/>
      <c r="M19" s="343"/>
      <c r="O19" s="350" t="s">
        <v>150</v>
      </c>
      <c r="P19" s="350"/>
      <c r="Q19" s="350"/>
      <c r="R19" s="350"/>
      <c r="S19" s="322" t="s">
        <v>165</v>
      </c>
      <c r="T19" s="322"/>
    </row>
    <row r="20" spans="1:20" x14ac:dyDescent="0.25">
      <c r="A20" s="326" t="s">
        <v>112</v>
      </c>
      <c r="B20" s="327"/>
      <c r="C20" s="328"/>
      <c r="D20" s="177">
        <f>COUNTIFS(STATS!D:D,"2CX", STATS!C:C,"BOD",STATS!K:K,"H")</f>
        <v>0</v>
      </c>
      <c r="E20" s="333">
        <f>SUMIFS(STATS!Z:Z, STATS!C:C,"BOD",STATS!K:K,"H")</f>
        <v>0</v>
      </c>
      <c r="F20" s="334"/>
      <c r="G20" s="177">
        <f>COUNTIFS(STATS!D:D,"2CX", STATS!C:C,"BOD",STATS!K:K,"L")</f>
        <v>0</v>
      </c>
      <c r="H20" s="333">
        <f>SUMIFS(STATS!Z:Z, STATS!C:C,"BOD",STATS!K:K,"L")</f>
        <v>0</v>
      </c>
      <c r="I20" s="334"/>
      <c r="J20" s="177">
        <f t="shared" si="0"/>
        <v>0</v>
      </c>
      <c r="K20" s="333">
        <f t="shared" si="1"/>
        <v>0</v>
      </c>
      <c r="L20" s="341"/>
      <c r="M20" s="334"/>
      <c r="O20" s="350"/>
      <c r="P20" s="350"/>
      <c r="Q20" s="350"/>
      <c r="R20" s="350"/>
      <c r="S20" s="322"/>
      <c r="T20" s="322"/>
    </row>
    <row r="21" spans="1:20" x14ac:dyDescent="0.25">
      <c r="A21" s="324" t="s">
        <v>111</v>
      </c>
      <c r="B21" s="324"/>
      <c r="C21" s="325"/>
      <c r="D21" s="142">
        <f>COUNTIFS(STATS!D:D,"6BX", STATS!C:C,"BOD",STATS!K:K,"H")</f>
        <v>0</v>
      </c>
      <c r="E21" s="336">
        <f>SUMIFS(STATS!AA:AA, STATS!C:C,"BOD",STATS!K:K,"H")</f>
        <v>0</v>
      </c>
      <c r="F21" s="337"/>
      <c r="G21" s="142">
        <f>COUNTIFS(STATS!D:D,"6BX", STATS!C:C,"BOD",STATS!K:K,"L")</f>
        <v>0</v>
      </c>
      <c r="H21" s="336">
        <f>SUMIFS(STATS!AA:AA, STATS!C:C,"BOD",STATS!K:K,"L")</f>
        <v>0</v>
      </c>
      <c r="I21" s="337"/>
      <c r="J21" s="142">
        <f t="shared" si="0"/>
        <v>0</v>
      </c>
      <c r="K21" s="342">
        <f t="shared" si="1"/>
        <v>0</v>
      </c>
      <c r="L21" s="342"/>
      <c r="M21" s="343"/>
      <c r="O21" s="317" t="s">
        <v>149</v>
      </c>
      <c r="P21" s="317"/>
      <c r="Q21" s="317"/>
      <c r="R21" s="317"/>
      <c r="S21" s="317">
        <f>COUNTIFS(STATS!C:C,"BOD",STATS!AT:AT,"Y")</f>
        <v>25</v>
      </c>
      <c r="T21" s="317"/>
    </row>
    <row r="22" spans="1:20" x14ac:dyDescent="0.25">
      <c r="A22" s="326" t="s">
        <v>110</v>
      </c>
      <c r="B22" s="327"/>
      <c r="C22" s="328"/>
      <c r="D22" s="177">
        <f>COUNTIFS(STATS!D:D,"ADX", STATS!C:C,"BOD",STATS!K:K,"H")</f>
        <v>0</v>
      </c>
      <c r="E22" s="333">
        <f>SUMIFS(STATS!AB:AB, STATS!C:C,"BOD",STATS!K:K,"H")</f>
        <v>0</v>
      </c>
      <c r="F22" s="334"/>
      <c r="G22" s="177">
        <f>COUNTIFS(STATS!D:D,"ADX", STATS!C:C,"BOD",STATS!K:K,"L")</f>
        <v>0</v>
      </c>
      <c r="H22" s="333">
        <f>SUMIFS(STATS!AB:AB, STATS!C:C,"BOD",STATS!K:K,"L")</f>
        <v>0</v>
      </c>
      <c r="I22" s="334"/>
      <c r="J22" s="177">
        <f t="shared" si="0"/>
        <v>0</v>
      </c>
      <c r="K22" s="333">
        <f t="shared" si="1"/>
        <v>0</v>
      </c>
      <c r="L22" s="341"/>
      <c r="M22" s="334"/>
      <c r="O22" s="316" t="s">
        <v>146</v>
      </c>
      <c r="P22" s="316"/>
      <c r="Q22" s="316"/>
      <c r="R22" s="316"/>
      <c r="S22" s="317">
        <f>COUNTIFS(STATS!C:C,"BOD",STATS!AP:AP,"Y")</f>
        <v>3</v>
      </c>
      <c r="T22" s="317"/>
    </row>
    <row r="23" spans="1:20" x14ac:dyDescent="0.25">
      <c r="A23" s="324" t="s">
        <v>109</v>
      </c>
      <c r="B23" s="324"/>
      <c r="C23" s="325"/>
      <c r="D23" s="142">
        <f>COUNTIFS(STATS!D:D,"ELX", STATS!C:C,"BOD",STATS!K:K,"H")</f>
        <v>7</v>
      </c>
      <c r="E23" s="336">
        <f>SUMIFS(STATS!AC:AC, STATS!C:C,"BOD",STATS!K:K,"H")</f>
        <v>1603</v>
      </c>
      <c r="F23" s="337"/>
      <c r="G23" s="142">
        <f>COUNTIFS(STATS!D:D,"ELX", STATS!C:C,"BOD",STATS!K:K,"L")</f>
        <v>0</v>
      </c>
      <c r="H23" s="336">
        <f>SUMIFS(STATS!AC:AC, STATS!C:C,"BOD",STATS!K:K,"L")</f>
        <v>0</v>
      </c>
      <c r="I23" s="337"/>
      <c r="J23" s="142">
        <f t="shared" si="0"/>
        <v>7</v>
      </c>
      <c r="K23" s="342">
        <f t="shared" si="1"/>
        <v>1603</v>
      </c>
      <c r="L23" s="342"/>
      <c r="M23" s="343"/>
      <c r="O23" s="317" t="s">
        <v>56</v>
      </c>
      <c r="P23" s="317"/>
      <c r="Q23" s="317"/>
      <c r="R23" s="317"/>
      <c r="S23" s="317">
        <f>COUNTIFS(STATS!C:C,"BOD",STATS!AU:AU,"Y")</f>
        <v>14</v>
      </c>
      <c r="T23" s="317"/>
    </row>
    <row r="24" spans="1:20" x14ac:dyDescent="0.25">
      <c r="A24" s="326" t="s">
        <v>108</v>
      </c>
      <c r="B24" s="327"/>
      <c r="C24" s="328"/>
      <c r="D24" s="177">
        <f>COUNTIFS(STATS!D:D,"OWX", STATS!C:C,"BOD",STATS!K:K,"H")</f>
        <v>0</v>
      </c>
      <c r="E24" s="333">
        <f>SUMIFS(STATS!AD:AD, STATS!C:C,"BOD",STATS!K:K,"H")</f>
        <v>20</v>
      </c>
      <c r="F24" s="334"/>
      <c r="G24" s="177">
        <f>COUNTIFS(STATS!D:D,"OWX", STATS!C:C,"BOD",STATS!K:K,"L")</f>
        <v>0</v>
      </c>
      <c r="H24" s="333">
        <f>SUMIFS(STATS!AD:AD, STATS!C:C,"BOD",STATS!K:K,"L")</f>
        <v>95</v>
      </c>
      <c r="I24" s="334"/>
      <c r="J24" s="177">
        <f t="shared" si="0"/>
        <v>0</v>
      </c>
      <c r="K24" s="333">
        <f t="shared" si="1"/>
        <v>115</v>
      </c>
      <c r="L24" s="341"/>
      <c r="M24" s="334"/>
      <c r="O24" s="316" t="s">
        <v>151</v>
      </c>
      <c r="P24" s="316"/>
      <c r="Q24" s="316"/>
      <c r="R24" s="316"/>
      <c r="S24" s="317">
        <f>COUNTIFS(STATS!C:C,"BOD",STATS!AR:AR,"Y")</f>
        <v>50</v>
      </c>
      <c r="T24" s="317"/>
    </row>
    <row r="25" spans="1:20" x14ac:dyDescent="0.25">
      <c r="A25" s="324" t="s">
        <v>107</v>
      </c>
      <c r="B25" s="324"/>
      <c r="C25" s="325"/>
      <c r="D25" s="142">
        <f>COUNTIFS(STATS!D:D,"DFR", STATS!C:C,"BOD",STATS!K:K,"H")</f>
        <v>2</v>
      </c>
      <c r="E25" s="336">
        <f>SUMIFS(STATS!AE:AE, STATS!C:C,"BOD",STATS!K:K,"H")</f>
        <v>0.65</v>
      </c>
      <c r="F25" s="337"/>
      <c r="G25" s="142">
        <f>COUNTIFS(STATS!D:D,"DFR", STATS!C:C,"BOD",STATS!K:K,"L")</f>
        <v>0</v>
      </c>
      <c r="H25" s="336">
        <f>SUMIFS(STATS!AE:AE, STATS!C:C,"BOD",STATS!K:K,"L")</f>
        <v>0</v>
      </c>
      <c r="I25" s="337"/>
      <c r="J25" s="142">
        <f t="shared" si="0"/>
        <v>2</v>
      </c>
      <c r="K25" s="342">
        <f t="shared" si="1"/>
        <v>0.65</v>
      </c>
      <c r="L25" s="342"/>
      <c r="M25" s="343"/>
      <c r="O25" s="317" t="s">
        <v>148</v>
      </c>
      <c r="P25" s="317"/>
      <c r="Q25" s="317"/>
      <c r="R25" s="317"/>
      <c r="S25" s="317">
        <f>COUNTIFS(STATS!C:C,"BOD",STATS!AS:AS,"Y")</f>
        <v>13</v>
      </c>
      <c r="T25" s="317"/>
    </row>
    <row r="26" spans="1:20" x14ac:dyDescent="0.25">
      <c r="A26" s="326" t="s">
        <v>106</v>
      </c>
      <c r="B26" s="327"/>
      <c r="C26" s="328"/>
      <c r="D26" s="177">
        <f>COUNTIFS(STATS!D:D,"MHQ", STATS!C:C,"BOD",STATS!K:K,"H")</f>
        <v>0</v>
      </c>
      <c r="E26" s="333">
        <f>SUMIFS(STATS!AF:AF, STATS!C:C,"BOD",STATS!K:K,"H")</f>
        <v>0</v>
      </c>
      <c r="F26" s="334"/>
      <c r="G26" s="177">
        <f>COUNTIFS(STATS!D:D,"MHQ", STATS!C:C,"BOD",STATS!K:K,"L")</f>
        <v>0</v>
      </c>
      <c r="H26" s="333">
        <f>SUMIFS(STATS!AF:AF, STATS!C:C,"BOD",STATS!K:K,"L")</f>
        <v>0</v>
      </c>
      <c r="I26" s="334"/>
      <c r="J26" s="177">
        <f t="shared" si="0"/>
        <v>0</v>
      </c>
      <c r="K26" s="333">
        <f t="shared" si="1"/>
        <v>0</v>
      </c>
      <c r="L26" s="341"/>
      <c r="M26" s="334"/>
      <c r="O26" s="316" t="s">
        <v>145</v>
      </c>
      <c r="P26" s="316"/>
      <c r="Q26" s="316"/>
      <c r="R26" s="316"/>
      <c r="S26" s="317">
        <f>COUNTIFS(STATS!C:C,"BOD",STATS!AO:AO,"Y")</f>
        <v>23</v>
      </c>
      <c r="T26" s="317"/>
    </row>
    <row r="27" spans="1:20" x14ac:dyDescent="0.25">
      <c r="A27" s="324" t="s">
        <v>105</v>
      </c>
      <c r="B27" s="324"/>
      <c r="C27" s="325"/>
      <c r="D27" s="142">
        <f>COUNTIFS(STATS!D:D,"LPE", STATS!C:C,"BOD",STATS!K:K,"H")</f>
        <v>2</v>
      </c>
      <c r="E27" s="336">
        <f>SUMIFS(STATS!AG:AG, STATS!C:C,"BOD",STATS!K:K,"H")</f>
        <v>7.3</v>
      </c>
      <c r="F27" s="337"/>
      <c r="G27" s="142">
        <f>COUNTIFS(STATS!D:D,"LPE", STATS!C:C,"BOD",STATS!K:K,"L")</f>
        <v>0</v>
      </c>
      <c r="H27" s="336">
        <f>SUMIFS(STATS!AG:AG, STATS!C:C,"BOD",STATS!K:K,"L")</f>
        <v>0</v>
      </c>
      <c r="I27" s="337"/>
      <c r="J27" s="142">
        <f t="shared" si="0"/>
        <v>2</v>
      </c>
      <c r="K27" s="342">
        <f t="shared" si="1"/>
        <v>7.3</v>
      </c>
      <c r="L27" s="342"/>
      <c r="M27" s="343"/>
      <c r="O27" s="317" t="s">
        <v>147</v>
      </c>
      <c r="P27" s="317"/>
      <c r="Q27" s="317"/>
      <c r="R27" s="317"/>
      <c r="S27" s="317">
        <f>COUNTIFS(STATS!C:C,"BOD",STATS!AQ:AQ,"Y")</f>
        <v>5</v>
      </c>
      <c r="T27" s="317"/>
    </row>
    <row r="28" spans="1:20" x14ac:dyDescent="0.25">
      <c r="A28" s="326" t="s">
        <v>104</v>
      </c>
      <c r="B28" s="327"/>
      <c r="C28" s="328"/>
      <c r="D28" s="177">
        <f>COUNTIFS(STATS!D:D,"SRL", STATS!C:C,"BOD",STATS!K:K,"H")</f>
        <v>2</v>
      </c>
      <c r="E28" s="333">
        <f>SUMIFS(STATS!AH:AH, STATS!C:C,"BOD",STATS!K:K,"H")</f>
        <v>236.5</v>
      </c>
      <c r="F28" s="334"/>
      <c r="G28" s="177">
        <f>COUNTIFS(STATS!D:D,"SRL", STATS!C:C,"BOD",STATS!K:K,"L")</f>
        <v>1</v>
      </c>
      <c r="H28" s="333">
        <f>SUMIFS(STATS!AH:AH, STATS!C:C,"BOD",STATS!K:K,"L")</f>
        <v>198</v>
      </c>
      <c r="I28" s="334"/>
      <c r="J28" s="177">
        <f t="shared" si="0"/>
        <v>3</v>
      </c>
      <c r="K28" s="333">
        <f t="shared" si="1"/>
        <v>434.5</v>
      </c>
      <c r="L28" s="341"/>
      <c r="M28" s="334"/>
      <c r="O28" s="316" t="s">
        <v>15</v>
      </c>
      <c r="P28" s="316"/>
      <c r="Q28" s="316"/>
      <c r="R28" s="316"/>
      <c r="S28" s="317">
        <f>COUNTIFS(STATS!C:C,"BOD",STATS!AN:AN,"Y")</f>
        <v>6</v>
      </c>
      <c r="T28" s="317"/>
    </row>
    <row r="29" spans="1:20" ht="15.75" thickBot="1" x14ac:dyDescent="0.3">
      <c r="A29" s="339" t="s">
        <v>103</v>
      </c>
      <c r="B29" s="340"/>
      <c r="C29" s="340"/>
      <c r="D29" s="143" t="s">
        <v>24</v>
      </c>
      <c r="E29" s="336">
        <f>SUMIFS(STATS!AI:AI, STATS!C:C,"BOD",STATS!K:K,"H")</f>
        <v>0</v>
      </c>
      <c r="F29" s="337"/>
      <c r="G29" s="145" t="s">
        <v>24</v>
      </c>
      <c r="H29" s="336">
        <f>SUMIFS(STATS!AI:AI, STATS!C:C,"BOD",STATS!K:K,"L")</f>
        <v>0</v>
      </c>
      <c r="I29" s="337"/>
      <c r="J29" s="145" t="s">
        <v>24</v>
      </c>
      <c r="K29" s="342">
        <f t="shared" ref="K29" si="3">SUM(E29,H29)</f>
        <v>0</v>
      </c>
      <c r="L29" s="342"/>
      <c r="M29" s="343"/>
      <c r="O29" s="369"/>
      <c r="P29" s="321"/>
      <c r="Q29" s="321"/>
      <c r="R29" s="370"/>
      <c r="S29" s="163"/>
      <c r="T29" s="163"/>
    </row>
    <row r="30" spans="1:20" ht="15.75" thickBot="1" x14ac:dyDescent="0.3">
      <c r="A30" s="320" t="s">
        <v>102</v>
      </c>
      <c r="B30" s="320"/>
      <c r="C30" s="338"/>
      <c r="D30" s="144">
        <f>SUM(D12:D28)</f>
        <v>63</v>
      </c>
      <c r="E30" s="344">
        <f>SUM(E12:F29)</f>
        <v>4419.54</v>
      </c>
      <c r="F30" s="345"/>
      <c r="G30" s="146">
        <f>SUM(G12:G28)</f>
        <v>26</v>
      </c>
      <c r="H30" s="344">
        <f>SUM(H12:I29)</f>
        <v>3689.2499999999991</v>
      </c>
      <c r="I30" s="345"/>
      <c r="J30" s="146">
        <f>SUM(J12:J28)</f>
        <v>89</v>
      </c>
      <c r="K30" s="344">
        <f>SUM(K12:M29)</f>
        <v>8108.7899999999991</v>
      </c>
      <c r="L30" s="344"/>
      <c r="M30" s="345"/>
      <c r="O30" s="363" t="s">
        <v>152</v>
      </c>
      <c r="P30" s="364"/>
      <c r="Q30" s="364"/>
      <c r="R30" s="364"/>
      <c r="S30" s="364"/>
      <c r="T30" s="365"/>
    </row>
    <row r="31" spans="1:20" ht="4.5" customHeight="1" x14ac:dyDescent="0.25">
      <c r="O31" s="366"/>
      <c r="P31" s="367"/>
      <c r="Q31" s="367"/>
      <c r="R31" s="367"/>
      <c r="S31" s="367"/>
      <c r="T31" s="368"/>
    </row>
    <row r="32" spans="1:20" x14ac:dyDescent="0.25">
      <c r="E32" s="348" t="s">
        <v>101</v>
      </c>
      <c r="F32" s="348"/>
      <c r="G32" s="348"/>
      <c r="H32" s="348"/>
      <c r="I32" s="348"/>
      <c r="J32" s="174">
        <f>COUNTIFS(STATS!C:C,"OTHER",STATS!D:D,"BOD")</f>
        <v>0</v>
      </c>
      <c r="K32" s="317">
        <f>STATS!R4-K12</f>
        <v>93.500000000000455</v>
      </c>
      <c r="L32" s="317"/>
      <c r="M32" s="317"/>
      <c r="O32" s="322" t="s">
        <v>153</v>
      </c>
      <c r="P32" s="322"/>
      <c r="Q32" s="149" t="s">
        <v>118</v>
      </c>
      <c r="R32" s="322" t="s">
        <v>153</v>
      </c>
      <c r="S32" s="322"/>
      <c r="T32" s="149" t="s">
        <v>118</v>
      </c>
    </row>
    <row r="33" spans="5:20" x14ac:dyDescent="0.25">
      <c r="E33" s="316" t="s">
        <v>100</v>
      </c>
      <c r="F33" s="316"/>
      <c r="G33" s="316"/>
      <c r="H33" s="316"/>
      <c r="I33" s="316"/>
      <c r="J33" s="151">
        <f>STATS!AJ4</f>
        <v>10</v>
      </c>
      <c r="K33" s="347" t="s">
        <v>164</v>
      </c>
      <c r="L33" s="316"/>
      <c r="M33" s="316"/>
      <c r="O33" s="317" t="s">
        <v>154</v>
      </c>
      <c r="P33" s="317"/>
      <c r="Q33" s="179">
        <f>COUNTIFS(STATS!C:C,"BOD",STATS!AV:AV,"A")</f>
        <v>21</v>
      </c>
      <c r="R33" s="317" t="s">
        <v>158</v>
      </c>
      <c r="S33" s="317"/>
      <c r="T33" s="179">
        <f>COUNTIFS(STATS!C:C,"BOD",STATS!AV:AV,"E")</f>
        <v>6</v>
      </c>
    </row>
    <row r="34" spans="5:20" x14ac:dyDescent="0.25">
      <c r="E34" s="346" t="s">
        <v>99</v>
      </c>
      <c r="F34" s="346"/>
      <c r="G34" s="346"/>
      <c r="H34" s="346"/>
      <c r="I34" s="346"/>
      <c r="J34" s="178">
        <f>RURALASSIST!X4</f>
        <v>8</v>
      </c>
      <c r="K34" s="346">
        <f>SUMIF(RURALASSIST!X:X,"X",RURALASSIST!M:M)</f>
        <v>15.299999999999999</v>
      </c>
      <c r="L34" s="346"/>
      <c r="M34" s="346"/>
      <c r="O34" s="316" t="s">
        <v>155</v>
      </c>
      <c r="P34" s="316"/>
      <c r="Q34" s="152">
        <f>COUNTIFS(STATS!C:C,"BOD",STATS!AV:AV,"B")</f>
        <v>34</v>
      </c>
      <c r="R34" s="316" t="s">
        <v>159</v>
      </c>
      <c r="S34" s="316"/>
      <c r="T34" s="152">
        <f>COUNTIFS(STATS!C:C,"BOD",STATS!AV:AV,"F")</f>
        <v>3</v>
      </c>
    </row>
    <row r="35" spans="5:20" x14ac:dyDescent="0.25">
      <c r="E35" s="343" t="s">
        <v>172</v>
      </c>
      <c r="F35" s="360"/>
      <c r="G35" s="360"/>
      <c r="H35" s="360"/>
      <c r="I35" s="361"/>
      <c r="J35" s="175">
        <f>COUNTIFS(FALSEALARMS!C:C,"BOD")</f>
        <v>8</v>
      </c>
      <c r="K35" s="362" t="s">
        <v>164</v>
      </c>
      <c r="L35" s="360"/>
      <c r="M35" s="361"/>
      <c r="O35" s="317" t="s">
        <v>156</v>
      </c>
      <c r="P35" s="317"/>
      <c r="Q35" s="179">
        <f>COUNTIFS(STATS!C:C,"BOD",STATS!AV:AV,"C")</f>
        <v>19</v>
      </c>
      <c r="R35" s="317" t="s">
        <v>160</v>
      </c>
      <c r="S35" s="317"/>
      <c r="T35" s="179">
        <f>COUNTIFS(STATS!C:C,"BOD",STATS!AV:AV,"G")</f>
        <v>0</v>
      </c>
    </row>
    <row r="36" spans="5:20" x14ac:dyDescent="0.25">
      <c r="K36" s="162"/>
      <c r="L36" s="162"/>
      <c r="O36" s="316" t="s">
        <v>157</v>
      </c>
      <c r="P36" s="316"/>
      <c r="Q36" s="152">
        <f>COUNTIFS(STATS!C:C,"BOD",STATS!AV:AV,"D")</f>
        <v>6</v>
      </c>
      <c r="R36" s="316"/>
      <c r="S36" s="316"/>
      <c r="T36" s="148"/>
    </row>
    <row r="40" spans="5:20" x14ac:dyDescent="0.25">
      <c r="I40" s="162"/>
    </row>
  </sheetData>
  <sortState ref="P29:S36">
    <sortCondition ref="P19"/>
  </sortState>
  <mergeCells count="181">
    <mergeCell ref="E35:I35"/>
    <mergeCell ref="K35:M35"/>
    <mergeCell ref="R35:S35"/>
    <mergeCell ref="R36:S36"/>
    <mergeCell ref="O30:T31"/>
    <mergeCell ref="S22:T22"/>
    <mergeCell ref="S23:T23"/>
    <mergeCell ref="S24:T24"/>
    <mergeCell ref="S25:T25"/>
    <mergeCell ref="S26:T26"/>
    <mergeCell ref="S27:T27"/>
    <mergeCell ref="S28:T28"/>
    <mergeCell ref="O27:R27"/>
    <mergeCell ref="O32:P32"/>
    <mergeCell ref="R32:S32"/>
    <mergeCell ref="O33:P33"/>
    <mergeCell ref="O34:P34"/>
    <mergeCell ref="O35:P35"/>
    <mergeCell ref="O36:P36"/>
    <mergeCell ref="R33:S33"/>
    <mergeCell ref="R34:S34"/>
    <mergeCell ref="O29:R29"/>
    <mergeCell ref="K24:M24"/>
    <mergeCell ref="K23:M23"/>
    <mergeCell ref="O21:R21"/>
    <mergeCell ref="O24:R24"/>
    <mergeCell ref="O22:R22"/>
    <mergeCell ref="O23:R23"/>
    <mergeCell ref="O25:R25"/>
    <mergeCell ref="O26:R26"/>
    <mergeCell ref="O28:R28"/>
    <mergeCell ref="O18:T18"/>
    <mergeCell ref="O19:R20"/>
    <mergeCell ref="S19:T20"/>
    <mergeCell ref="S21:T21"/>
    <mergeCell ref="O16:P16"/>
    <mergeCell ref="Q11:R11"/>
    <mergeCell ref="Q12:R12"/>
    <mergeCell ref="Q13:R13"/>
    <mergeCell ref="Q14:R14"/>
    <mergeCell ref="Q15:R15"/>
    <mergeCell ref="S11:T11"/>
    <mergeCell ref="S12:T12"/>
    <mergeCell ref="S13:T13"/>
    <mergeCell ref="S14:T14"/>
    <mergeCell ref="S15:T15"/>
    <mergeCell ref="S16:T16"/>
    <mergeCell ref="Q16:R16"/>
    <mergeCell ref="O12:P12"/>
    <mergeCell ref="O13:P13"/>
    <mergeCell ref="O14:P14"/>
    <mergeCell ref="O15:P15"/>
    <mergeCell ref="R3:R4"/>
    <mergeCell ref="S3:S4"/>
    <mergeCell ref="T3:T4"/>
    <mergeCell ref="O5:P5"/>
    <mergeCell ref="O6:P6"/>
    <mergeCell ref="O7:P7"/>
    <mergeCell ref="O8:P8"/>
    <mergeCell ref="O10:T10"/>
    <mergeCell ref="O11:P11"/>
    <mergeCell ref="O3:P4"/>
    <mergeCell ref="Q3:Q4"/>
    <mergeCell ref="O2:T2"/>
    <mergeCell ref="K34:M34"/>
    <mergeCell ref="K33:M33"/>
    <mergeCell ref="K32:M32"/>
    <mergeCell ref="E32:I32"/>
    <mergeCell ref="E33:I33"/>
    <mergeCell ref="E34:I34"/>
    <mergeCell ref="K14:M14"/>
    <mergeCell ref="K13:M13"/>
    <mergeCell ref="K12:M12"/>
    <mergeCell ref="K30:M30"/>
    <mergeCell ref="K28:M28"/>
    <mergeCell ref="K27:M27"/>
    <mergeCell ref="K26:M26"/>
    <mergeCell ref="K25:M25"/>
    <mergeCell ref="E20:F20"/>
    <mergeCell ref="E19:F19"/>
    <mergeCell ref="E18:F18"/>
    <mergeCell ref="K21:M21"/>
    <mergeCell ref="K20:M20"/>
    <mergeCell ref="K19:M19"/>
    <mergeCell ref="H29:I29"/>
    <mergeCell ref="E29:F29"/>
    <mergeCell ref="K29:M29"/>
    <mergeCell ref="K22:M22"/>
    <mergeCell ref="E30:F30"/>
    <mergeCell ref="E28:F28"/>
    <mergeCell ref="E27:F27"/>
    <mergeCell ref="E26:F26"/>
    <mergeCell ref="E25:F25"/>
    <mergeCell ref="E24:F24"/>
    <mergeCell ref="E23:F23"/>
    <mergeCell ref="E22:F22"/>
    <mergeCell ref="H23:I23"/>
    <mergeCell ref="H22:I22"/>
    <mergeCell ref="E21:F21"/>
    <mergeCell ref="H30:I30"/>
    <mergeCell ref="H28:I28"/>
    <mergeCell ref="H27:I27"/>
    <mergeCell ref="H26:I26"/>
    <mergeCell ref="H25:I25"/>
    <mergeCell ref="H24:I24"/>
    <mergeCell ref="H16:I16"/>
    <mergeCell ref="H15:I15"/>
    <mergeCell ref="H21:I21"/>
    <mergeCell ref="H20:I20"/>
    <mergeCell ref="H19:I19"/>
    <mergeCell ref="H17:I17"/>
    <mergeCell ref="K18:M18"/>
    <mergeCell ref="K17:M17"/>
    <mergeCell ref="K16:M16"/>
    <mergeCell ref="A15:C15"/>
    <mergeCell ref="A14:C14"/>
    <mergeCell ref="A13:C13"/>
    <mergeCell ref="H18:I18"/>
    <mergeCell ref="H13:I13"/>
    <mergeCell ref="K15:M15"/>
    <mergeCell ref="A30:C30"/>
    <mergeCell ref="A28:C28"/>
    <mergeCell ref="A27:C27"/>
    <mergeCell ref="A26:C26"/>
    <mergeCell ref="A25:C25"/>
    <mergeCell ref="A24:C24"/>
    <mergeCell ref="A29:C29"/>
    <mergeCell ref="A12:C12"/>
    <mergeCell ref="A23:C23"/>
    <mergeCell ref="A22:C22"/>
    <mergeCell ref="A21:C21"/>
    <mergeCell ref="A20:C20"/>
    <mergeCell ref="A19:C19"/>
    <mergeCell ref="A18:C18"/>
    <mergeCell ref="A11:C11"/>
    <mergeCell ref="A17:C17"/>
    <mergeCell ref="A16:C16"/>
    <mergeCell ref="J10:M10"/>
    <mergeCell ref="G10:I10"/>
    <mergeCell ref="D10:F10"/>
    <mergeCell ref="A10:C10"/>
    <mergeCell ref="H6:I6"/>
    <mergeCell ref="J6:K6"/>
    <mergeCell ref="L6:M6"/>
    <mergeCell ref="A8:M8"/>
    <mergeCell ref="A9:M9"/>
    <mergeCell ref="H12:I12"/>
    <mergeCell ref="H11:I11"/>
    <mergeCell ref="E11:F11"/>
    <mergeCell ref="H14:I14"/>
    <mergeCell ref="K11:M11"/>
    <mergeCell ref="E14:F14"/>
    <mergeCell ref="E13:F13"/>
    <mergeCell ref="E12:F12"/>
    <mergeCell ref="E17:F17"/>
    <mergeCell ref="E16:F16"/>
    <mergeCell ref="E15:F15"/>
    <mergeCell ref="A5:B5"/>
    <mergeCell ref="A6:B6"/>
    <mergeCell ref="E6:F6"/>
    <mergeCell ref="E5:F5"/>
    <mergeCell ref="E4:F4"/>
    <mergeCell ref="C6:D6"/>
    <mergeCell ref="C5:D5"/>
    <mergeCell ref="C4:D4"/>
    <mergeCell ref="L3:M3"/>
    <mergeCell ref="H4:I4"/>
    <mergeCell ref="J4:K4"/>
    <mergeCell ref="L4:M4"/>
    <mergeCell ref="H5:I5"/>
    <mergeCell ref="J5:K5"/>
    <mergeCell ref="L5:M5"/>
    <mergeCell ref="A1:H1"/>
    <mergeCell ref="A2:F2"/>
    <mergeCell ref="C3:D3"/>
    <mergeCell ref="E3:F3"/>
    <mergeCell ref="A4:B4"/>
    <mergeCell ref="A3:B3"/>
    <mergeCell ref="H2:M2"/>
    <mergeCell ref="H3:I3"/>
    <mergeCell ref="J3:K3"/>
  </mergeCells>
  <pageMargins left="0.7" right="0.7" top="0.75" bottom="0.75" header="0.3" footer="0.3"/>
  <pageSetup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A36"/>
  <sheetViews>
    <sheetView zoomScaleNormal="100" workbookViewId="0">
      <selection activeCell="E13" sqref="E13:F13"/>
    </sheetView>
  </sheetViews>
  <sheetFormatPr defaultRowHeight="15" x14ac:dyDescent="0.25"/>
  <cols>
    <col min="14" max="14" width="1.28515625" customWidth="1"/>
    <col min="15" max="15" width="9.140625" customWidth="1"/>
    <col min="27" max="27" width="10" customWidth="1"/>
  </cols>
  <sheetData>
    <row r="1" spans="1:27" ht="15.75" thickBot="1" x14ac:dyDescent="0.3">
      <c r="A1" s="371" t="s">
        <v>125</v>
      </c>
      <c r="B1" s="371"/>
      <c r="C1" s="371"/>
      <c r="D1" s="371"/>
      <c r="E1" s="371"/>
      <c r="F1" s="371"/>
      <c r="G1" s="371"/>
      <c r="H1" s="371"/>
    </row>
    <row r="2" spans="1:27" ht="33.75" x14ac:dyDescent="0.25">
      <c r="A2" s="317" t="s">
        <v>130</v>
      </c>
      <c r="B2" s="317"/>
      <c r="C2" s="317"/>
      <c r="D2" s="317"/>
      <c r="E2" s="317"/>
      <c r="F2" s="317"/>
      <c r="G2" s="147"/>
      <c r="H2" s="317" t="s">
        <v>122</v>
      </c>
      <c r="I2" s="317"/>
      <c r="J2" s="317"/>
      <c r="K2" s="317"/>
      <c r="L2" s="317"/>
      <c r="M2" s="317"/>
      <c r="O2" s="315" t="s">
        <v>166</v>
      </c>
      <c r="P2" s="315"/>
      <c r="Q2" s="315"/>
      <c r="R2" s="315"/>
      <c r="S2" s="315"/>
      <c r="T2" s="315"/>
      <c r="W2" s="181"/>
      <c r="X2" s="182" t="s">
        <v>36</v>
      </c>
      <c r="Y2" s="183" t="s">
        <v>37</v>
      </c>
      <c r="Z2" s="198" t="s">
        <v>38</v>
      </c>
      <c r="AA2" s="196" t="s">
        <v>194</v>
      </c>
    </row>
    <row r="3" spans="1:27" ht="15" customHeight="1" x14ac:dyDescent="0.25">
      <c r="A3" s="316"/>
      <c r="B3" s="316"/>
      <c r="C3" s="316" t="s">
        <v>118</v>
      </c>
      <c r="D3" s="316"/>
      <c r="E3" s="316" t="s">
        <v>2</v>
      </c>
      <c r="F3" s="316"/>
      <c r="H3" s="316"/>
      <c r="I3" s="316"/>
      <c r="J3" s="316" t="s">
        <v>118</v>
      </c>
      <c r="K3" s="316"/>
      <c r="L3" s="316" t="s">
        <v>2</v>
      </c>
      <c r="M3" s="316"/>
      <c r="O3" s="351" t="s">
        <v>137</v>
      </c>
      <c r="P3" s="352"/>
      <c r="Q3" s="355" t="s">
        <v>118</v>
      </c>
      <c r="R3" s="349" t="s">
        <v>25</v>
      </c>
      <c r="S3" s="349" t="s">
        <v>26</v>
      </c>
      <c r="T3" s="350" t="s">
        <v>3</v>
      </c>
      <c r="W3" s="185" t="s">
        <v>190</v>
      </c>
      <c r="X3" s="176">
        <f>COUNTIFS(STATS!A:A,"&gt;="&amp;STATS!BE4,STATS!A:A,"&lt;="&amp;STATS!BF4,STATS!C:C,"BOF")</f>
        <v>0</v>
      </c>
      <c r="Y3" s="14">
        <f>COUNTIFS(STATS!A:A,"&gt;="&amp;STATS!BE4,STATS!A:A,"&lt;="&amp;STATS!BF4,STATS!C:C,"BOF",STATS!K:K,"H")</f>
        <v>0</v>
      </c>
      <c r="Z3" s="11">
        <f>COUNTIFS(STATS!A:A,"&gt;="&amp;STATS!BE4,STATS!B:B,"&lt;="&amp;STATS!BF4,STATS!C:C,"BOF",STATS!K:K,"L")</f>
        <v>0</v>
      </c>
      <c r="AA3" s="197">
        <f>SUMIFS(STATS!Q:Q,STATS!A:A,"&gt;="&amp;STATS!BE4,STATS!A:A,"&lt;="&amp;STATS!BF4,STATS!C:C,"BOF")</f>
        <v>0</v>
      </c>
    </row>
    <row r="4" spans="1:27" x14ac:dyDescent="0.25">
      <c r="A4" s="317" t="s">
        <v>21</v>
      </c>
      <c r="B4" s="317"/>
      <c r="C4" s="317">
        <f>D30</f>
        <v>31</v>
      </c>
      <c r="D4" s="317"/>
      <c r="E4" s="317">
        <f>E30</f>
        <v>258.21999999999997</v>
      </c>
      <c r="F4" s="317"/>
      <c r="H4" s="317" t="s">
        <v>21</v>
      </c>
      <c r="I4" s="317"/>
      <c r="J4" s="317">
        <f>D30</f>
        <v>31</v>
      </c>
      <c r="K4" s="317"/>
      <c r="L4" s="317">
        <f>ROUND(E30-E29,0)</f>
        <v>258</v>
      </c>
      <c r="M4" s="317"/>
      <c r="O4" s="353"/>
      <c r="P4" s="354"/>
      <c r="Q4" s="356"/>
      <c r="R4" s="349"/>
      <c r="S4" s="349"/>
      <c r="T4" s="350"/>
      <c r="W4" s="187" t="s">
        <v>53</v>
      </c>
      <c r="X4" s="201">
        <f>COUNTIFS(STATS!A:A,"&gt;="&amp;STATS!BE5,STATS!A:A,"&lt;="&amp;STATS!BF5,STATS!C:C,"BOF")</f>
        <v>0</v>
      </c>
      <c r="Y4" s="14">
        <f>COUNTIFS(STATS!A:A,"&gt;="&amp;STATS!BE5,STATS!A:A,"&lt;="&amp;STATS!BF5,STATS!C:C,"BOF",STATS!K:K,"H")</f>
        <v>0</v>
      </c>
      <c r="Z4" s="11">
        <f>COUNTIFS(STATS!B:B,"&gt;="&amp;STATS!BF5,STATS!B:B,"&lt;="&amp;STATS!BG5,STATS!D:D,"BOF",STATS!L:L,"L")</f>
        <v>0</v>
      </c>
      <c r="AA4" s="197">
        <f>SUMIFS(STATS!Q:Q,STATS!A:A,"&gt;="&amp;STATS!BE5,STATS!A:A,"&lt;="&amp;STATS!BF5,STATS!C:C,"BOF")</f>
        <v>0</v>
      </c>
    </row>
    <row r="5" spans="1:27" ht="15.75" thickBot="1" x14ac:dyDescent="0.3">
      <c r="A5" s="318" t="s">
        <v>22</v>
      </c>
      <c r="B5" s="318"/>
      <c r="C5" s="321">
        <f>G30</f>
        <v>53</v>
      </c>
      <c r="D5" s="321"/>
      <c r="E5" s="321">
        <f>H30</f>
        <v>364.50000000000068</v>
      </c>
      <c r="F5" s="321"/>
      <c r="H5" s="318" t="s">
        <v>22</v>
      </c>
      <c r="I5" s="318"/>
      <c r="J5" s="321">
        <f>G30</f>
        <v>53</v>
      </c>
      <c r="K5" s="321"/>
      <c r="L5" s="321">
        <f>ROUND(H30-H29,0)</f>
        <v>357</v>
      </c>
      <c r="M5" s="321"/>
      <c r="O5" s="348" t="s">
        <v>168</v>
      </c>
      <c r="P5" s="348"/>
      <c r="Q5" s="179">
        <f>COUNTIFS( STATS!C:C,"BOF",STATS!G:G,"D1")</f>
        <v>14</v>
      </c>
      <c r="R5" s="179">
        <f>SUMIFS(STATS!Q:Q, STATS!C:C,"BOF",STATS!G:G,"D1",STATS!K:K,"H")</f>
        <v>172.51</v>
      </c>
      <c r="S5" s="179">
        <f>SUMIFS(STATS!Q:Q, STATS!C:C,"BOF",STATS!G:G,"D1",STATS!K:K,"L")</f>
        <v>1.6000000000000003</v>
      </c>
      <c r="T5" s="179">
        <f>SUM(R5:S5)</f>
        <v>174.10999999999999</v>
      </c>
      <c r="W5" s="187" t="s">
        <v>39</v>
      </c>
      <c r="X5" s="201">
        <f>COUNTIFS(STATS!A:A,"&gt;="&amp;STATS!BE6,STATS!A:A,"&lt;="&amp;STATS!BF6,STATS!C:C,"BOF")</f>
        <v>0</v>
      </c>
      <c r="Y5" s="14">
        <f>COUNTIFS(STATS!A:A,"&gt;="&amp;STATS!BE6,STATS!A:A,"&lt;="&amp;STATS!BF6,STATS!C:C,"BOF",STATS!K:K,"H")</f>
        <v>0</v>
      </c>
      <c r="Z5" s="11">
        <f>COUNTIFS(STATS!B:B,"&gt;="&amp;STATS!BF6,STATS!B:B,"&lt;="&amp;STATS!BG6,STATS!D:D,"BOF",STATS!L:L,"L")</f>
        <v>0</v>
      </c>
      <c r="AA5" s="197">
        <f>SUMIFS(STATS!Q:Q,STATS!A:A,"&gt;="&amp;STATS!BE6,STATS!A:A,"&lt;="&amp;STATS!BF6,STATS!C:C,"BOF")</f>
        <v>0</v>
      </c>
    </row>
    <row r="6" spans="1:27" x14ac:dyDescent="0.25">
      <c r="A6" s="319" t="s">
        <v>4</v>
      </c>
      <c r="B6" s="319"/>
      <c r="C6" s="320">
        <f>J30</f>
        <v>84</v>
      </c>
      <c r="D6" s="320"/>
      <c r="E6" s="320">
        <f>K30</f>
        <v>622.72000000000071</v>
      </c>
      <c r="F6" s="320"/>
      <c r="H6" s="319" t="s">
        <v>4</v>
      </c>
      <c r="I6" s="319"/>
      <c r="J6" s="320">
        <f>SUM(J4:K5)</f>
        <v>84</v>
      </c>
      <c r="K6" s="320"/>
      <c r="L6" s="320">
        <f>ROUND(E6,0)</f>
        <v>623</v>
      </c>
      <c r="M6" s="320"/>
      <c r="O6" s="373" t="s">
        <v>167</v>
      </c>
      <c r="P6" s="373"/>
      <c r="Q6" s="158">
        <f>COUNTIFS( STATS!C:C,"BOF",STATS!G:G,"D3")</f>
        <v>13</v>
      </c>
      <c r="R6" s="158">
        <f>SUMIFS(STATS!Q:Q, STATS!C:C,"BOF",STATS!G:G,"D3",STATS!K:K,"H")</f>
        <v>0.25</v>
      </c>
      <c r="S6" s="158">
        <f>SUMIFS(STATS!Q:Q, STATS!C:C,"BOF",STATS!G:G,"D3",STATS!K:K,"L")</f>
        <v>7.0999999999999979</v>
      </c>
      <c r="T6" s="158">
        <f>SUM(R6:S6)</f>
        <v>7.3499999999999979</v>
      </c>
      <c r="W6" s="187" t="s">
        <v>40</v>
      </c>
      <c r="X6" s="201">
        <f>COUNTIFS(STATS!A:A,"&gt;="&amp;STATS!BE7,STATS!A:A,"&lt;="&amp;STATS!BF7,STATS!C:C,"BOF")</f>
        <v>0</v>
      </c>
      <c r="Y6" s="14">
        <f>COUNTIFS(STATS!A:A,"&gt;="&amp;STATS!BE7,STATS!A:A,"&lt;="&amp;STATS!BF7,STATS!C:C,"BOF",STATS!K:K,"H")</f>
        <v>0</v>
      </c>
      <c r="Z6" s="11">
        <f>COUNTIFS(STATS!B:B,"&gt;="&amp;STATS!BF7,STATS!B:B,"&lt;="&amp;STATS!BG7,STATS!D:D,"BOF",STATS!L:L,"L")</f>
        <v>0</v>
      </c>
      <c r="AA6" s="197">
        <f>SUMIFS(STATS!Q:Q,STATS!A:A,"&gt;="&amp;STATS!BE7,STATS!A:A,"&lt;="&amp;STATS!BF7,STATS!C:C,"BOF")</f>
        <v>0</v>
      </c>
    </row>
    <row r="7" spans="1:27" x14ac:dyDescent="0.25">
      <c r="O7" s="348" t="s">
        <v>169</v>
      </c>
      <c r="P7" s="348"/>
      <c r="Q7" s="179">
        <f>COUNTIFS( STATS!C:C,"BOF",STATS!G:G,"D4")</f>
        <v>16</v>
      </c>
      <c r="R7" s="179">
        <f>SUMIFS(STATS!Q:Q, STATS!C:C,"BOF",STATS!G:G,"D4",STATS!K:K,"H")</f>
        <v>3.4000000000000004</v>
      </c>
      <c r="S7" s="179">
        <f>SUMIFS(STATS!Q:Q, STATS!C:C,"BOF",STATS!G:G,"D4",STATS!K:K,"L")</f>
        <v>1</v>
      </c>
      <c r="T7" s="179">
        <f>SUM(R7:S7)</f>
        <v>4.4000000000000004</v>
      </c>
      <c r="W7" s="187" t="s">
        <v>41</v>
      </c>
      <c r="X7" s="201">
        <f>COUNTIFS(STATS!A:A,"&gt;="&amp;STATS!BE8,STATS!A:A,"&lt;="&amp;STATS!BF8,STATS!C:C,"BOF")</f>
        <v>3</v>
      </c>
      <c r="Y7" s="14">
        <f>COUNTIFS(STATS!A:A,"&gt;="&amp;STATS!BE8,STATS!A:A,"&lt;="&amp;STATS!BF8,STATS!C:C,"BOF",STATS!K:K,"H")</f>
        <v>2</v>
      </c>
      <c r="Z7" s="11">
        <f>COUNTIFS(STATS!B:B,"&gt;="&amp;STATS!BF8,STATS!B:B,"&lt;="&amp;STATS!BG8,STATS!D:D,"BOF",STATS!L:L,"L")</f>
        <v>0</v>
      </c>
      <c r="AA7" s="197">
        <f>SUMIFS(STATS!Q:Q,STATS!A:A,"&gt;="&amp;STATS!BE8,STATS!A:A,"&lt;="&amp;STATS!BF8,STATS!C:C,"BOF")</f>
        <v>0.30000000000000004</v>
      </c>
    </row>
    <row r="8" spans="1:27" x14ac:dyDescent="0.25">
      <c r="A8" s="317" t="s">
        <v>67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O8" s="373" t="s">
        <v>170</v>
      </c>
      <c r="P8" s="373"/>
      <c r="Q8" s="158">
        <f>COUNTIFS( STATS!C:C,"BOF",STATS!G:G,"D5")</f>
        <v>28</v>
      </c>
      <c r="R8" s="158">
        <f>SUMIFS(STATS!Q:Q, STATS!C:C,"BOF",STATS!G:G,"D5",STATS!K:K,"H")</f>
        <v>2.9100000000000006</v>
      </c>
      <c r="S8" s="158">
        <f>SUMIFS(STATS!Q:Q, STATS!C:C,"BOF",STATS!G:G,"D5",STATS!K:K,"L")</f>
        <v>349.60000000000025</v>
      </c>
      <c r="T8" s="158">
        <f>SUM(R8:S8)</f>
        <v>352.51000000000028</v>
      </c>
      <c r="W8" s="187" t="s">
        <v>191</v>
      </c>
      <c r="X8" s="201">
        <f>COUNTIFS(STATS!A:A,"&gt;="&amp;STATS!BE9,STATS!A:A,"&lt;="&amp;STATS!BF9,STATS!C:C,"BOF")</f>
        <v>5</v>
      </c>
      <c r="Y8" s="14">
        <f>COUNTIFS(STATS!A:A,"&gt;="&amp;STATS!BE9,STATS!A:A,"&lt;="&amp;STATS!BF9,STATS!C:C,"BOF",STATS!K:K,"H")</f>
        <v>3</v>
      </c>
      <c r="Z8" s="11">
        <f>COUNTIFS(STATS!B:B,"&gt;="&amp;STATS!BF9,STATS!B:B,"&lt;="&amp;STATS!BG9,STATS!D:D,"BOF",STATS!L:L,"L")</f>
        <v>0</v>
      </c>
      <c r="AA8" s="197">
        <f>SUMIFS(STATS!Q:Q,STATS!A:A,"&gt;="&amp;STATS!BE9,STATS!A:A,"&lt;="&amp;STATS!BF9,STATS!C:C,"BOF")</f>
        <v>3.0599999999999996</v>
      </c>
    </row>
    <row r="9" spans="1:27" ht="15.75" thickBot="1" x14ac:dyDescent="0.3">
      <c r="A9" s="331" t="s">
        <v>120</v>
      </c>
      <c r="B9" s="331"/>
      <c r="C9" s="331"/>
      <c r="D9" s="332"/>
      <c r="E9" s="332"/>
      <c r="F9" s="332"/>
      <c r="G9" s="332"/>
      <c r="H9" s="332"/>
      <c r="I9" s="332"/>
      <c r="J9" s="332"/>
      <c r="K9" s="332"/>
      <c r="L9" s="332"/>
      <c r="M9" s="332"/>
      <c r="O9" s="348" t="s">
        <v>171</v>
      </c>
      <c r="P9" s="348"/>
      <c r="Q9" s="179">
        <f>COUNTIFS( STATS!C:C,"BOF",STATS!G:G,"D6")</f>
        <v>12</v>
      </c>
      <c r="R9" s="179">
        <f>SUMIFS(STATS!Q:Q, STATS!C:C,"BOF",STATS!G:G,"D6O",STATS!K:K,"H")</f>
        <v>0</v>
      </c>
      <c r="S9" s="179">
        <f>SUMIFS(STATS!Q:Q, STATS!C:C,"BOF",STATS!G:G,"D6",STATS!K:K,"L")</f>
        <v>5.1000000000000005</v>
      </c>
      <c r="T9" s="179">
        <f>SUM(R9:S9)</f>
        <v>5.1000000000000005</v>
      </c>
      <c r="W9" s="187" t="s">
        <v>192</v>
      </c>
      <c r="X9" s="201">
        <f>COUNTIFS(STATS!A:A,"&gt;="&amp;STATS!BE10,STATS!A:A,"&lt;="&amp;STATS!BF10,STATS!C:C,"BOF")</f>
        <v>18</v>
      </c>
      <c r="Y9" s="14">
        <f>COUNTIFS(STATS!A:A,"&gt;="&amp;STATS!BE10,STATS!A:A,"&lt;="&amp;STATS!BF10,STATS!C:C,"BOF",STATS!K:K,"H")</f>
        <v>3</v>
      </c>
      <c r="Z9" s="11">
        <f>COUNTIFS(STATS!B:B,"&gt;="&amp;STATS!BF10,STATS!B:B,"&lt;="&amp;STATS!BG10,STATS!D:D,"BOF",STATS!L:L,"L")</f>
        <v>0</v>
      </c>
      <c r="AA9" s="197">
        <f>SUMIFS(STATS!Q:Q,STATS!A:A,"&gt;="&amp;STATS!BE10,STATS!A:A,"&lt;="&amp;STATS!BF10,STATS!C:C,"BOF")</f>
        <v>336.11000000000013</v>
      </c>
    </row>
    <row r="10" spans="1:27" x14ac:dyDescent="0.25">
      <c r="A10" s="315"/>
      <c r="B10" s="315"/>
      <c r="C10" s="326"/>
      <c r="D10" s="329" t="s">
        <v>21</v>
      </c>
      <c r="E10" s="320"/>
      <c r="F10" s="330"/>
      <c r="G10" s="329" t="s">
        <v>22</v>
      </c>
      <c r="H10" s="320"/>
      <c r="I10" s="330"/>
      <c r="J10" s="329" t="s">
        <v>4</v>
      </c>
      <c r="K10" s="320"/>
      <c r="L10" s="320"/>
      <c r="M10" s="330"/>
      <c r="W10" s="187" t="s">
        <v>42</v>
      </c>
      <c r="X10" s="201">
        <f>COUNTIFS(STATS!A:A,"&gt;="&amp;STATS!BE11,STATS!A:A,"&lt;="&amp;STATS!BF11,STATS!C:C,"BOF")</f>
        <v>32</v>
      </c>
      <c r="Y10" s="14">
        <f>COUNTIFS(STATS!A:A,"&gt;="&amp;STATS!BE11,STATS!A:A,"&lt;="&amp;STATS!BF11,STATS!C:C,"BOF",STATS!K:K,"H")</f>
        <v>9</v>
      </c>
      <c r="Z10" s="11">
        <f>COUNTIFS(STATS!B:B,"&gt;="&amp;STATS!BF11,STATS!B:B,"&lt;="&amp;STATS!BG11,STATS!D:D,"BOF",STATS!L:L,"L")</f>
        <v>0</v>
      </c>
      <c r="AA10" s="197">
        <f>SUMIFS(STATS!Q:Q,STATS!A:A,"&gt;="&amp;STATS!BE11,STATS!A:A,"&lt;="&amp;STATS!BF11,STATS!C:C,"BOF")</f>
        <v>209.6999999999999</v>
      </c>
    </row>
    <row r="11" spans="1:27" x14ac:dyDescent="0.25">
      <c r="A11" s="322" t="s">
        <v>119</v>
      </c>
      <c r="B11" s="322"/>
      <c r="C11" s="323"/>
      <c r="D11" s="141" t="s">
        <v>118</v>
      </c>
      <c r="E11" s="322" t="s">
        <v>2</v>
      </c>
      <c r="F11" s="335"/>
      <c r="G11" s="141" t="s">
        <v>118</v>
      </c>
      <c r="H11" s="322" t="s">
        <v>2</v>
      </c>
      <c r="I11" s="335"/>
      <c r="J11" s="141" t="s">
        <v>118</v>
      </c>
      <c r="K11" s="322" t="s">
        <v>2</v>
      </c>
      <c r="L11" s="322"/>
      <c r="M11" s="335"/>
      <c r="O11" s="315" t="s">
        <v>23</v>
      </c>
      <c r="P11" s="315"/>
      <c r="Q11" s="315"/>
      <c r="R11" s="315"/>
      <c r="S11" s="315"/>
      <c r="T11" s="315"/>
      <c r="W11" s="187" t="s">
        <v>43</v>
      </c>
      <c r="X11" s="201">
        <f>COUNTIFS(STATS!A:A,"&gt;="&amp;STATS!BE12,STATS!A:A,"&lt;="&amp;STATS!BF12,STATS!C:C,"BOF")</f>
        <v>20</v>
      </c>
      <c r="Y11" s="14">
        <f>COUNTIFS(STATS!A:A,"&gt;="&amp;STATS!BE12,STATS!A:A,"&lt;="&amp;STATS!BF12,STATS!C:C,"BOF",STATS!K:K,"H")</f>
        <v>8</v>
      </c>
      <c r="Z11" s="11">
        <f>COUNTIFS(STATS!B:B,"&gt;="&amp;STATS!BF12,STATS!B:B,"&lt;="&amp;STATS!BG12,STATS!D:D,"BOF",STATS!L:L,"L")</f>
        <v>0</v>
      </c>
      <c r="AA11" s="197">
        <f>SUMIFS(STATS!Q:Q,STATS!A:A,"&gt;="&amp;STATS!BE12,STATS!A:A,"&lt;="&amp;STATS!BF12,STATS!C:C,"BOF")</f>
        <v>8.4999999999999964</v>
      </c>
    </row>
    <row r="12" spans="1:27" x14ac:dyDescent="0.25">
      <c r="A12" s="315" t="s">
        <v>33</v>
      </c>
      <c r="B12" s="315"/>
      <c r="C12" s="326"/>
      <c r="D12" s="177">
        <f>COUNTIFS(STATS!D:D,"BOF", STATS!C:C,"BOF",STATS!K:K,"H")</f>
        <v>21</v>
      </c>
      <c r="E12" s="333">
        <f>SUMIFS(STATS!S:S, STATS!C:C,"BOF",STATS!K:K,"H")</f>
        <v>8.7599999999999962</v>
      </c>
      <c r="F12" s="334"/>
      <c r="G12" s="177">
        <f>COUNTIFS(STATS!D:D,"BOF", STATS!C:C,"BOF",STATS!K:K,"L")</f>
        <v>49</v>
      </c>
      <c r="H12" s="333">
        <f>SUMIFS(STATS!S:S, STATS!C:C,"BOF",STATS!K:K,"L")</f>
        <v>351.50000000000068</v>
      </c>
      <c r="I12" s="334"/>
      <c r="J12" s="177">
        <f>SUM(D12,G12)</f>
        <v>70</v>
      </c>
      <c r="K12" s="317">
        <f>SUM(E12,H12)</f>
        <v>360.26000000000067</v>
      </c>
      <c r="L12" s="317"/>
      <c r="M12" s="372"/>
      <c r="O12" s="322" t="s">
        <v>14</v>
      </c>
      <c r="P12" s="322"/>
      <c r="Q12" s="322" t="s">
        <v>48</v>
      </c>
      <c r="R12" s="322"/>
      <c r="S12" s="358" t="s">
        <v>138</v>
      </c>
      <c r="T12" s="358"/>
      <c r="W12" s="187" t="s">
        <v>44</v>
      </c>
      <c r="X12" s="201">
        <f>COUNTIFS(STATS!A:A,"&gt;="&amp;STATS!BE13,STATS!A:A,"&lt;="&amp;STATS!BF13,STATS!C:C,"BOF")</f>
        <v>6</v>
      </c>
      <c r="Y12" s="14">
        <f>COUNTIFS(STATS!A:A,"&gt;="&amp;STATS!BE13,STATS!A:A,"&lt;="&amp;STATS!BF13,STATS!C:C,"BOF",STATS!K:K,"H")</f>
        <v>6</v>
      </c>
      <c r="Z12" s="11">
        <f>COUNTIFS(STATS!B:B,"&gt;="&amp;STATS!BF13,STATS!B:B,"&lt;="&amp;STATS!BG13,STATS!D:D,"BOF",STATS!L:L,"L")</f>
        <v>0</v>
      </c>
      <c r="AA12" s="197">
        <f>SUMIFS(STATS!Q:Q,STATS!A:A,"&gt;="&amp;STATS!BE13,STATS!A:A,"&lt;="&amp;STATS!BF13,STATS!C:C,"BOF")</f>
        <v>65.049999999999983</v>
      </c>
    </row>
    <row r="13" spans="1:27" x14ac:dyDescent="0.25">
      <c r="A13" s="324" t="s">
        <v>32</v>
      </c>
      <c r="B13" s="324"/>
      <c r="C13" s="325"/>
      <c r="D13" s="142">
        <f>COUNTIFS(STATS!D:D,"BOD", STATS!C:C,"BOF",STATS!K:K,"H")</f>
        <v>2</v>
      </c>
      <c r="E13" s="336">
        <f>SUMIFS(STATS!R:R, STATS!C:C,"BOF",STATS!K:K,"H")</f>
        <v>93</v>
      </c>
      <c r="F13" s="337"/>
      <c r="G13" s="142">
        <f>COUNTIFS(STATS!D:D,"BOD", STATS!C:C,"BOF",STATS!K:K,"L")</f>
        <v>0</v>
      </c>
      <c r="H13" s="336">
        <f>SUMIFS(STATS!R:R, STATS!C:C,"BOF",STATS!K:K,"L")</f>
        <v>0</v>
      </c>
      <c r="I13" s="337"/>
      <c r="J13" s="142">
        <f t="shared" ref="J13:K28" si="0">SUM(D13,G13)</f>
        <v>2</v>
      </c>
      <c r="K13" s="342">
        <f t="shared" si="0"/>
        <v>93</v>
      </c>
      <c r="L13" s="342"/>
      <c r="M13" s="343"/>
      <c r="O13" s="317" t="s">
        <v>141</v>
      </c>
      <c r="P13" s="317"/>
      <c r="Q13" s="317">
        <f>COUNTIFS(STATS!C:C,"BOF",STATS!AM:AM,"AGENCY")</f>
        <v>23</v>
      </c>
      <c r="R13" s="317"/>
      <c r="S13" s="359">
        <f>Q13/SUM(Q13:R17)</f>
        <v>0.27380952380952384</v>
      </c>
      <c r="T13" s="359"/>
      <c r="W13" s="187" t="s">
        <v>45</v>
      </c>
      <c r="X13" s="201">
        <f>COUNTIFS(STATS!A:A,"&gt;="&amp;STATS!BE14,STATS!A:A,"&lt;="&amp;STATS!BF14,STATS!C:C,"BOF")</f>
        <v>0</v>
      </c>
      <c r="Y13" s="14">
        <f>COUNTIFS(STATS!A:A,"&gt;="&amp;STATS!BE14,STATS!A:A,"&lt;="&amp;STATS!BF14,STATS!C:C,"BOF",STATS!K:K,"H")</f>
        <v>0</v>
      </c>
      <c r="Z13" s="11">
        <f>COUNTIFS(STATS!B:B,"&gt;="&amp;STATS!BF14,STATS!B:B,"&lt;="&amp;STATS!BG14,STATS!D:D,"BOF",STATS!L:L,"L")</f>
        <v>0</v>
      </c>
      <c r="AA13" s="197">
        <f>SUMIFS(STATS!Q:Q,STATS!A:A,"&gt;="&amp;STATS!BE14,STATS!A:A,"&lt;="&amp;STATS!BF14,STATS!C:C,"BOF")</f>
        <v>0</v>
      </c>
    </row>
    <row r="14" spans="1:27" x14ac:dyDescent="0.25">
      <c r="A14" s="315" t="s">
        <v>34</v>
      </c>
      <c r="B14" s="315"/>
      <c r="C14" s="326"/>
      <c r="D14" s="177">
        <f>COUNTIFS(STATS!D:D,"SWS", STATS!C:C,"BOF",STATS!K:K,"H")</f>
        <v>3</v>
      </c>
      <c r="E14" s="333">
        <f>SUMIFS(STATS!T:T, STATS!C:C,"BOF",STATS!K:K,"H")</f>
        <v>64.75</v>
      </c>
      <c r="F14" s="334"/>
      <c r="G14" s="177">
        <f>COUNTIFS(STATS!D:D,"SWS", STATS!C:C,"BOF",STATS!K:K,"L")</f>
        <v>2</v>
      </c>
      <c r="H14" s="333">
        <f>SUMIFS(STATS!T:T, STATS!C:C,"BOF",STATS!K:K,"L")</f>
        <v>4.8</v>
      </c>
      <c r="I14" s="334"/>
      <c r="J14" s="177">
        <f t="shared" si="0"/>
        <v>5</v>
      </c>
      <c r="K14" s="317">
        <f t="shared" si="0"/>
        <v>69.55</v>
      </c>
      <c r="L14" s="317"/>
      <c r="M14" s="372"/>
      <c r="O14" s="316" t="s">
        <v>140</v>
      </c>
      <c r="P14" s="316"/>
      <c r="Q14" s="316">
        <f>COUNTIFS(STATS!C:C,"BOF",STATS!AM:AM,"AIRCRAFT")</f>
        <v>16</v>
      </c>
      <c r="R14" s="316"/>
      <c r="S14" s="359">
        <f>Q14/SUM(Q13:R17)</f>
        <v>0.19047619047619047</v>
      </c>
      <c r="T14" s="359"/>
      <c r="W14" s="187" t="s">
        <v>46</v>
      </c>
      <c r="X14" s="201">
        <f>COUNTIFS(STATS!A:A,"&gt;="&amp;STATS!BE15,STATS!A:A,"&lt;="&amp;STATS!BF15,STATS!C:C,"BOF")</f>
        <v>0</v>
      </c>
      <c r="Y14" s="14">
        <f>COUNTIFS(STATS!A:A,"&gt;="&amp;STATS!BE15,STATS!A:A,"&lt;="&amp;STATS!BF15,STATS!C:C,"BOF",STATS!K:K,"H")</f>
        <v>0</v>
      </c>
      <c r="Z14" s="11">
        <f>COUNTIFS(STATS!B:B,"&gt;="&amp;STATS!BF15,STATS!B:B,"&lt;="&amp;STATS!BG15,STATS!D:D,"BOF",STATS!L:L,"L")</f>
        <v>0</v>
      </c>
      <c r="AA14" s="197">
        <f>SUMIFS(STATS!Q:Q,STATS!A:A,"&gt;="&amp;STATS!BE15,STATS!A:A,"&lt;="&amp;STATS!BF15,STATS!C:C,"BOF")</f>
        <v>0</v>
      </c>
    </row>
    <row r="15" spans="1:27" ht="15.75" thickBot="1" x14ac:dyDescent="0.3">
      <c r="A15" s="324" t="s">
        <v>117</v>
      </c>
      <c r="B15" s="324"/>
      <c r="C15" s="325"/>
      <c r="D15" s="142">
        <f>COUNTIFS(STATS!D:D,"1AX", STATS!C:C,"BOF",STATS!K:K,"H")</f>
        <v>0</v>
      </c>
      <c r="E15" s="336">
        <f>SUMIFS(STATS!U:U, STATS!C:C,"BOF",STATS!K:K,"H")</f>
        <v>0</v>
      </c>
      <c r="F15" s="337"/>
      <c r="G15" s="142">
        <f>COUNTIFS(STATS!D:D,"1AX", STATS!C:C,"BOF",STATS!K:K,"L")</f>
        <v>0</v>
      </c>
      <c r="H15" s="336">
        <f>SUMIFS(STATS!U:U, STATS!C:C,"BOF",STATS!K:K,"L")</f>
        <v>0</v>
      </c>
      <c r="I15" s="337"/>
      <c r="J15" s="142">
        <f t="shared" si="0"/>
        <v>0</v>
      </c>
      <c r="K15" s="342">
        <f t="shared" si="0"/>
        <v>0</v>
      </c>
      <c r="L15" s="342"/>
      <c r="M15" s="343"/>
      <c r="O15" s="317" t="s">
        <v>142</v>
      </c>
      <c r="P15" s="317"/>
      <c r="Q15" s="317">
        <f>COUNTIFS(STATS!C:C,"BOF",STATS!AM:AM,"COUNTY")</f>
        <v>21</v>
      </c>
      <c r="R15" s="317"/>
      <c r="S15" s="359">
        <f>Q15/SUM(Q13:R17)</f>
        <v>0.25</v>
      </c>
      <c r="T15" s="359"/>
      <c r="W15" s="188" t="s">
        <v>4</v>
      </c>
      <c r="X15" s="189">
        <f>COUNTIFS(STATS!A:A,"&gt;="&amp;STATS!BE16,STATS!A:A,"&lt;="&amp;STATS!BF16,STATS!C:C,"BOF")</f>
        <v>0</v>
      </c>
      <c r="Y15" s="190">
        <f>SUM(Y3:Y14)</f>
        <v>31</v>
      </c>
      <c r="Z15" s="195">
        <f>SUM(Z3:Z14)</f>
        <v>0</v>
      </c>
      <c r="AA15" s="191">
        <f t="shared" ref="AA15" si="1">SUM(AA3:AA14)</f>
        <v>622.72</v>
      </c>
    </row>
    <row r="16" spans="1:27" x14ac:dyDescent="0.25">
      <c r="A16" s="315" t="s">
        <v>116</v>
      </c>
      <c r="B16" s="315"/>
      <c r="C16" s="326"/>
      <c r="D16" s="177">
        <f>COUNTIFS(STATS!D:D,"1GX", STATS!C:C,"BOF",STATS!K:K,"H")</f>
        <v>0</v>
      </c>
      <c r="E16" s="333">
        <f>SUMIFS(STATS!V:V, STATS!C:C,"BOF",STATS!K:K,"H")</f>
        <v>0</v>
      </c>
      <c r="F16" s="334"/>
      <c r="G16" s="177">
        <f>COUNTIFS(STATS!D:D,"1GX", STATS!C:C,"BOF",STATS!K:K,"L")</f>
        <v>0</v>
      </c>
      <c r="H16" s="333">
        <f>SUMIFS(STATS!V:V, STATS!C:C,"BOF",STATS!K:K,"L")</f>
        <v>0</v>
      </c>
      <c r="I16" s="334"/>
      <c r="J16" s="177">
        <f t="shared" si="0"/>
        <v>0</v>
      </c>
      <c r="K16" s="317">
        <f t="shared" si="0"/>
        <v>0</v>
      </c>
      <c r="L16" s="317"/>
      <c r="M16" s="372"/>
      <c r="O16" s="316" t="s">
        <v>139</v>
      </c>
      <c r="P16" s="316"/>
      <c r="Q16" s="316">
        <f>COUNTIFS(STATS!C:C,"BOF",STATS!AM:AM,"LOOKOUT")</f>
        <v>16</v>
      </c>
      <c r="R16" s="316"/>
      <c r="S16" s="359">
        <f>Q16/SUM(Q13:R17)</f>
        <v>0.19047619047619047</v>
      </c>
      <c r="T16" s="359"/>
    </row>
    <row r="17" spans="1:20" x14ac:dyDescent="0.25">
      <c r="A17" s="324" t="s">
        <v>115</v>
      </c>
      <c r="B17" s="324"/>
      <c r="C17" s="325"/>
      <c r="D17" s="142">
        <f>COUNTIFS(STATS!D:D,"1PX", STATS!C:C,"BOF",STATS!K:K,"H")</f>
        <v>0</v>
      </c>
      <c r="E17" s="336">
        <f>SUMIFS(STATS!W:W, STATS!C:C,"BOF",STATS!K:K,"H")</f>
        <v>0</v>
      </c>
      <c r="F17" s="337"/>
      <c r="G17" s="142">
        <f>COUNTIFS(STATS!D:D,"1PX", STATS!C:C,"BOF",STATS!K:K,"L")</f>
        <v>0</v>
      </c>
      <c r="H17" s="336">
        <f>SUMIFS(STATS!W:W, STATS!C:C,"BOF",STATS!K:K,"L")</f>
        <v>0</v>
      </c>
      <c r="I17" s="337"/>
      <c r="J17" s="142">
        <f t="shared" si="0"/>
        <v>0</v>
      </c>
      <c r="K17" s="342">
        <f t="shared" si="0"/>
        <v>0</v>
      </c>
      <c r="L17" s="342"/>
      <c r="M17" s="343"/>
      <c r="O17" s="317" t="s">
        <v>143</v>
      </c>
      <c r="P17" s="317"/>
      <c r="Q17" s="317">
        <f>COUNTIFS(STATS!C:C,"BOF",STATS!AM:AM,"PRIVATE")</f>
        <v>8</v>
      </c>
      <c r="R17" s="317"/>
      <c r="S17" s="359">
        <f>Q17/SUM(Q13:R17)</f>
        <v>9.5238095238095233E-2</v>
      </c>
      <c r="T17" s="359"/>
    </row>
    <row r="18" spans="1:20" x14ac:dyDescent="0.25">
      <c r="A18" s="315" t="s">
        <v>114</v>
      </c>
      <c r="B18" s="315"/>
      <c r="C18" s="326"/>
      <c r="D18" s="177">
        <f>COUNTIFS(STATS!D:D,"1VX", STATS!C:C,"BOF",STATS!K:K,"H")</f>
        <v>0</v>
      </c>
      <c r="E18" s="333">
        <f>SUMIFS(STATS!X:X, STATS!C:C,"BOF",STATS!K:K,"H")</f>
        <v>0</v>
      </c>
      <c r="F18" s="334"/>
      <c r="G18" s="177">
        <f>COUNTIFS(STATS!D:D,"1VX", STATS!C:C,"BOF",STATS!K:K,"L")</f>
        <v>0</v>
      </c>
      <c r="H18" s="333">
        <f>SUMIFS(STATS!X:X, STATS!C:C,"BOF",STATS!K:K,"L")</f>
        <v>0</v>
      </c>
      <c r="I18" s="334"/>
      <c r="J18" s="177">
        <f t="shared" si="0"/>
        <v>0</v>
      </c>
      <c r="K18" s="317">
        <f t="shared" si="0"/>
        <v>0</v>
      </c>
      <c r="L18" s="317"/>
      <c r="M18" s="372"/>
    </row>
    <row r="19" spans="1:20" x14ac:dyDescent="0.25">
      <c r="A19" s="324" t="s">
        <v>113</v>
      </c>
      <c r="B19" s="324"/>
      <c r="C19" s="325"/>
      <c r="D19" s="142">
        <f>COUNTIFS(STATS!D:D,"1WX", STATS!C:C,"BOF",STATS!K:K,"H")</f>
        <v>0</v>
      </c>
      <c r="E19" s="336">
        <f>SUMIFS(STATS!Y:Y, STATS!C:C,"BOF",STATS!K:K,"H")</f>
        <v>0</v>
      </c>
      <c r="F19" s="337"/>
      <c r="G19" s="142">
        <f>COUNTIFS(STATS!D:D,"1WX", STATS!C:C,"BOF",STATS!K:K,"L")</f>
        <v>0</v>
      </c>
      <c r="H19" s="336">
        <f>SUMIFS(STATS!Y:Y, STATS!C:C,"BOF",STATS!K:K,"L")</f>
        <v>0</v>
      </c>
      <c r="I19" s="337"/>
      <c r="J19" s="142">
        <f t="shared" si="0"/>
        <v>0</v>
      </c>
      <c r="K19" s="342">
        <f t="shared" si="0"/>
        <v>0</v>
      </c>
      <c r="L19" s="342"/>
      <c r="M19" s="343"/>
      <c r="O19" s="315" t="s">
        <v>144</v>
      </c>
      <c r="P19" s="315"/>
      <c r="Q19" s="315"/>
      <c r="R19" s="315"/>
      <c r="S19" s="315"/>
      <c r="T19" s="315"/>
    </row>
    <row r="20" spans="1:20" ht="15" customHeight="1" x14ac:dyDescent="0.25">
      <c r="A20" s="315" t="s">
        <v>112</v>
      </c>
      <c r="B20" s="315"/>
      <c r="C20" s="326"/>
      <c r="D20" s="177">
        <f>COUNTIFS(STATS!D:D,"2CX", STATS!C:C,"BOF",STATS!K:K,"H")</f>
        <v>0</v>
      </c>
      <c r="E20" s="333">
        <f>SUMIFS(STATS!Z:Z, STATS!C:C,"BOFD",STATS!K:K,"H")</f>
        <v>0</v>
      </c>
      <c r="F20" s="334"/>
      <c r="G20" s="177">
        <f>COUNTIFS(STATS!D:D,"2CX", STATS!C:C,"BOF",STATS!K:K,"L")</f>
        <v>0</v>
      </c>
      <c r="H20" s="333">
        <f>SUMIFS(STATS!Z:Z, STATS!C:C,"BOF",STATS!K:K,"L")</f>
        <v>0</v>
      </c>
      <c r="I20" s="334"/>
      <c r="J20" s="177">
        <f t="shared" si="0"/>
        <v>0</v>
      </c>
      <c r="K20" s="317">
        <f t="shared" si="0"/>
        <v>0</v>
      </c>
      <c r="L20" s="317"/>
      <c r="M20" s="372"/>
      <c r="O20" s="350" t="s">
        <v>150</v>
      </c>
      <c r="P20" s="350"/>
      <c r="Q20" s="350"/>
      <c r="R20" s="350"/>
      <c r="S20" s="322" t="s">
        <v>165</v>
      </c>
      <c r="T20" s="322"/>
    </row>
    <row r="21" spans="1:20" x14ac:dyDescent="0.25">
      <c r="A21" s="324" t="s">
        <v>111</v>
      </c>
      <c r="B21" s="324"/>
      <c r="C21" s="325"/>
      <c r="D21" s="142">
        <f>COUNTIFS(STATS!D:D,"6BX", STATS!C:C,"BOF",STATS!K:K,"H")</f>
        <v>1</v>
      </c>
      <c r="E21" s="336">
        <f>SUMIFS(STATS!AA:AA, STATS!C:C,"BOF",STATS!K:K,"H")</f>
        <v>14.25</v>
      </c>
      <c r="F21" s="337"/>
      <c r="G21" s="142">
        <f>COUNTIFS(STATS!D:D,"6BX", STATS!C:C,"BOF",STATS!K:K,"L")</f>
        <v>2</v>
      </c>
      <c r="H21" s="336">
        <f>SUMIFS(STATS!AA:AA, STATS!C:C,"BOF",STATS!K:K,"L")</f>
        <v>0.2</v>
      </c>
      <c r="I21" s="337"/>
      <c r="J21" s="142">
        <f t="shared" si="0"/>
        <v>3</v>
      </c>
      <c r="K21" s="342">
        <f t="shared" si="0"/>
        <v>14.45</v>
      </c>
      <c r="L21" s="342"/>
      <c r="M21" s="343"/>
      <c r="O21" s="350"/>
      <c r="P21" s="350"/>
      <c r="Q21" s="350"/>
      <c r="R21" s="350"/>
      <c r="S21" s="322"/>
      <c r="T21" s="322"/>
    </row>
    <row r="22" spans="1:20" x14ac:dyDescent="0.25">
      <c r="A22" s="315" t="s">
        <v>110</v>
      </c>
      <c r="B22" s="315"/>
      <c r="C22" s="326"/>
      <c r="D22" s="177">
        <f>COUNTIFS(STATS!D:D,"ADX", STATS!C:C,"BOF",STATS!K:K,"H")</f>
        <v>0</v>
      </c>
      <c r="E22" s="333">
        <f>SUMIFS(STATS!AB:AB, STATS!C:C,"BOF",STATS!K:K,"H")</f>
        <v>0</v>
      </c>
      <c r="F22" s="334"/>
      <c r="G22" s="177">
        <f>COUNTIFS(STATS!D:D,"ADX", STATS!C:C,"BOF",STATS!K:K,"L")</f>
        <v>0</v>
      </c>
      <c r="H22" s="333">
        <f>SUMIFS(STATS!AB:AB, STATS!C:C,"BOF",STATS!K:K,"L")</f>
        <v>0</v>
      </c>
      <c r="I22" s="334"/>
      <c r="J22" s="177">
        <f t="shared" si="0"/>
        <v>0</v>
      </c>
      <c r="K22" s="317">
        <f t="shared" si="0"/>
        <v>0</v>
      </c>
      <c r="L22" s="317"/>
      <c r="M22" s="372"/>
      <c r="O22" s="317" t="s">
        <v>56</v>
      </c>
      <c r="P22" s="317"/>
      <c r="Q22" s="317"/>
      <c r="R22" s="317"/>
      <c r="S22" s="317">
        <f>COUNTIFS(STATS!C:C,"BOF",STATS!AU:AU,"Y")</f>
        <v>8</v>
      </c>
      <c r="T22" s="317"/>
    </row>
    <row r="23" spans="1:20" x14ac:dyDescent="0.25">
      <c r="A23" s="324" t="s">
        <v>109</v>
      </c>
      <c r="B23" s="324"/>
      <c r="C23" s="325"/>
      <c r="D23" s="142">
        <f>COUNTIFS(STATS!D:D,"ELX", STATS!C:C,"BOF",STATS!K:K,"H")</f>
        <v>0</v>
      </c>
      <c r="E23" s="336">
        <f>SUMIFS(STATS!AC:AC, STATS!C:C,"BOF",STATS!K:K,"H")</f>
        <v>0.01</v>
      </c>
      <c r="F23" s="337"/>
      <c r="G23" s="142">
        <f>COUNTIFS(STATS!D:D,"ELX", STATS!C:C,"BOF",STATS!K:K,"L")</f>
        <v>0</v>
      </c>
      <c r="H23" s="336">
        <f>SUMIFS(STATS!AC:AC, STATS!C:C,"BOF",STATS!K:K,"L")</f>
        <v>0</v>
      </c>
      <c r="I23" s="337"/>
      <c r="J23" s="142">
        <f t="shared" si="0"/>
        <v>0</v>
      </c>
      <c r="K23" s="342">
        <f t="shared" si="0"/>
        <v>0.01</v>
      </c>
      <c r="L23" s="342"/>
      <c r="M23" s="343"/>
      <c r="O23" s="316" t="s">
        <v>151</v>
      </c>
      <c r="P23" s="316"/>
      <c r="Q23" s="316"/>
      <c r="R23" s="316"/>
      <c r="S23" s="375">
        <f>COUNTIFS(STATS!C:C,"BOF",STATS!AR:AR,"Y")</f>
        <v>7</v>
      </c>
      <c r="T23" s="375"/>
    </row>
    <row r="24" spans="1:20" x14ac:dyDescent="0.25">
      <c r="A24" s="315" t="s">
        <v>108</v>
      </c>
      <c r="B24" s="315"/>
      <c r="C24" s="326"/>
      <c r="D24" s="177">
        <f>COUNTIFS(STATS!D:D,"OWX", STATS!C:C,"BOF",STATS!K:K,"H")</f>
        <v>0</v>
      </c>
      <c r="E24" s="333">
        <f>SUMIFS(STATS!AD:AD, STATS!C:C,"BOF",STATS!K:K,"H")</f>
        <v>0</v>
      </c>
      <c r="F24" s="334"/>
      <c r="G24" s="177">
        <f>COUNTIFS(STATS!D:D,"OWX", STATS!C:C,"BOF",STATS!K:K,"L")</f>
        <v>0</v>
      </c>
      <c r="H24" s="333">
        <f>SUMIFS(STATS!AD:AD, STATS!C:C,"BOF",STATS!K:K,"L")</f>
        <v>0</v>
      </c>
      <c r="I24" s="334"/>
      <c r="J24" s="177">
        <f t="shared" si="0"/>
        <v>0</v>
      </c>
      <c r="K24" s="317">
        <f t="shared" si="0"/>
        <v>0</v>
      </c>
      <c r="L24" s="317"/>
      <c r="M24" s="372"/>
      <c r="O24" s="317" t="s">
        <v>15</v>
      </c>
      <c r="P24" s="317"/>
      <c r="Q24" s="317"/>
      <c r="R24" s="317"/>
      <c r="S24" s="317">
        <f>COUNTIFS(STATS!C:C,"BOF",STATS!AN:AN,"Y")</f>
        <v>2</v>
      </c>
      <c r="T24" s="317"/>
    </row>
    <row r="25" spans="1:20" x14ac:dyDescent="0.25">
      <c r="A25" s="324" t="s">
        <v>107</v>
      </c>
      <c r="B25" s="324"/>
      <c r="C25" s="325"/>
      <c r="D25" s="142">
        <f>COUNTIFS(STATS!D:D,"DFR", STATS!C:C,"BOF",STATS!K:K,"H")</f>
        <v>0</v>
      </c>
      <c r="E25" s="336">
        <f>SUMIFS(STATS!AE:AE, STATS!C:C,"BOF",STATS!K:K,"H")</f>
        <v>0</v>
      </c>
      <c r="F25" s="337"/>
      <c r="G25" s="142">
        <f>COUNTIFS(STATS!D:D,"DFR", STATS!C:C,"BOF",STATS!K:K,"L")</f>
        <v>0</v>
      </c>
      <c r="H25" s="336">
        <f>SUMIFS(STATS!AE:AE, STATS!C:C,"BOF",STATS!K:K,"L")</f>
        <v>0</v>
      </c>
      <c r="I25" s="337"/>
      <c r="J25" s="142">
        <f t="shared" si="0"/>
        <v>0</v>
      </c>
      <c r="K25" s="342">
        <f t="shared" si="0"/>
        <v>0</v>
      </c>
      <c r="L25" s="342"/>
      <c r="M25" s="343"/>
      <c r="O25" s="164"/>
      <c r="P25" s="164"/>
      <c r="Q25" s="165"/>
      <c r="R25" s="165"/>
      <c r="S25" s="166"/>
      <c r="T25" s="166"/>
    </row>
    <row r="26" spans="1:20" x14ac:dyDescent="0.25">
      <c r="A26" s="315" t="s">
        <v>106</v>
      </c>
      <c r="B26" s="315"/>
      <c r="C26" s="326"/>
      <c r="D26" s="177">
        <f>COUNTIFS(STATS!D:D,"MHQ", STATS!C:C,"BOF",STATS!K:K,"H")</f>
        <v>0</v>
      </c>
      <c r="E26" s="333">
        <f>SUMIFS(STATS!AF:AF, STATS!C:C,"BOF",STATS!K:K,"H")</f>
        <v>0</v>
      </c>
      <c r="F26" s="334"/>
      <c r="G26" s="177">
        <f>COUNTIFS(STATS!D:D,"MHQ", STATS!C:C,"BOF",STATS!K:K,"L")</f>
        <v>0</v>
      </c>
      <c r="H26" s="333">
        <f>SUMIFS(STATS!AF:AF, STATS!C:C,"BOF",STATS!K:K,"L")</f>
        <v>0</v>
      </c>
      <c r="I26" s="334"/>
      <c r="J26" s="177">
        <f t="shared" si="0"/>
        <v>0</v>
      </c>
      <c r="K26" s="317">
        <f t="shared" si="0"/>
        <v>0</v>
      </c>
      <c r="L26" s="317"/>
      <c r="M26" s="372"/>
      <c r="R26" s="162"/>
      <c r="S26" s="162"/>
      <c r="T26" s="162"/>
    </row>
    <row r="27" spans="1:20" x14ac:dyDescent="0.25">
      <c r="A27" s="324" t="s">
        <v>105</v>
      </c>
      <c r="B27" s="324"/>
      <c r="C27" s="325"/>
      <c r="D27" s="142">
        <f>COUNTIFS(STATS!D:D,"LPE", STATS!C:C,"BOF",STATS!K:K,"H")</f>
        <v>2</v>
      </c>
      <c r="E27" s="336">
        <f>SUMIFS(STATS!AG:AG, STATS!C:C,"BOF",STATS!K:K,"H")</f>
        <v>42.1</v>
      </c>
      <c r="F27" s="337"/>
      <c r="G27" s="142">
        <f>COUNTIFS(STATS!D:D,"LPE", STATS!C:C,"BOF",STATS!K:K,"L")</f>
        <v>0</v>
      </c>
      <c r="H27" s="336">
        <f>SUMIFS(STATS!AG:AG, STATS!C:C,"BOF",STATS!K:K,"L")</f>
        <v>0</v>
      </c>
      <c r="I27" s="337"/>
      <c r="J27" s="142">
        <f t="shared" si="0"/>
        <v>2</v>
      </c>
      <c r="K27" s="342">
        <f t="shared" si="0"/>
        <v>42.1</v>
      </c>
      <c r="L27" s="342"/>
      <c r="M27" s="343"/>
    </row>
    <row r="28" spans="1:20" x14ac:dyDescent="0.25">
      <c r="A28" s="315" t="s">
        <v>104</v>
      </c>
      <c r="B28" s="315"/>
      <c r="C28" s="326"/>
      <c r="D28" s="177">
        <f>COUNTIFS(STATS!D:D,"SRL", STATS!C:C,"BOF",STATS!K:K,"H")</f>
        <v>2</v>
      </c>
      <c r="E28" s="333">
        <f>SUMIFS(STATS!AH:AH, STATS!C:C,"BOF",STATS!K:K,"H")</f>
        <v>35.35</v>
      </c>
      <c r="F28" s="334"/>
      <c r="G28" s="177">
        <f>COUNTIFS(STATS!D:D,"SRL", STATS!C:C,"BOF",STATS!K:K,"L")</f>
        <v>0</v>
      </c>
      <c r="H28" s="333">
        <f>SUMIFS(STATS!AH:AH, STATS!C:C,"BOF",STATS!K:K,"L")</f>
        <v>0</v>
      </c>
      <c r="I28" s="334"/>
      <c r="J28" s="177">
        <f t="shared" si="0"/>
        <v>2</v>
      </c>
      <c r="K28" s="317">
        <f t="shared" si="0"/>
        <v>35.35</v>
      </c>
      <c r="L28" s="317"/>
      <c r="M28" s="372"/>
    </row>
    <row r="29" spans="1:20" ht="15.75" thickBot="1" x14ac:dyDescent="0.3">
      <c r="A29" s="339" t="s">
        <v>103</v>
      </c>
      <c r="B29" s="340"/>
      <c r="C29" s="340"/>
      <c r="D29" s="143" t="s">
        <v>24</v>
      </c>
      <c r="E29" s="336">
        <f>SUMIFS(STATS!AI:AI, STATS!C:C,"BOF",STATS!K:K,"H")</f>
        <v>0</v>
      </c>
      <c r="F29" s="337"/>
      <c r="G29" s="145" t="s">
        <v>24</v>
      </c>
      <c r="H29" s="336">
        <f>SUMIFS(STATS!AI:AI, STATS!C:C,"BOF",STATS!K:K,"L")</f>
        <v>8</v>
      </c>
      <c r="I29" s="337"/>
      <c r="J29" s="145" t="s">
        <v>24</v>
      </c>
      <c r="K29" s="342">
        <f t="shared" ref="K29" si="2">SUM(E29,H29)</f>
        <v>8</v>
      </c>
      <c r="L29" s="342"/>
      <c r="M29" s="343"/>
    </row>
    <row r="30" spans="1:20" ht="15.75" thickBot="1" x14ac:dyDescent="0.3">
      <c r="A30" s="320" t="s">
        <v>102</v>
      </c>
      <c r="B30" s="320"/>
      <c r="C30" s="338"/>
      <c r="D30" s="144">
        <f>SUM(D12:D28)</f>
        <v>31</v>
      </c>
      <c r="E30" s="344">
        <f>SUM(E12:F29)</f>
        <v>258.21999999999997</v>
      </c>
      <c r="F30" s="345"/>
      <c r="G30" s="146">
        <f>SUM(G12:G28)</f>
        <v>53</v>
      </c>
      <c r="H30" s="344">
        <f>SUM(H12:I29)</f>
        <v>364.50000000000068</v>
      </c>
      <c r="I30" s="345"/>
      <c r="J30" s="146">
        <f>SUM(J12:J28)</f>
        <v>84</v>
      </c>
      <c r="K30" s="344">
        <f>SUM(K12:M29)</f>
        <v>622.72000000000071</v>
      </c>
      <c r="L30" s="344"/>
      <c r="M30" s="345"/>
      <c r="O30" s="363" t="s">
        <v>152</v>
      </c>
      <c r="P30" s="364"/>
      <c r="Q30" s="364"/>
      <c r="R30" s="364"/>
      <c r="S30" s="364"/>
      <c r="T30" s="365"/>
    </row>
    <row r="31" spans="1:20" ht="8.25" customHeight="1" x14ac:dyDescent="0.25">
      <c r="O31" s="366"/>
      <c r="P31" s="367"/>
      <c r="Q31" s="367"/>
      <c r="R31" s="367"/>
      <c r="S31" s="367"/>
      <c r="T31" s="368"/>
    </row>
    <row r="32" spans="1:20" x14ac:dyDescent="0.25">
      <c r="E32" s="348" t="s">
        <v>131</v>
      </c>
      <c r="F32" s="348"/>
      <c r="G32" s="348"/>
      <c r="H32" s="348"/>
      <c r="I32" s="348"/>
      <c r="J32" s="179">
        <f>COUNTIFS(STATS!C:C,"OTHER",STATS!D:D,"BOF")</f>
        <v>5</v>
      </c>
      <c r="K32" s="317">
        <f>STATS!S4-K12</f>
        <v>4.0000000000003411</v>
      </c>
      <c r="L32" s="317"/>
      <c r="M32" s="317"/>
      <c r="O32" s="322" t="s">
        <v>153</v>
      </c>
      <c r="P32" s="322"/>
      <c r="Q32" s="159" t="s">
        <v>118</v>
      </c>
      <c r="R32" s="322" t="s">
        <v>153</v>
      </c>
      <c r="S32" s="322"/>
      <c r="T32" s="159" t="s">
        <v>118</v>
      </c>
    </row>
    <row r="33" spans="5:20" x14ac:dyDescent="0.25">
      <c r="E33" s="316" t="s">
        <v>100</v>
      </c>
      <c r="F33" s="316"/>
      <c r="G33" s="316"/>
      <c r="H33" s="316"/>
      <c r="I33" s="316"/>
      <c r="J33" s="160">
        <f>STATS!AK4</f>
        <v>32</v>
      </c>
      <c r="K33" s="347" t="s">
        <v>164</v>
      </c>
      <c r="L33" s="316"/>
      <c r="M33" s="316"/>
      <c r="O33" s="317" t="s">
        <v>154</v>
      </c>
      <c r="P33" s="317"/>
      <c r="Q33" s="179">
        <f>COUNTIFS(STATS!C:C,"BOF",STATS!AV:AV,"A")</f>
        <v>62</v>
      </c>
      <c r="R33" s="317" t="s">
        <v>158</v>
      </c>
      <c r="S33" s="317"/>
      <c r="T33" s="179">
        <f>COUNTIFS(STATS!C:C,"BOF",STATS!AV:AV,"E")</f>
        <v>1</v>
      </c>
    </row>
    <row r="34" spans="5:20" x14ac:dyDescent="0.25">
      <c r="E34" s="317" t="s">
        <v>99</v>
      </c>
      <c r="F34" s="317"/>
      <c r="G34" s="317"/>
      <c r="H34" s="317"/>
      <c r="I34" s="317"/>
      <c r="J34" s="179">
        <f>RURALASSIST!Y4</f>
        <v>1</v>
      </c>
      <c r="K34" s="317">
        <f>SUMIF(RURALASSIST!Y:Y,"X",RURALASSIST!M:M)</f>
        <v>4</v>
      </c>
      <c r="L34" s="317"/>
      <c r="M34" s="317"/>
      <c r="O34" s="316" t="s">
        <v>155</v>
      </c>
      <c r="P34" s="316"/>
      <c r="Q34" s="158">
        <f>COUNTIFS(STATS!C:C,"BOF",STATS!AV:AV,"B")</f>
        <v>17</v>
      </c>
      <c r="R34" s="316" t="s">
        <v>159</v>
      </c>
      <c r="S34" s="316"/>
      <c r="T34" s="158">
        <f>COUNTIFS(STATS!C:C,"BOF",STATS!AV:AV,"F")</f>
        <v>0</v>
      </c>
    </row>
    <row r="35" spans="5:20" x14ac:dyDescent="0.25">
      <c r="E35" s="316" t="s">
        <v>172</v>
      </c>
      <c r="F35" s="316"/>
      <c r="G35" s="316"/>
      <c r="H35" s="316"/>
      <c r="I35" s="316"/>
      <c r="J35" s="161">
        <f>COUNTIFS(FALSEALARMS!C:C,"BOF")</f>
        <v>13</v>
      </c>
      <c r="K35" s="374" t="s">
        <v>164</v>
      </c>
      <c r="L35" s="342"/>
      <c r="M35" s="342"/>
      <c r="O35" s="317" t="s">
        <v>156</v>
      </c>
      <c r="P35" s="317"/>
      <c r="Q35" s="179">
        <f>COUNTIFS(STATS!C:C,"BOF",STATS!AV:AV,"C")</f>
        <v>3</v>
      </c>
      <c r="R35" s="317" t="s">
        <v>160</v>
      </c>
      <c r="S35" s="317"/>
      <c r="T35" s="179">
        <f>COUNTIFS(STATS!C:C,"BOF",STATS!AV:AV,"G")</f>
        <v>0</v>
      </c>
    </row>
    <row r="36" spans="5:20" x14ac:dyDescent="0.25">
      <c r="O36" s="316" t="s">
        <v>157</v>
      </c>
      <c r="P36" s="316"/>
      <c r="Q36" s="158">
        <f>COUNTIFS(STATS!C:C,"BOF",STATS!AV:AV,"D")</f>
        <v>1</v>
      </c>
      <c r="R36" s="316"/>
      <c r="S36" s="316"/>
      <c r="T36" s="158"/>
    </row>
  </sheetData>
  <mergeCells count="171">
    <mergeCell ref="O34:P34"/>
    <mergeCell ref="R34:S34"/>
    <mergeCell ref="O35:P35"/>
    <mergeCell ref="R35:S35"/>
    <mergeCell ref="O36:P36"/>
    <mergeCell ref="R36:S36"/>
    <mergeCell ref="O3:P4"/>
    <mergeCell ref="Q3:Q4"/>
    <mergeCell ref="E35:I35"/>
    <mergeCell ref="K35:M35"/>
    <mergeCell ref="O32:P32"/>
    <mergeCell ref="R32:S32"/>
    <mergeCell ref="O33:P33"/>
    <mergeCell ref="R33:S33"/>
    <mergeCell ref="O30:T31"/>
    <mergeCell ref="O24:R24"/>
    <mergeCell ref="S24:T24"/>
    <mergeCell ref="O22:R22"/>
    <mergeCell ref="S22:T22"/>
    <mergeCell ref="O23:R23"/>
    <mergeCell ref="S23:T23"/>
    <mergeCell ref="O16:P16"/>
    <mergeCell ref="Q16:R16"/>
    <mergeCell ref="S16:T16"/>
    <mergeCell ref="O17:P17"/>
    <mergeCell ref="Q17:R17"/>
    <mergeCell ref="S17:T17"/>
    <mergeCell ref="O19:T19"/>
    <mergeCell ref="O20:R21"/>
    <mergeCell ref="S20:T21"/>
    <mergeCell ref="O13:P13"/>
    <mergeCell ref="Q13:R13"/>
    <mergeCell ref="S13:T13"/>
    <mergeCell ref="O14:P14"/>
    <mergeCell ref="Q14:R14"/>
    <mergeCell ref="S14:T14"/>
    <mergeCell ref="O15:P15"/>
    <mergeCell ref="Q15:R15"/>
    <mergeCell ref="S15:T15"/>
    <mergeCell ref="O5:P5"/>
    <mergeCell ref="O6:P6"/>
    <mergeCell ref="O7:P7"/>
    <mergeCell ref="O8:P8"/>
    <mergeCell ref="O9:P9"/>
    <mergeCell ref="O11:T11"/>
    <mergeCell ref="O12:P12"/>
    <mergeCell ref="Q12:R12"/>
    <mergeCell ref="S12:T12"/>
    <mergeCell ref="E32:I32"/>
    <mergeCell ref="K32:M32"/>
    <mergeCell ref="E33:I33"/>
    <mergeCell ref="K33:M33"/>
    <mergeCell ref="E34:I34"/>
    <mergeCell ref="K34:M34"/>
    <mergeCell ref="A29:C29"/>
    <mergeCell ref="E29:F29"/>
    <mergeCell ref="H29:I29"/>
    <mergeCell ref="K29:M29"/>
    <mergeCell ref="A30:C30"/>
    <mergeCell ref="E30:F30"/>
    <mergeCell ref="H30:I30"/>
    <mergeCell ref="K30:M30"/>
    <mergeCell ref="A27:C27"/>
    <mergeCell ref="E27:F27"/>
    <mergeCell ref="H27:I27"/>
    <mergeCell ref="K27:M27"/>
    <mergeCell ref="A28:C28"/>
    <mergeCell ref="E28:F28"/>
    <mergeCell ref="H28:I28"/>
    <mergeCell ref="K28:M28"/>
    <mergeCell ref="A25:C25"/>
    <mergeCell ref="E25:F25"/>
    <mergeCell ref="H25:I25"/>
    <mergeCell ref="K25:M25"/>
    <mergeCell ref="A26:C26"/>
    <mergeCell ref="E26:F26"/>
    <mergeCell ref="H26:I26"/>
    <mergeCell ref="K26:M26"/>
    <mergeCell ref="A23:C23"/>
    <mergeCell ref="E23:F23"/>
    <mergeCell ref="H23:I23"/>
    <mergeCell ref="K23:M23"/>
    <mergeCell ref="A24:C24"/>
    <mergeCell ref="E24:F24"/>
    <mergeCell ref="H24:I24"/>
    <mergeCell ref="K24:M24"/>
    <mergeCell ref="A21:C21"/>
    <mergeCell ref="E21:F21"/>
    <mergeCell ref="H21:I21"/>
    <mergeCell ref="K21:M21"/>
    <mergeCell ref="A22:C22"/>
    <mergeCell ref="E22:F22"/>
    <mergeCell ref="H22:I22"/>
    <mergeCell ref="K22:M22"/>
    <mergeCell ref="A19:C19"/>
    <mergeCell ref="E19:F19"/>
    <mergeCell ref="H19:I19"/>
    <mergeCell ref="K19:M19"/>
    <mergeCell ref="A20:C20"/>
    <mergeCell ref="E20:F20"/>
    <mergeCell ref="H20:I20"/>
    <mergeCell ref="K20:M20"/>
    <mergeCell ref="A17:C17"/>
    <mergeCell ref="E17:F17"/>
    <mergeCell ref="H17:I17"/>
    <mergeCell ref="K17:M17"/>
    <mergeCell ref="A18:C18"/>
    <mergeCell ref="E18:F18"/>
    <mergeCell ref="H18:I18"/>
    <mergeCell ref="K18:M18"/>
    <mergeCell ref="A15:C15"/>
    <mergeCell ref="E15:F15"/>
    <mergeCell ref="H15:I15"/>
    <mergeCell ref="K15:M15"/>
    <mergeCell ref="A16:C16"/>
    <mergeCell ref="E16:F16"/>
    <mergeCell ref="H16:I16"/>
    <mergeCell ref="K16:M16"/>
    <mergeCell ref="A13:C13"/>
    <mergeCell ref="E13:F13"/>
    <mergeCell ref="H13:I13"/>
    <mergeCell ref="K13:M13"/>
    <mergeCell ref="A14:C14"/>
    <mergeCell ref="E14:F14"/>
    <mergeCell ref="H14:I14"/>
    <mergeCell ref="K14:M14"/>
    <mergeCell ref="A11:C11"/>
    <mergeCell ref="E11:F11"/>
    <mergeCell ref="H11:I11"/>
    <mergeCell ref="K11:M11"/>
    <mergeCell ref="A12:C12"/>
    <mergeCell ref="E12:F12"/>
    <mergeCell ref="H12:I12"/>
    <mergeCell ref="K12:M12"/>
    <mergeCell ref="A8:M8"/>
    <mergeCell ref="A9:M9"/>
    <mergeCell ref="A10:C10"/>
    <mergeCell ref="D10:F10"/>
    <mergeCell ref="G10:I10"/>
    <mergeCell ref="J10:M10"/>
    <mergeCell ref="A1:H1"/>
    <mergeCell ref="A2:F2"/>
    <mergeCell ref="H2:M2"/>
    <mergeCell ref="A6:B6"/>
    <mergeCell ref="C6:D6"/>
    <mergeCell ref="E6:F6"/>
    <mergeCell ref="H6:I6"/>
    <mergeCell ref="J6:K6"/>
    <mergeCell ref="L6:M6"/>
    <mergeCell ref="A5:B5"/>
    <mergeCell ref="C5:D5"/>
    <mergeCell ref="E5:F5"/>
    <mergeCell ref="H5:I5"/>
    <mergeCell ref="J5:K5"/>
    <mergeCell ref="L5:M5"/>
    <mergeCell ref="O2:T2"/>
    <mergeCell ref="A3:B3"/>
    <mergeCell ref="C3:D3"/>
    <mergeCell ref="E3:F3"/>
    <mergeCell ref="H3:I3"/>
    <mergeCell ref="J3:K3"/>
    <mergeCell ref="L3:M3"/>
    <mergeCell ref="A4:B4"/>
    <mergeCell ref="C4:D4"/>
    <mergeCell ref="E4:F4"/>
    <mergeCell ref="H4:I4"/>
    <mergeCell ref="J4:K4"/>
    <mergeCell ref="L4:M4"/>
    <mergeCell ref="R3:R4"/>
    <mergeCell ref="S3:S4"/>
    <mergeCell ref="T3:T4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A35"/>
  <sheetViews>
    <sheetView zoomScaleNormal="100" workbookViewId="0">
      <selection activeCell="O26" sqref="O26"/>
    </sheetView>
  </sheetViews>
  <sheetFormatPr defaultRowHeight="15" x14ac:dyDescent="0.25"/>
  <cols>
    <col min="14" max="14" width="1.28515625" customWidth="1"/>
    <col min="15" max="15" width="9.140625" customWidth="1"/>
    <col min="27" max="27" width="10.5703125" customWidth="1"/>
  </cols>
  <sheetData>
    <row r="1" spans="1:27" ht="15.75" thickBot="1" x14ac:dyDescent="0.3">
      <c r="A1" s="376" t="s">
        <v>126</v>
      </c>
      <c r="B1" s="376"/>
      <c r="C1" s="376"/>
      <c r="D1" s="376"/>
      <c r="E1" s="376"/>
      <c r="F1" s="376"/>
      <c r="G1" s="376"/>
      <c r="H1" s="376"/>
    </row>
    <row r="2" spans="1:27" ht="33.75" x14ac:dyDescent="0.25">
      <c r="A2" s="317" t="s">
        <v>132</v>
      </c>
      <c r="B2" s="317"/>
      <c r="C2" s="317"/>
      <c r="D2" s="317"/>
      <c r="E2" s="317"/>
      <c r="F2" s="317"/>
      <c r="G2" s="147"/>
      <c r="H2" s="317" t="s">
        <v>122</v>
      </c>
      <c r="I2" s="317"/>
      <c r="J2" s="317"/>
      <c r="K2" s="317"/>
      <c r="L2" s="317"/>
      <c r="M2" s="317"/>
      <c r="O2" s="315" t="s">
        <v>23</v>
      </c>
      <c r="P2" s="315"/>
      <c r="Q2" s="315"/>
      <c r="R2" s="315"/>
      <c r="S2" s="315"/>
      <c r="T2" s="315"/>
      <c r="W2" s="181"/>
      <c r="X2" s="182" t="s">
        <v>36</v>
      </c>
      <c r="Y2" s="183" t="s">
        <v>37</v>
      </c>
      <c r="Z2" s="184" t="s">
        <v>38</v>
      </c>
      <c r="AA2" s="193" t="s">
        <v>195</v>
      </c>
    </row>
    <row r="3" spans="1:27" x14ac:dyDescent="0.25">
      <c r="A3" s="316"/>
      <c r="B3" s="316"/>
      <c r="C3" s="316" t="s">
        <v>118</v>
      </c>
      <c r="D3" s="316"/>
      <c r="E3" s="316" t="s">
        <v>2</v>
      </c>
      <c r="F3" s="316"/>
      <c r="H3" s="316"/>
      <c r="I3" s="316"/>
      <c r="J3" s="316" t="s">
        <v>118</v>
      </c>
      <c r="K3" s="316"/>
      <c r="L3" s="316" t="s">
        <v>2</v>
      </c>
      <c r="M3" s="316"/>
      <c r="O3" s="322" t="s">
        <v>14</v>
      </c>
      <c r="P3" s="322"/>
      <c r="Q3" s="322" t="s">
        <v>48</v>
      </c>
      <c r="R3" s="322"/>
      <c r="S3" s="358" t="s">
        <v>138</v>
      </c>
      <c r="T3" s="358"/>
      <c r="W3" s="185" t="s">
        <v>190</v>
      </c>
      <c r="X3" s="176">
        <f>COUNTIFS(STATS!A:A,"&gt;="&amp;STATS!BE4,STATS!A:A,"&lt;="&amp;STATS!BF4,STATS!C:C,"SWS")</f>
        <v>0</v>
      </c>
      <c r="Y3" s="14">
        <f>COUNTIFS(STATS!A:A,"&gt;="&amp;STATS!BE4,STATS!A:A,"&lt;="&amp;STATS!BF4,STATS!C:C,"SWS",STATS!K:K,"H")</f>
        <v>0</v>
      </c>
      <c r="Z3" s="10">
        <f>COUNTIFS(STATS!A:A,"&gt;="&amp;STATS!BE4,STATS!A:A,"&lt;="&amp;STATS!BF4,STATS!C:C,"BOF",STATS!K:K,"L")</f>
        <v>0</v>
      </c>
      <c r="AA3" s="194">
        <f>SUMIFS(STATS!Q:Q,STATS!A:A,"&gt;="&amp;STATS!BE4,STATS!A:A,"&lt;="&amp;STATS!BF4,STATS!C:C,"SWS")</f>
        <v>0</v>
      </c>
    </row>
    <row r="4" spans="1:27" x14ac:dyDescent="0.25">
      <c r="A4" s="317" t="s">
        <v>21</v>
      </c>
      <c r="B4" s="317"/>
      <c r="C4" s="317">
        <f>D30</f>
        <v>10</v>
      </c>
      <c r="D4" s="317"/>
      <c r="E4" s="317">
        <f>E30</f>
        <v>3.45</v>
      </c>
      <c r="F4" s="317"/>
      <c r="H4" s="317" t="s">
        <v>21</v>
      </c>
      <c r="I4" s="317"/>
      <c r="J4" s="317">
        <f>D30</f>
        <v>10</v>
      </c>
      <c r="K4" s="317"/>
      <c r="L4" s="317">
        <f>ROUND(E4,0)</f>
        <v>3</v>
      </c>
      <c r="M4" s="317"/>
      <c r="O4" s="317" t="s">
        <v>141</v>
      </c>
      <c r="P4" s="317"/>
      <c r="Q4" s="317">
        <f>COUNTIFS(STATS!C:C,"SWS",STATS!AM:AM,"AGENCY")</f>
        <v>3</v>
      </c>
      <c r="R4" s="317"/>
      <c r="S4" s="359">
        <f>Q4/SUM(Q4:R8)</f>
        <v>0.13636363636363635</v>
      </c>
      <c r="T4" s="359"/>
      <c r="W4" s="187" t="s">
        <v>53</v>
      </c>
      <c r="X4" s="201">
        <f>COUNTIFS(STATS!A:A,"&gt;="&amp;STATS!BE5,STATS!A:A,"&lt;="&amp;STATS!BF5,STATS!C:C,"SWS")</f>
        <v>0</v>
      </c>
      <c r="Y4" s="14">
        <f>COUNTIFS(STATS!A:A,"&gt;="&amp;STATS!BE5,STATS!A:A,"&lt;="&amp;STATS!BF5,STATS!C:C,"SWS",STATS!K:K,"H")</f>
        <v>0</v>
      </c>
      <c r="Z4" s="10">
        <f>COUNTIFS(STATS!A:A,"&gt;="&amp;STATS!BE5,STATS!A:A,"&lt;="&amp;STATS!BF5,STATS!C:C,"BOF",STATS!K:K,"L")</f>
        <v>0</v>
      </c>
      <c r="AA4" s="194">
        <f>SUMIFS(STATS!Q:Q,STATS!A:A,"&gt;="&amp;STATS!BE5,STATS!A:A,"&lt;="&amp;STATS!BF5,STATS!C:C,"SWS")</f>
        <v>0</v>
      </c>
    </row>
    <row r="5" spans="1:27" ht="15.75" thickBot="1" x14ac:dyDescent="0.3">
      <c r="A5" s="318" t="s">
        <v>22</v>
      </c>
      <c r="B5" s="318"/>
      <c r="C5" s="379">
        <f>G30</f>
        <v>12</v>
      </c>
      <c r="D5" s="379"/>
      <c r="E5" s="321">
        <f>H30</f>
        <v>2.5</v>
      </c>
      <c r="F5" s="321"/>
      <c r="H5" s="318" t="s">
        <v>22</v>
      </c>
      <c r="I5" s="318"/>
      <c r="J5" s="321">
        <f>G30</f>
        <v>12</v>
      </c>
      <c r="K5" s="321"/>
      <c r="L5" s="321">
        <f>ROUND(E5,0)</f>
        <v>3</v>
      </c>
      <c r="M5" s="321"/>
      <c r="O5" s="316" t="s">
        <v>140</v>
      </c>
      <c r="P5" s="316"/>
      <c r="Q5" s="316">
        <f>COUNTIFS(STATS!C:C,"SWS",STATS!AM:AM,"AIRCRAFT")</f>
        <v>2</v>
      </c>
      <c r="R5" s="316"/>
      <c r="S5" s="380">
        <f>Q5/SUM(Q4:R8)</f>
        <v>9.0909090909090912E-2</v>
      </c>
      <c r="T5" s="380"/>
      <c r="W5" s="187" t="s">
        <v>39</v>
      </c>
      <c r="X5" s="201">
        <f>COUNTIFS(STATS!A:A,"&gt;="&amp;STATS!BE6,STATS!A:A,"&lt;="&amp;STATS!BF6,STATS!C:C,"SWS")</f>
        <v>0</v>
      </c>
      <c r="Y5" s="14">
        <f>COUNTIFS(STATS!A:A,"&gt;="&amp;STATS!BE6,STATS!A:A,"&lt;="&amp;STATS!BF6,STATS!C:C,"SWS",STATS!K:K,"H")</f>
        <v>0</v>
      </c>
      <c r="Z5" s="10">
        <f>COUNTIFS(STATS!A:A,"&gt;="&amp;STATS!BE6,STATS!A:A,"&lt;="&amp;STATS!BF6,STATS!C:C,"BOF",STATS!K:K,"L")</f>
        <v>0</v>
      </c>
      <c r="AA5" s="194">
        <f>SUMIFS(STATS!Q:Q,STATS!A:A,"&gt;="&amp;STATS!BE6,STATS!A:A,"&lt;="&amp;STATS!BF6,STATS!C:C,"SWS")</f>
        <v>0</v>
      </c>
    </row>
    <row r="6" spans="1:27" x14ac:dyDescent="0.25">
      <c r="A6" s="377" t="s">
        <v>4</v>
      </c>
      <c r="B6" s="377"/>
      <c r="C6" s="378">
        <f>J30</f>
        <v>22</v>
      </c>
      <c r="D6" s="378"/>
      <c r="E6" s="378">
        <f>K30</f>
        <v>5.95</v>
      </c>
      <c r="F6" s="378"/>
      <c r="H6" s="377" t="s">
        <v>4</v>
      </c>
      <c r="I6" s="377"/>
      <c r="J6" s="378">
        <f>SUM(J4:K5)</f>
        <v>22</v>
      </c>
      <c r="K6" s="378"/>
      <c r="L6" s="378">
        <f>ROUND(E6,0)</f>
        <v>6</v>
      </c>
      <c r="M6" s="378"/>
      <c r="O6" s="317" t="s">
        <v>142</v>
      </c>
      <c r="P6" s="317"/>
      <c r="Q6" s="317">
        <f>COUNTIFS(STATS!C:C,"SWS",STATS!AM:AM,"COUNTY")</f>
        <v>10</v>
      </c>
      <c r="R6" s="317"/>
      <c r="S6" s="359">
        <f>Q6/SUM(Q4:R8)</f>
        <v>0.45454545454545453</v>
      </c>
      <c r="T6" s="359"/>
      <c r="W6" s="187" t="s">
        <v>40</v>
      </c>
      <c r="X6" s="201">
        <f>COUNTIFS(STATS!A:A,"&gt;="&amp;STATS!BE7,STATS!A:A,"&lt;="&amp;STATS!BF7,STATS!C:C,"SWS")</f>
        <v>1</v>
      </c>
      <c r="Y6" s="14">
        <f>COUNTIFS(STATS!A:A,"&gt;="&amp;STATS!BE7,STATS!A:A,"&lt;="&amp;STATS!BF7,STATS!C:C,"SWS",STATS!K:K,"H")</f>
        <v>1</v>
      </c>
      <c r="Z6" s="10">
        <f>COUNTIFS(STATS!A:A,"&gt;="&amp;STATS!BE7,STATS!A:A,"&lt;="&amp;STATS!BF7,STATS!C:C,"BOF",STATS!K:K,"L")</f>
        <v>0</v>
      </c>
      <c r="AA6" s="194">
        <f>SUMIFS(STATS!Q:Q,STATS!A:A,"&gt;="&amp;STATS!BE7,STATS!A:A,"&lt;="&amp;STATS!BF7,STATS!C:C,"SWS")</f>
        <v>0.1</v>
      </c>
    </row>
    <row r="7" spans="1:27" x14ac:dyDescent="0.25">
      <c r="O7" s="316" t="s">
        <v>139</v>
      </c>
      <c r="P7" s="316"/>
      <c r="Q7" s="316">
        <f>COUNTIFS(STATS!C:C,"SWS",STATS!AM:AM,"LOOKOUT")</f>
        <v>4</v>
      </c>
      <c r="R7" s="316"/>
      <c r="S7" s="380">
        <f>Q7/SUM(Q4:R8)</f>
        <v>0.18181818181818182</v>
      </c>
      <c r="T7" s="380"/>
      <c r="W7" s="187" t="s">
        <v>41</v>
      </c>
      <c r="X7" s="201">
        <f>COUNTIFS(STATS!A:A,"&gt;="&amp;STATS!BE8,STATS!A:A,"&lt;="&amp;STATS!BF8,STATS!C:C,"SWS")</f>
        <v>1</v>
      </c>
      <c r="Y7" s="14">
        <f>COUNTIFS(STATS!A:A,"&gt;="&amp;STATS!BE8,STATS!A:A,"&lt;="&amp;STATS!BF8,STATS!C:C,"SWS",STATS!K:K,"H")</f>
        <v>1</v>
      </c>
      <c r="Z7" s="10">
        <f>COUNTIFS(STATS!A:A,"&gt;="&amp;STATS!BE8,STATS!A:A,"&lt;="&amp;STATS!BF8,STATS!C:C,"BOF",STATS!K:K,"L")</f>
        <v>1</v>
      </c>
      <c r="AA7" s="194">
        <f>SUMIFS(STATS!Q:Q,STATS!A:A,"&gt;="&amp;STATS!BE8,STATS!A:A,"&lt;="&amp;STATS!BF8,STATS!C:C,"SWS")</f>
        <v>0.2</v>
      </c>
    </row>
    <row r="8" spans="1:27" x14ac:dyDescent="0.25">
      <c r="A8" s="317" t="s">
        <v>128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O8" s="317" t="s">
        <v>143</v>
      </c>
      <c r="P8" s="317"/>
      <c r="Q8" s="317">
        <f>COUNTIFS(STATS!C:C,"SWS",STATS!AM:AM,"PRIVATE")</f>
        <v>3</v>
      </c>
      <c r="R8" s="317"/>
      <c r="S8" s="359">
        <f>Q8/SUM(Q4:R8)</f>
        <v>0.13636363636363635</v>
      </c>
      <c r="T8" s="359"/>
      <c r="W8" s="187" t="s">
        <v>191</v>
      </c>
      <c r="X8" s="201">
        <f>COUNTIFS(STATS!A:A,"&gt;="&amp;STATS!BE9,STATS!A:A,"&lt;="&amp;STATS!BF9,STATS!C:C,"SWS")</f>
        <v>1</v>
      </c>
      <c r="Y8" s="14">
        <f>COUNTIFS(STATS!A:A,"&gt;="&amp;STATS!BE9,STATS!A:A,"&lt;="&amp;STATS!BF9,STATS!C:C,"SWS",STATS!K:K,"H")</f>
        <v>0</v>
      </c>
      <c r="Z8" s="10">
        <f>COUNTIFS(STATS!A:A,"&gt;="&amp;STATS!BE9,STATS!A:A,"&lt;="&amp;STATS!BF9,STATS!C:C,"BOF",STATS!K:K,"L")</f>
        <v>2</v>
      </c>
      <c r="AA8" s="194">
        <f>SUMIFS(STATS!Q:Q,STATS!A:A,"&gt;="&amp;STATS!BE9,STATS!A:A,"&lt;="&amp;STATS!BF9,STATS!C:C,"SWS")</f>
        <v>0.1</v>
      </c>
    </row>
    <row r="9" spans="1:27" ht="15.75" thickBot="1" x14ac:dyDescent="0.3">
      <c r="A9" s="331" t="s">
        <v>120</v>
      </c>
      <c r="B9" s="331"/>
      <c r="C9" s="331"/>
      <c r="D9" s="332"/>
      <c r="E9" s="332"/>
      <c r="F9" s="332"/>
      <c r="G9" s="332"/>
      <c r="H9" s="332"/>
      <c r="I9" s="332"/>
      <c r="J9" s="332"/>
      <c r="K9" s="332"/>
      <c r="L9" s="332"/>
      <c r="M9" s="332"/>
      <c r="W9" s="187" t="s">
        <v>192</v>
      </c>
      <c r="X9" s="201">
        <f>COUNTIFS(STATS!A:A,"&gt;="&amp;STATS!BE10,STATS!A:A,"&lt;="&amp;STATS!BF10,STATS!C:C,"SWS")</f>
        <v>3</v>
      </c>
      <c r="Y9" s="14">
        <f>COUNTIFS(STATS!A:A,"&gt;="&amp;STATS!BE10,STATS!A:A,"&lt;="&amp;STATS!BF10,STATS!C:C,"SWS",STATS!K:K,"H")</f>
        <v>2</v>
      </c>
      <c r="Z9" s="10">
        <f>COUNTIFS(STATS!A:A,"&gt;="&amp;STATS!BE10,STATS!A:A,"&lt;="&amp;STATS!BF10,STATS!C:C,"BOF",STATS!K:K,"L")</f>
        <v>15</v>
      </c>
      <c r="AA9" s="194">
        <f>SUMIFS(STATS!Q:Q,STATS!A:A,"&gt;="&amp;STATS!BE10,STATS!A:A,"&lt;="&amp;STATS!BF10,STATS!C:C,"SWS")</f>
        <v>0.55000000000000004</v>
      </c>
    </row>
    <row r="10" spans="1:27" x14ac:dyDescent="0.25">
      <c r="A10" s="315"/>
      <c r="B10" s="315"/>
      <c r="C10" s="326"/>
      <c r="D10" s="329" t="s">
        <v>21</v>
      </c>
      <c r="E10" s="320"/>
      <c r="F10" s="330"/>
      <c r="G10" s="329" t="s">
        <v>22</v>
      </c>
      <c r="H10" s="320"/>
      <c r="I10" s="330"/>
      <c r="J10" s="329" t="s">
        <v>4</v>
      </c>
      <c r="K10" s="320"/>
      <c r="L10" s="320"/>
      <c r="M10" s="330"/>
      <c r="O10" s="315" t="s">
        <v>144</v>
      </c>
      <c r="P10" s="315"/>
      <c r="Q10" s="315"/>
      <c r="R10" s="315"/>
      <c r="S10" s="315"/>
      <c r="T10" s="315"/>
      <c r="W10" s="187" t="s">
        <v>42</v>
      </c>
      <c r="X10" s="201">
        <f>COUNTIFS(STATS!A:A,"&gt;="&amp;STATS!BE11,STATS!A:A,"&lt;="&amp;STATS!BF11,STATS!C:C,"SWS")</f>
        <v>9</v>
      </c>
      <c r="Y10" s="14">
        <f>COUNTIFS(STATS!A:A,"&gt;="&amp;STATS!BE11,STATS!A:A,"&lt;="&amp;STATS!BF11,STATS!C:C,"SWS",STATS!K:K,"H")</f>
        <v>4</v>
      </c>
      <c r="Z10" s="10">
        <f>COUNTIFS(STATS!A:A,"&gt;="&amp;STATS!BE11,STATS!A:A,"&lt;="&amp;STATS!BF11,STATS!C:C,"BOF",STATS!K:K,"L")</f>
        <v>23</v>
      </c>
      <c r="AA10" s="194">
        <f>SUMIFS(STATS!Q:Q,STATS!A:A,"&gt;="&amp;STATS!BE11,STATS!A:A,"&lt;="&amp;STATS!BF11,STATS!C:C,"SWS")</f>
        <v>3.2000000000000006</v>
      </c>
    </row>
    <row r="11" spans="1:27" ht="15" customHeight="1" x14ac:dyDescent="0.25">
      <c r="A11" s="322" t="s">
        <v>119</v>
      </c>
      <c r="B11" s="322"/>
      <c r="C11" s="323"/>
      <c r="D11" s="141" t="s">
        <v>118</v>
      </c>
      <c r="E11" s="322" t="s">
        <v>2</v>
      </c>
      <c r="F11" s="335"/>
      <c r="G11" s="141" t="s">
        <v>118</v>
      </c>
      <c r="H11" s="322" t="s">
        <v>2</v>
      </c>
      <c r="I11" s="335"/>
      <c r="J11" s="141" t="s">
        <v>118</v>
      </c>
      <c r="K11" s="322" t="s">
        <v>2</v>
      </c>
      <c r="L11" s="322"/>
      <c r="M11" s="335"/>
      <c r="O11" s="350" t="s">
        <v>150</v>
      </c>
      <c r="P11" s="350"/>
      <c r="Q11" s="350"/>
      <c r="R11" s="350"/>
      <c r="S11" s="322" t="s">
        <v>165</v>
      </c>
      <c r="T11" s="322"/>
      <c r="W11" s="187" t="s">
        <v>43</v>
      </c>
      <c r="X11" s="201">
        <f>COUNTIFS(STATS!A:A,"&gt;="&amp;STATS!BE12,STATS!A:A,"&lt;="&amp;STATS!BF12,STATS!C:C,"SWS")</f>
        <v>5</v>
      </c>
      <c r="Y11" s="14">
        <f>COUNTIFS(STATS!A:A,"&gt;="&amp;STATS!BE12,STATS!A:A,"&lt;="&amp;STATS!BF12,STATS!C:C,"SWS",STATS!K:K,"H")</f>
        <v>1</v>
      </c>
      <c r="Z11" s="10">
        <f>COUNTIFS(STATS!A:A,"&gt;="&amp;STATS!BE12,STATS!A:A,"&lt;="&amp;STATS!BF12,STATS!C:C,"BOF",STATS!K:K,"L")</f>
        <v>12</v>
      </c>
      <c r="AA11" s="194">
        <f>SUMIFS(STATS!Q:Q,STATS!A:A,"&gt;="&amp;STATS!BE12,STATS!A:A,"&lt;="&amp;STATS!BF12,STATS!C:C,"SWS")</f>
        <v>0.5</v>
      </c>
    </row>
    <row r="12" spans="1:27" x14ac:dyDescent="0.25">
      <c r="A12" s="315" t="s">
        <v>127</v>
      </c>
      <c r="B12" s="315"/>
      <c r="C12" s="326"/>
      <c r="D12" s="177">
        <f>COUNTIFS(STATS!D:D,"SWS", STATS!C:C,"SWS",STATS!K:K,"H")</f>
        <v>0</v>
      </c>
      <c r="E12" s="333">
        <f>SUMIFS(STATS!T:T, STATS!C:C,"SWS",STATS!K:K,"H")</f>
        <v>0</v>
      </c>
      <c r="F12" s="334"/>
      <c r="G12" s="177">
        <f>COUNTIFS(STATS!D:D,"SWS", STATS!C:C,"SWS",STATS!K:K,"L")</f>
        <v>2</v>
      </c>
      <c r="H12" s="333">
        <f>SUMIFS(STATS!T:T, STATS!C:C,"SWS",STATS!K:K,"L")</f>
        <v>0.2</v>
      </c>
      <c r="I12" s="334"/>
      <c r="J12" s="177">
        <f>SUM(D12,G12)</f>
        <v>2</v>
      </c>
      <c r="K12" s="317">
        <f>SUM(E12,H12)</f>
        <v>0.2</v>
      </c>
      <c r="L12" s="317"/>
      <c r="M12" s="372"/>
      <c r="O12" s="350"/>
      <c r="P12" s="350"/>
      <c r="Q12" s="350"/>
      <c r="R12" s="350"/>
      <c r="S12" s="322"/>
      <c r="T12" s="322"/>
      <c r="W12" s="187" t="s">
        <v>44</v>
      </c>
      <c r="X12" s="201">
        <f>COUNTIFS(STATS!A:A,"&gt;="&amp;STATS!BE13,STATS!A:A,"&lt;="&amp;STATS!BF13,STATS!C:C,"SWS")</f>
        <v>1</v>
      </c>
      <c r="Y12" s="14">
        <f>COUNTIFS(STATS!A:A,"&gt;="&amp;STATS!BE13,STATS!A:A,"&lt;="&amp;STATS!BF13,STATS!C:C,"SWS",STATS!K:K,"H")</f>
        <v>0</v>
      </c>
      <c r="Z12" s="10">
        <f>COUNTIFS(STATS!A:A,"&gt;="&amp;STATS!BE13,STATS!A:A,"&lt;="&amp;STATS!BF13,STATS!C:C,"BOF",STATS!K:K,"L")</f>
        <v>0</v>
      </c>
      <c r="AA12" s="194">
        <f>SUMIFS(STATS!Q:Q,STATS!A:A,"&gt;="&amp;STATS!BE13,STATS!A:A,"&lt;="&amp;STATS!BF13,STATS!C:C,"SWS")</f>
        <v>0.1</v>
      </c>
    </row>
    <row r="13" spans="1:27" x14ac:dyDescent="0.25">
      <c r="A13" s="324" t="s">
        <v>33</v>
      </c>
      <c r="B13" s="324"/>
      <c r="C13" s="325"/>
      <c r="D13" s="142">
        <f>COUNTIFS(STATS!D:D,"BOF", STATS!C:C,"SWS",STATS!K:K,"H")</f>
        <v>3</v>
      </c>
      <c r="E13" s="336">
        <f>SUMIFS(STATS!S:S, STATS!C:C,"SWS",STATS!K:K,"H")</f>
        <v>0.7</v>
      </c>
      <c r="F13" s="337"/>
      <c r="G13" s="142">
        <f>COUNTIFS(STATS!D:D,"BOF", STATS!C:C,"SWS",STATS!K:K,"L")</f>
        <v>6</v>
      </c>
      <c r="H13" s="336">
        <f>SUMIFS(STATS!S:S, STATS!C:C,"SWS",STATS!K:K,"L")</f>
        <v>1.6</v>
      </c>
      <c r="I13" s="337"/>
      <c r="J13" s="142">
        <f t="shared" ref="J13:K28" si="0">SUM(D13,G13)</f>
        <v>9</v>
      </c>
      <c r="K13" s="342">
        <f t="shared" si="0"/>
        <v>2.2999999999999998</v>
      </c>
      <c r="L13" s="342"/>
      <c r="M13" s="343"/>
      <c r="O13" s="317" t="s">
        <v>56</v>
      </c>
      <c r="P13" s="317"/>
      <c r="Q13" s="317"/>
      <c r="R13" s="317"/>
      <c r="S13" s="317">
        <f>COUNTIFS(STATS!C:C,"SWS",STATS!AU:AU,"Y")</f>
        <v>0</v>
      </c>
      <c r="T13" s="317"/>
      <c r="W13" s="187" t="s">
        <v>45</v>
      </c>
      <c r="X13" s="201">
        <f>COUNTIFS(STATS!A:A,"&gt;="&amp;STATS!BE14,STATS!A:A,"&lt;="&amp;STATS!BF14,STATS!C:C,"SWS")</f>
        <v>1</v>
      </c>
      <c r="Y13" s="14">
        <f>COUNTIFS(STATS!A:A,"&gt;="&amp;STATS!BE14,STATS!A:A,"&lt;="&amp;STATS!BF14,STATS!C:C,"SWS",STATS!K:K,"H")</f>
        <v>1</v>
      </c>
      <c r="Z13" s="10">
        <f>COUNTIFS(STATS!A:A,"&gt;="&amp;STATS!BE14,STATS!A:A,"&lt;="&amp;STATS!BF14,STATS!C:C,"BOF",STATS!K:K,"L")</f>
        <v>0</v>
      </c>
      <c r="AA13" s="194">
        <f>SUMIFS(STATS!Q:Q,STATS!A:A,"&gt;="&amp;STATS!BE14,STATS!A:A,"&lt;="&amp;STATS!BF14,STATS!C:C,"SWS")</f>
        <v>1.2</v>
      </c>
    </row>
    <row r="14" spans="1:27" x14ac:dyDescent="0.25">
      <c r="A14" s="315" t="s">
        <v>32</v>
      </c>
      <c r="B14" s="315"/>
      <c r="C14" s="326"/>
      <c r="D14" s="177">
        <f>COUNTIFS(STATS!D:D,"BOD", STATS!C:C,"SWS",STATS!K:K,"H")</f>
        <v>0</v>
      </c>
      <c r="E14" s="333">
        <f>SUMIFS(STATS!R:R, STATS!C:C,"SWS",STATS!K:K,"H")</f>
        <v>0</v>
      </c>
      <c r="F14" s="334"/>
      <c r="G14" s="177">
        <f>COUNTIFS(STATS!D:D,"BOD", STATS!C:C,"SWS",STATS!K:K,"L")</f>
        <v>2</v>
      </c>
      <c r="H14" s="333">
        <f>SUMIFS(STATS!R:R, STATS!C:C,"SWS",STATS!K:K,"L")</f>
        <v>0.5</v>
      </c>
      <c r="I14" s="334"/>
      <c r="J14" s="177">
        <f t="shared" si="0"/>
        <v>2</v>
      </c>
      <c r="K14" s="317">
        <f t="shared" si="0"/>
        <v>0.5</v>
      </c>
      <c r="L14" s="317"/>
      <c r="M14" s="372"/>
      <c r="O14" s="316" t="s">
        <v>151</v>
      </c>
      <c r="P14" s="316"/>
      <c r="Q14" s="316"/>
      <c r="R14" s="316"/>
      <c r="S14" s="375">
        <f>COUNTIFS(STATS!C:C,"SWS",STATS!AR:AR,"Y")</f>
        <v>12</v>
      </c>
      <c r="T14" s="375"/>
      <c r="W14" s="187" t="s">
        <v>46</v>
      </c>
      <c r="X14" s="201">
        <f>COUNTIFS(STATS!A:A,"&gt;="&amp;STATS!BE15,STATS!A:A,"&lt;="&amp;STATS!BF15,STATS!C:C,"SWS")</f>
        <v>0</v>
      </c>
      <c r="Y14" s="14">
        <f>COUNTIFS(STATS!A:A,"&gt;="&amp;STATS!BE15,STATS!A:A,"&lt;="&amp;STATS!BF15,STATS!C:C,"SWS",STATS!K:K,"H")</f>
        <v>0</v>
      </c>
      <c r="Z14" s="10">
        <f>COUNTIFS(STATS!A:A,"&gt;="&amp;STATS!BE15,STATS!A:A,"&lt;="&amp;STATS!BF15,STATS!C:C,"BOF",STATS!K:K,"L")</f>
        <v>0</v>
      </c>
      <c r="AA14" s="194">
        <f>SUMIFS(STATS!Q:Q,STATS!A:A,"&gt;="&amp;STATS!BE15,STATS!A:A,"&lt;="&amp;STATS!BF15,STATS!C:C,"SWS")</f>
        <v>0</v>
      </c>
    </row>
    <row r="15" spans="1:27" ht="15.75" thickBot="1" x14ac:dyDescent="0.3">
      <c r="A15" s="324" t="s">
        <v>117</v>
      </c>
      <c r="B15" s="324"/>
      <c r="C15" s="325"/>
      <c r="D15" s="142">
        <f>COUNTIFS(STATS!D:D,"1AX", STATS!C:C,"SWS",STATS!K:K,"H")</f>
        <v>0</v>
      </c>
      <c r="E15" s="336">
        <f>SUMIFS(STATS!U:U, STATS!C:C,"SWS",STATS!K:K,"H")</f>
        <v>0</v>
      </c>
      <c r="F15" s="337"/>
      <c r="G15" s="142">
        <f>COUNTIFS(STATS!D:D,"1AX", STATS!C:C,"SWS",STATS!K:K,"L")</f>
        <v>0</v>
      </c>
      <c r="H15" s="336">
        <f>SUMIFS(STATS!U:U, STATS!C:C,"SWS",STATS!K:K,"L")</f>
        <v>0</v>
      </c>
      <c r="I15" s="337"/>
      <c r="J15" s="142">
        <f t="shared" si="0"/>
        <v>0</v>
      </c>
      <c r="K15" s="342">
        <f t="shared" si="0"/>
        <v>0</v>
      </c>
      <c r="L15" s="342"/>
      <c r="M15" s="343"/>
      <c r="O15" s="317" t="s">
        <v>15</v>
      </c>
      <c r="P15" s="317"/>
      <c r="Q15" s="317"/>
      <c r="R15" s="317"/>
      <c r="S15" s="317">
        <f>COUNTIFS(STATS!C:C,"SWS",STATS!AN:AN,"Y")</f>
        <v>4</v>
      </c>
      <c r="T15" s="317"/>
      <c r="W15" s="188" t="s">
        <v>4</v>
      </c>
      <c r="X15" s="189">
        <f>SUM(X3:X14)</f>
        <v>22</v>
      </c>
      <c r="Y15" s="190">
        <f>SUM(Y3:Y14)</f>
        <v>10</v>
      </c>
      <c r="Z15" s="191">
        <f>SUM(Z3:Z14)</f>
        <v>53</v>
      </c>
      <c r="AA15" s="202">
        <f>SUM(AA3:AA14)</f>
        <v>5.95</v>
      </c>
    </row>
    <row r="16" spans="1:27" x14ac:dyDescent="0.25">
      <c r="A16" s="315" t="s">
        <v>116</v>
      </c>
      <c r="B16" s="315"/>
      <c r="C16" s="326"/>
      <c r="D16" s="177">
        <f>COUNTIFS(STATS!D:D,"1GX", STATS!C:C,"SWS",STATS!K:K,"H")</f>
        <v>0</v>
      </c>
      <c r="E16" s="333">
        <f>SUMIFS(STATS!V:V, STATS!C:C,"SWS",STATS!K:K,"H")</f>
        <v>0</v>
      </c>
      <c r="F16" s="334"/>
      <c r="G16" s="177">
        <f>COUNTIFS(STATS!D:D,"1GX", STATS!C:C,"SWS",STATS!K:K,"L")</f>
        <v>0</v>
      </c>
      <c r="H16" s="333">
        <f>SUMIFS(STATS!V:V, STATS!C:C,"SWS",STATS!K:K,"L")</f>
        <v>0</v>
      </c>
      <c r="I16" s="334"/>
      <c r="J16" s="177">
        <f t="shared" si="0"/>
        <v>0</v>
      </c>
      <c r="K16" s="317">
        <f t="shared" si="0"/>
        <v>0</v>
      </c>
      <c r="L16" s="317"/>
      <c r="M16" s="372"/>
    </row>
    <row r="17" spans="1:20" x14ac:dyDescent="0.25">
      <c r="A17" s="324" t="s">
        <v>115</v>
      </c>
      <c r="B17" s="324"/>
      <c r="C17" s="325"/>
      <c r="D17" s="142">
        <f>COUNTIFS(STATS!D:D,"1PX", STATS!C:C,"SWS",STATS!K:K,"H")</f>
        <v>0</v>
      </c>
      <c r="E17" s="336">
        <f>SUMIFS(STATS!W:W, STATS!C:C,"SWS",STATS!K:K,"H")</f>
        <v>0</v>
      </c>
      <c r="F17" s="337"/>
      <c r="G17" s="142">
        <f>COUNTIFS(STATS!D:D,"1PX", STATS!C:C,"SWS",STATS!K:K,"L")</f>
        <v>0</v>
      </c>
      <c r="H17" s="336">
        <f>SUMIFS(STATS!W:W, STATS!C:C,"SWS",STATS!K:K,"L")</f>
        <v>0</v>
      </c>
      <c r="I17" s="337"/>
      <c r="J17" s="142">
        <f t="shared" si="0"/>
        <v>0</v>
      </c>
      <c r="K17" s="342">
        <f t="shared" si="0"/>
        <v>0</v>
      </c>
      <c r="L17" s="342"/>
      <c r="M17" s="343"/>
      <c r="O17" s="363" t="s">
        <v>152</v>
      </c>
      <c r="P17" s="364"/>
      <c r="Q17" s="364"/>
      <c r="R17" s="364"/>
      <c r="S17" s="364"/>
      <c r="T17" s="365"/>
    </row>
    <row r="18" spans="1:20" x14ac:dyDescent="0.25">
      <c r="A18" s="315" t="s">
        <v>114</v>
      </c>
      <c r="B18" s="315"/>
      <c r="C18" s="326"/>
      <c r="D18" s="177">
        <f>COUNTIFS(STATS!D:D,"1VX", STATS!C:C,"SWS",STATS!K:K,"H")</f>
        <v>0</v>
      </c>
      <c r="E18" s="333">
        <f>SUMIFS(STATS!X:X, STATS!C:C,"SWS",STATS!K:K,"H")</f>
        <v>0</v>
      </c>
      <c r="F18" s="334"/>
      <c r="G18" s="177">
        <f>COUNTIFS(STATS!D:D,"1VX", STATS!C:C,"SWS",STATS!K:K,"L")</f>
        <v>0</v>
      </c>
      <c r="H18" s="333">
        <f>SUMIFS(STATS!X:X, STATS!C:C,"SWS",STATS!K:K,"L")</f>
        <v>0</v>
      </c>
      <c r="I18" s="334"/>
      <c r="J18" s="177">
        <f t="shared" si="0"/>
        <v>0</v>
      </c>
      <c r="K18" s="317">
        <f t="shared" si="0"/>
        <v>0</v>
      </c>
      <c r="L18" s="317"/>
      <c r="M18" s="372"/>
      <c r="O18" s="366"/>
      <c r="P18" s="367"/>
      <c r="Q18" s="367"/>
      <c r="R18" s="367"/>
      <c r="S18" s="367"/>
      <c r="T18" s="368"/>
    </row>
    <row r="19" spans="1:20" x14ac:dyDescent="0.25">
      <c r="A19" s="324" t="s">
        <v>113</v>
      </c>
      <c r="B19" s="324"/>
      <c r="C19" s="325"/>
      <c r="D19" s="142">
        <f>COUNTIFS(STATS!D:D,"1WX", STATS!C:C,"SWS",STATS!K:K,"H")</f>
        <v>0</v>
      </c>
      <c r="E19" s="336">
        <f>SUMIFS(STATS!Y:Y, STATS!C:C,"SWS",STATS!K:K,"H")</f>
        <v>0</v>
      </c>
      <c r="F19" s="337"/>
      <c r="G19" s="142">
        <f>COUNTIFS(STATS!D:D,"1WX", STATS!C:C,"SWS",STATS!K:K,"L")</f>
        <v>0</v>
      </c>
      <c r="H19" s="336">
        <f>SUMIFS(STATS!Y:Y, STATS!C:C,"SWS",STATS!K:K,"L")</f>
        <v>0</v>
      </c>
      <c r="I19" s="337"/>
      <c r="J19" s="142">
        <f t="shared" si="0"/>
        <v>0</v>
      </c>
      <c r="K19" s="342">
        <f t="shared" si="0"/>
        <v>0</v>
      </c>
      <c r="L19" s="342"/>
      <c r="M19" s="343"/>
      <c r="O19" s="322" t="s">
        <v>153</v>
      </c>
      <c r="P19" s="322"/>
      <c r="Q19" s="159" t="s">
        <v>118</v>
      </c>
      <c r="R19" s="322" t="s">
        <v>153</v>
      </c>
      <c r="S19" s="322"/>
      <c r="T19" s="159" t="s">
        <v>118</v>
      </c>
    </row>
    <row r="20" spans="1:20" x14ac:dyDescent="0.25">
      <c r="A20" s="315" t="s">
        <v>112</v>
      </c>
      <c r="B20" s="315"/>
      <c r="C20" s="326"/>
      <c r="D20" s="177">
        <f>COUNTIFS(STATS!D:D,"2CX", STATS!C:C,"SWS",STATS!K:K,"H")</f>
        <v>0</v>
      </c>
      <c r="E20" s="333">
        <f>SUMIFS(STATS!Z:Z, STATS!C:C,"SWS",STATS!K:K,"H")</f>
        <v>0</v>
      </c>
      <c r="F20" s="334"/>
      <c r="G20" s="177">
        <f>COUNTIFS(STATS!D:D,"2CX", STATS!C:C,"SWS",STATS!K:K,"L")</f>
        <v>0</v>
      </c>
      <c r="H20" s="333">
        <f>SUMIFS(STATS!Z:Z, STATS!C:C,"SWS",STATS!K:K,"L")</f>
        <v>0</v>
      </c>
      <c r="I20" s="334"/>
      <c r="J20" s="177">
        <f t="shared" si="0"/>
        <v>0</v>
      </c>
      <c r="K20" s="317">
        <f t="shared" si="0"/>
        <v>0</v>
      </c>
      <c r="L20" s="317"/>
      <c r="M20" s="372"/>
      <c r="O20" s="317" t="s">
        <v>154</v>
      </c>
      <c r="P20" s="317"/>
      <c r="Q20" s="179">
        <f>COUNTIFS(STATS!C:C,"SWS",STATS!AV:AV,"A")</f>
        <v>17</v>
      </c>
      <c r="R20" s="317" t="s">
        <v>158</v>
      </c>
      <c r="S20" s="317"/>
      <c r="T20" s="179">
        <f>COUNTIFS(STATS!C:C,"SWS",STATS!AV:AV,"E")</f>
        <v>0</v>
      </c>
    </row>
    <row r="21" spans="1:20" x14ac:dyDescent="0.25">
      <c r="A21" s="324" t="s">
        <v>111</v>
      </c>
      <c r="B21" s="324"/>
      <c r="C21" s="325"/>
      <c r="D21" s="142">
        <f>COUNTIFS(STATS!D:D,"6BX", STATS!C:C,"SWS",STATS!K:K,"H")</f>
        <v>7</v>
      </c>
      <c r="E21" s="336">
        <f>SUMIFS(STATS!AA:AA, STATS!C:C,"SWS",STATS!K:K,"H")</f>
        <v>2.75</v>
      </c>
      <c r="F21" s="337"/>
      <c r="G21" s="142">
        <f>COUNTIFS(STATS!D:D,"6BX", STATS!C:C,"SWS",STATS!K:K,"L")</f>
        <v>2</v>
      </c>
      <c r="H21" s="336">
        <f>SUMIFS(STATS!AA:AA, STATS!C:C,"SWS",STATS!K:K,"L")</f>
        <v>0.2</v>
      </c>
      <c r="I21" s="337"/>
      <c r="J21" s="142">
        <f t="shared" si="0"/>
        <v>9</v>
      </c>
      <c r="K21" s="342">
        <f t="shared" si="0"/>
        <v>2.95</v>
      </c>
      <c r="L21" s="342"/>
      <c r="M21" s="343"/>
      <c r="O21" s="316" t="s">
        <v>155</v>
      </c>
      <c r="P21" s="316"/>
      <c r="Q21" s="158">
        <f>COUNTIFS(STATS!C:C,"SWS",STATS!AV:AV,"B")</f>
        <v>5</v>
      </c>
      <c r="R21" s="316" t="s">
        <v>159</v>
      </c>
      <c r="S21" s="316"/>
      <c r="T21" s="158">
        <f>COUNTIFS(STATS!C:C,"SWS",STATS!AV:AV,"F")</f>
        <v>0</v>
      </c>
    </row>
    <row r="22" spans="1:20" x14ac:dyDescent="0.25">
      <c r="A22" s="315" t="s">
        <v>110</v>
      </c>
      <c r="B22" s="315"/>
      <c r="C22" s="326"/>
      <c r="D22" s="177">
        <f>COUNTIFS(STATS!D:D,"ADX", STATS!C:C,"SWS",STATS!K:K,"H")</f>
        <v>0</v>
      </c>
      <c r="E22" s="333">
        <f>SUMIFS(STATS!AB:AB, STATS!C:C,"SWS",STATS!K:K,"H")</f>
        <v>0</v>
      </c>
      <c r="F22" s="334"/>
      <c r="G22" s="177">
        <f>COUNTIFS(STATS!D:D,"ADX", STATS!C:C,"SWS",STATS!K:K,"L")</f>
        <v>0</v>
      </c>
      <c r="H22" s="333">
        <f>SUMIFS(STATS!AB:AB, STATS!C:C,"SWS",STATS!K:K,"L")</f>
        <v>0</v>
      </c>
      <c r="I22" s="334"/>
      <c r="J22" s="177">
        <f t="shared" si="0"/>
        <v>0</v>
      </c>
      <c r="K22" s="317">
        <f t="shared" si="0"/>
        <v>0</v>
      </c>
      <c r="L22" s="317"/>
      <c r="M22" s="372"/>
      <c r="O22" s="317" t="s">
        <v>156</v>
      </c>
      <c r="P22" s="317"/>
      <c r="Q22" s="179">
        <f>COUNTIFS(STATS!C:C,"SWS",STATS!AV:AV,"C")</f>
        <v>0</v>
      </c>
      <c r="R22" s="317" t="s">
        <v>160</v>
      </c>
      <c r="S22" s="317"/>
      <c r="T22" s="179">
        <f>COUNTIFS(STATS!C:C,"SWS",STATS!AV:AV,"G")</f>
        <v>0</v>
      </c>
    </row>
    <row r="23" spans="1:20" x14ac:dyDescent="0.25">
      <c r="A23" s="324" t="s">
        <v>109</v>
      </c>
      <c r="B23" s="324"/>
      <c r="C23" s="325"/>
      <c r="D23" s="142">
        <f>COUNTIFS(STATS!D:D,"ELX", STATS!C:C,"SWS",STATS!K:K,"H")</f>
        <v>0</v>
      </c>
      <c r="E23" s="336">
        <f>SUMIFS(STATS!AC:AC, STATS!C:C,"SWS",STATS!K:K,"H")</f>
        <v>0</v>
      </c>
      <c r="F23" s="337"/>
      <c r="G23" s="142">
        <f>COUNTIFS(STATS!D:D,"ELX", STATS!C:C,"SWS",STATS!K:K,"L")</f>
        <v>0</v>
      </c>
      <c r="H23" s="336">
        <f>SUMIFS(STATS!AC:AC, STATS!C:C,"SWS",STATS!K:K,"L")</f>
        <v>0</v>
      </c>
      <c r="I23" s="337"/>
      <c r="J23" s="142">
        <f t="shared" si="0"/>
        <v>0</v>
      </c>
      <c r="K23" s="342">
        <f t="shared" si="0"/>
        <v>0</v>
      </c>
      <c r="L23" s="342"/>
      <c r="M23" s="343"/>
      <c r="O23" s="316" t="s">
        <v>157</v>
      </c>
      <c r="P23" s="316"/>
      <c r="Q23" s="158">
        <f>COUNTIFS(STATS!C:C,"SWS",STATS!AV:AV,"D")</f>
        <v>0</v>
      </c>
      <c r="R23" s="316"/>
      <c r="S23" s="316"/>
      <c r="T23" s="158"/>
    </row>
    <row r="24" spans="1:20" x14ac:dyDescent="0.25">
      <c r="A24" s="315" t="s">
        <v>108</v>
      </c>
      <c r="B24" s="315"/>
      <c r="C24" s="326"/>
      <c r="D24" s="177">
        <f>COUNTIFS(STATS!D:D,"OWX", STATS!C:C,"SWS",STATS!K:K,"H")</f>
        <v>0</v>
      </c>
      <c r="E24" s="333">
        <f>SUMIFS(STATS!AD:AD, STATS!C:C,"SWS",STATS!K:K,"H")</f>
        <v>0</v>
      </c>
      <c r="F24" s="334"/>
      <c r="G24" s="177">
        <f>COUNTIFS(STATS!D:D,"OWX", STATS!C:C,"SWS",STATS!K:K,"L")</f>
        <v>0</v>
      </c>
      <c r="H24" s="333">
        <f>SUMIFS(STATS!AD:AD, STATS!C:C,"SWS",STATS!K:K,"L")</f>
        <v>0</v>
      </c>
      <c r="I24" s="334"/>
      <c r="J24" s="177">
        <f t="shared" si="0"/>
        <v>0</v>
      </c>
      <c r="K24" s="317">
        <f t="shared" si="0"/>
        <v>0</v>
      </c>
      <c r="L24" s="317"/>
      <c r="M24" s="372"/>
    </row>
    <row r="25" spans="1:20" x14ac:dyDescent="0.25">
      <c r="A25" s="324" t="s">
        <v>107</v>
      </c>
      <c r="B25" s="324"/>
      <c r="C25" s="325"/>
      <c r="D25" s="142">
        <f>COUNTIFS(STATS!D:D,"DFR", STATS!C:C,"SWS",STATS!K:K,"H")</f>
        <v>0</v>
      </c>
      <c r="E25" s="336">
        <f>SUMIFS(STATS!AE:AE, STATS!C:C,"SWS",STATS!K:K,"H")</f>
        <v>0</v>
      </c>
      <c r="F25" s="337"/>
      <c r="G25" s="142">
        <f>COUNTIFS(STATS!D:D,"DFR", STATS!C:C,"SWS",STATS!K:K,"L")</f>
        <v>0</v>
      </c>
      <c r="H25" s="336">
        <f>SUMIFS(STATS!AE:AE, STATS!C:C,"SWS",STATS!K:K,"L")</f>
        <v>0</v>
      </c>
      <c r="I25" s="337"/>
      <c r="J25" s="142">
        <f t="shared" si="0"/>
        <v>0</v>
      </c>
      <c r="K25" s="342">
        <f t="shared" si="0"/>
        <v>0</v>
      </c>
      <c r="L25" s="342"/>
      <c r="M25" s="343"/>
    </row>
    <row r="26" spans="1:20" x14ac:dyDescent="0.25">
      <c r="A26" s="315" t="s">
        <v>106</v>
      </c>
      <c r="B26" s="315"/>
      <c r="C26" s="326"/>
      <c r="D26" s="177">
        <f>COUNTIFS(STATS!D:D,"MHQ", STATS!C:C,"SWS",STATS!K:K,"H")</f>
        <v>0</v>
      </c>
      <c r="E26" s="333">
        <f>SUMIFS(STATS!AF:AF, STATS!C:C,"SWS",STATS!K:K,"H")</f>
        <v>0</v>
      </c>
      <c r="F26" s="334"/>
      <c r="G26" s="177">
        <f>COUNTIFS(STATS!D:D,"MHQ", STATS!C:C,"SWS",STATS!K:K,"L")</f>
        <v>0</v>
      </c>
      <c r="H26" s="333">
        <f>SUMIFS(STATS!AF:AF, STATS!C:C,"SWS",STATS!K:K,"L")</f>
        <v>0</v>
      </c>
      <c r="I26" s="334"/>
      <c r="J26" s="177">
        <f t="shared" si="0"/>
        <v>0</v>
      </c>
      <c r="K26" s="317">
        <f t="shared" si="0"/>
        <v>0</v>
      </c>
      <c r="L26" s="317"/>
      <c r="M26" s="372"/>
    </row>
    <row r="27" spans="1:20" x14ac:dyDescent="0.25">
      <c r="A27" s="324" t="s">
        <v>105</v>
      </c>
      <c r="B27" s="324"/>
      <c r="C27" s="325"/>
      <c r="D27" s="142">
        <f>COUNTIFS(STATS!D:D,"LPE", STATS!C:C,"SWS",STATS!K:K,"H")</f>
        <v>0</v>
      </c>
      <c r="E27" s="336">
        <f>SUMIFS(STATS!AG:AG, STATS!C:C,"SWS",STATS!K:K,"H")</f>
        <v>0</v>
      </c>
      <c r="F27" s="337"/>
      <c r="G27" s="142">
        <f>COUNTIFS(STATS!D:D,"LPE", STATS!C:C,"SWS",STATS!K:K,"L")</f>
        <v>0</v>
      </c>
      <c r="H27" s="336">
        <f>SUMIFS(STATS!AG:AG, STATS!C:C,"SWS",STATS!K:K,"L")</f>
        <v>0</v>
      </c>
      <c r="I27" s="337"/>
      <c r="J27" s="142">
        <f t="shared" si="0"/>
        <v>0</v>
      </c>
      <c r="K27" s="342">
        <f t="shared" si="0"/>
        <v>0</v>
      </c>
      <c r="L27" s="342"/>
      <c r="M27" s="343"/>
    </row>
    <row r="28" spans="1:20" x14ac:dyDescent="0.25">
      <c r="A28" s="315" t="s">
        <v>104</v>
      </c>
      <c r="B28" s="315"/>
      <c r="C28" s="326"/>
      <c r="D28" s="177">
        <f>COUNTIFS(STATS!D:D,"SRL", STATS!C:C,"SWS",STATS!K:K,"H")</f>
        <v>0</v>
      </c>
      <c r="E28" s="333">
        <f>SUMIFS(STATS!AH:AH, STATS!C:C,"SWS",STATS!K:K,"H")</f>
        <v>0</v>
      </c>
      <c r="F28" s="334"/>
      <c r="G28" s="177">
        <f>COUNTIFS(STATS!D:D,"SRL", STATS!C:C,"SWS",STATS!K:K,"L")</f>
        <v>0</v>
      </c>
      <c r="H28" s="333">
        <f>SUMIFS(STATS!AH:AH, STATS!C:C,"SWS",STATS!K:K,"L")</f>
        <v>0</v>
      </c>
      <c r="I28" s="334"/>
      <c r="J28" s="177">
        <f t="shared" si="0"/>
        <v>0</v>
      </c>
      <c r="K28" s="317">
        <f t="shared" si="0"/>
        <v>0</v>
      </c>
      <c r="L28" s="317"/>
      <c r="M28" s="372"/>
    </row>
    <row r="29" spans="1:20" ht="15.75" thickBot="1" x14ac:dyDescent="0.3">
      <c r="A29" s="339" t="s">
        <v>103</v>
      </c>
      <c r="B29" s="340"/>
      <c r="C29" s="340"/>
      <c r="D29" s="143" t="s">
        <v>24</v>
      </c>
      <c r="E29" s="336">
        <f>SUMIFS(STATS!AI:AI, STATS!C:C,"SWS",STATS!K:K,"H")</f>
        <v>0</v>
      </c>
      <c r="F29" s="337"/>
      <c r="G29" s="145" t="s">
        <v>24</v>
      </c>
      <c r="H29" s="336">
        <f>SUMIFS(STATS!AI:AI, STATS!C:C,"SWS",STATS!K:K,"L")</f>
        <v>0</v>
      </c>
      <c r="I29" s="337"/>
      <c r="J29" s="145" t="s">
        <v>24</v>
      </c>
      <c r="K29" s="342">
        <f t="shared" ref="K29" si="1">SUM(E29,H29)</f>
        <v>0</v>
      </c>
      <c r="L29" s="342"/>
      <c r="M29" s="343"/>
    </row>
    <row r="30" spans="1:20" ht="15.75" thickBot="1" x14ac:dyDescent="0.3">
      <c r="A30" s="320" t="s">
        <v>102</v>
      </c>
      <c r="B30" s="320"/>
      <c r="C30" s="338"/>
      <c r="D30" s="144">
        <f>SUM(D12:D28)</f>
        <v>10</v>
      </c>
      <c r="E30" s="344">
        <f>SUM(E12:F29)</f>
        <v>3.45</v>
      </c>
      <c r="F30" s="345"/>
      <c r="G30" s="146">
        <f>SUM(G12:G28)</f>
        <v>12</v>
      </c>
      <c r="H30" s="344">
        <f>SUM(H12:I29)</f>
        <v>2.5</v>
      </c>
      <c r="I30" s="345"/>
      <c r="J30" s="146">
        <f>SUM(J12:J28)</f>
        <v>22</v>
      </c>
      <c r="K30" s="344">
        <f>SUM(K12:M29)</f>
        <v>5.95</v>
      </c>
      <c r="L30" s="344"/>
      <c r="M30" s="345"/>
    </row>
    <row r="31" spans="1:20" ht="8.25" customHeight="1" x14ac:dyDescent="0.25"/>
    <row r="32" spans="1:20" x14ac:dyDescent="0.25">
      <c r="E32" s="348" t="s">
        <v>129</v>
      </c>
      <c r="F32" s="348"/>
      <c r="G32" s="348"/>
      <c r="H32" s="348"/>
      <c r="I32" s="348"/>
      <c r="J32" s="179">
        <f>COUNTIFS(STATS!C:C,"OTHER",STATS!D:D,"SWS")</f>
        <v>0</v>
      </c>
      <c r="K32" s="317">
        <f>STATS!T4-K12</f>
        <v>364.84</v>
      </c>
      <c r="L32" s="317"/>
      <c r="M32" s="317"/>
    </row>
    <row r="33" spans="5:13" x14ac:dyDescent="0.25">
      <c r="E33" s="316" t="s">
        <v>163</v>
      </c>
      <c r="F33" s="316"/>
      <c r="G33" s="316"/>
      <c r="H33" s="316"/>
      <c r="I33" s="316"/>
      <c r="J33" s="160">
        <f>STATS!AL4</f>
        <v>4</v>
      </c>
      <c r="K33" s="347" t="s">
        <v>164</v>
      </c>
      <c r="L33" s="316"/>
      <c r="M33" s="316"/>
    </row>
    <row r="34" spans="5:13" x14ac:dyDescent="0.25">
      <c r="E34" s="317" t="s">
        <v>99</v>
      </c>
      <c r="F34" s="317"/>
      <c r="G34" s="317"/>
      <c r="H34" s="317"/>
      <c r="I34" s="317"/>
      <c r="J34" s="179">
        <f>RURALASSIST!Z4</f>
        <v>0</v>
      </c>
      <c r="K34" s="317">
        <f>SUMIF(RURALASSIST!Z:Z,"X",RURALASSIST!M:M)</f>
        <v>0</v>
      </c>
      <c r="L34" s="317"/>
      <c r="M34" s="317"/>
    </row>
    <row r="35" spans="5:13" x14ac:dyDescent="0.25">
      <c r="E35" s="316" t="s">
        <v>172</v>
      </c>
      <c r="F35" s="316"/>
      <c r="G35" s="316"/>
      <c r="H35" s="316"/>
      <c r="I35" s="316"/>
      <c r="J35" s="160">
        <f>COUNTIFS(FALSEALARMS!C:C,"SWS")</f>
        <v>5</v>
      </c>
      <c r="K35" s="347" t="s">
        <v>164</v>
      </c>
      <c r="L35" s="316"/>
      <c r="M35" s="316"/>
    </row>
  </sheetData>
  <mergeCells count="160">
    <mergeCell ref="O20:P20"/>
    <mergeCell ref="R20:S20"/>
    <mergeCell ref="O21:P21"/>
    <mergeCell ref="R21:S21"/>
    <mergeCell ref="O22:P22"/>
    <mergeCell ref="R22:S22"/>
    <mergeCell ref="O23:P23"/>
    <mergeCell ref="R23:S23"/>
    <mergeCell ref="E35:I35"/>
    <mergeCell ref="K35:M35"/>
    <mergeCell ref="E32:I32"/>
    <mergeCell ref="K32:M32"/>
    <mergeCell ref="E33:I33"/>
    <mergeCell ref="K33:M33"/>
    <mergeCell ref="E34:I34"/>
    <mergeCell ref="K34:M34"/>
    <mergeCell ref="S15:T15"/>
    <mergeCell ref="O8:P8"/>
    <mergeCell ref="Q8:R8"/>
    <mergeCell ref="S8:T8"/>
    <mergeCell ref="S14:T14"/>
    <mergeCell ref="O5:P5"/>
    <mergeCell ref="Q5:R5"/>
    <mergeCell ref="S5:T5"/>
    <mergeCell ref="O6:P6"/>
    <mergeCell ref="Q6:R6"/>
    <mergeCell ref="S6:T6"/>
    <mergeCell ref="O7:P7"/>
    <mergeCell ref="Q7:R7"/>
    <mergeCell ref="S7:T7"/>
    <mergeCell ref="A9:M9"/>
    <mergeCell ref="A10:C10"/>
    <mergeCell ref="D10:F10"/>
    <mergeCell ref="G10:I10"/>
    <mergeCell ref="J10:M10"/>
    <mergeCell ref="O19:P19"/>
    <mergeCell ref="O10:T10"/>
    <mergeCell ref="O11:R12"/>
    <mergeCell ref="S11:T12"/>
    <mergeCell ref="O13:R13"/>
    <mergeCell ref="S13:T13"/>
    <mergeCell ref="O14:R14"/>
    <mergeCell ref="O15:R15"/>
    <mergeCell ref="O17:T18"/>
    <mergeCell ref="A17:C17"/>
    <mergeCell ref="E17:F17"/>
    <mergeCell ref="H17:I17"/>
    <mergeCell ref="K17:M17"/>
    <mergeCell ref="A18:C18"/>
    <mergeCell ref="E18:F18"/>
    <mergeCell ref="H18:I18"/>
    <mergeCell ref="K18:M18"/>
    <mergeCell ref="A15:C15"/>
    <mergeCell ref="R19:S19"/>
    <mergeCell ref="A29:C29"/>
    <mergeCell ref="E29:F29"/>
    <mergeCell ref="H29:I29"/>
    <mergeCell ref="K29:M29"/>
    <mergeCell ref="A30:C30"/>
    <mergeCell ref="E30:F30"/>
    <mergeCell ref="H30:I30"/>
    <mergeCell ref="K30:M30"/>
    <mergeCell ref="A27:C27"/>
    <mergeCell ref="E27:F27"/>
    <mergeCell ref="H27:I27"/>
    <mergeCell ref="K27:M27"/>
    <mergeCell ref="A28:C28"/>
    <mergeCell ref="E28:F28"/>
    <mergeCell ref="H28:I28"/>
    <mergeCell ref="K28:M28"/>
    <mergeCell ref="A25:C25"/>
    <mergeCell ref="E25:F25"/>
    <mergeCell ref="H25:I25"/>
    <mergeCell ref="K25:M25"/>
    <mergeCell ref="A26:C26"/>
    <mergeCell ref="E26:F26"/>
    <mergeCell ref="H26:I26"/>
    <mergeCell ref="K26:M26"/>
    <mergeCell ref="A23:C23"/>
    <mergeCell ref="E23:F23"/>
    <mergeCell ref="H23:I23"/>
    <mergeCell ref="K23:M23"/>
    <mergeCell ref="A24:C24"/>
    <mergeCell ref="E24:F24"/>
    <mergeCell ref="H24:I24"/>
    <mergeCell ref="K24:M24"/>
    <mergeCell ref="A21:C21"/>
    <mergeCell ref="E21:F21"/>
    <mergeCell ref="H21:I21"/>
    <mergeCell ref="K21:M21"/>
    <mergeCell ref="A22:C22"/>
    <mergeCell ref="E22:F22"/>
    <mergeCell ref="H22:I22"/>
    <mergeCell ref="K22:M22"/>
    <mergeCell ref="A19:C19"/>
    <mergeCell ref="E19:F19"/>
    <mergeCell ref="H19:I19"/>
    <mergeCell ref="K19:M19"/>
    <mergeCell ref="A20:C20"/>
    <mergeCell ref="E20:F20"/>
    <mergeCell ref="H20:I20"/>
    <mergeCell ref="K20:M20"/>
    <mergeCell ref="E15:F15"/>
    <mergeCell ref="H15:I15"/>
    <mergeCell ref="K15:M15"/>
    <mergeCell ref="A16:C16"/>
    <mergeCell ref="E16:F16"/>
    <mergeCell ref="H16:I16"/>
    <mergeCell ref="K16:M16"/>
    <mergeCell ref="A13:C13"/>
    <mergeCell ref="E13:F13"/>
    <mergeCell ref="H13:I13"/>
    <mergeCell ref="K13:M13"/>
    <mergeCell ref="A14:C14"/>
    <mergeCell ref="E14:F14"/>
    <mergeCell ref="H14:I14"/>
    <mergeCell ref="K14:M14"/>
    <mergeCell ref="A11:C11"/>
    <mergeCell ref="E11:F11"/>
    <mergeCell ref="H11:I11"/>
    <mergeCell ref="K11:M11"/>
    <mergeCell ref="A12:C12"/>
    <mergeCell ref="E12:F12"/>
    <mergeCell ref="H12:I12"/>
    <mergeCell ref="K12:M12"/>
    <mergeCell ref="A1:H1"/>
    <mergeCell ref="A2:F2"/>
    <mergeCell ref="H2:M2"/>
    <mergeCell ref="A6:B6"/>
    <mergeCell ref="C6:D6"/>
    <mergeCell ref="E6:F6"/>
    <mergeCell ref="H6:I6"/>
    <mergeCell ref="J6:K6"/>
    <mergeCell ref="L6:M6"/>
    <mergeCell ref="A5:B5"/>
    <mergeCell ref="C5:D5"/>
    <mergeCell ref="E5:F5"/>
    <mergeCell ref="H5:I5"/>
    <mergeCell ref="J5:K5"/>
    <mergeCell ref="L5:M5"/>
    <mergeCell ref="A8:M8"/>
    <mergeCell ref="O2:T2"/>
    <mergeCell ref="A3:B3"/>
    <mergeCell ref="C3:D3"/>
    <mergeCell ref="E3:F3"/>
    <mergeCell ref="H3:I3"/>
    <mergeCell ref="J3:K3"/>
    <mergeCell ref="L3:M3"/>
    <mergeCell ref="A4:B4"/>
    <mergeCell ref="C4:D4"/>
    <mergeCell ref="E4:F4"/>
    <mergeCell ref="H4:I4"/>
    <mergeCell ref="J4:K4"/>
    <mergeCell ref="L4:M4"/>
    <mergeCell ref="O4:P4"/>
    <mergeCell ref="Q4:R4"/>
    <mergeCell ref="S4:T4"/>
    <mergeCell ref="O3:P3"/>
    <mergeCell ref="Q3:R3"/>
    <mergeCell ref="S3:T3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64"/>
  <sheetViews>
    <sheetView zoomScale="90" zoomScaleNormal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E17" sqref="E17"/>
    </sheetView>
  </sheetViews>
  <sheetFormatPr defaultColWidth="8.5703125" defaultRowHeight="15" customHeight="1" x14ac:dyDescent="0.25"/>
  <cols>
    <col min="1" max="3" width="7.7109375" style="62" customWidth="1"/>
    <col min="4" max="4" width="7.7109375" style="63" customWidth="1"/>
    <col min="5" max="5" width="35.42578125" style="62" customWidth="1"/>
    <col min="6" max="6" width="16.28515625" style="62" bestFit="1" customWidth="1"/>
    <col min="7" max="7" width="6.7109375" style="62" customWidth="1"/>
    <col min="8" max="8" width="9" style="62" customWidth="1"/>
    <col min="9" max="9" width="7.7109375" style="62" customWidth="1"/>
    <col min="10" max="10" width="8.42578125" style="62" customWidth="1"/>
    <col min="11" max="11" width="8.28515625" style="62" customWidth="1"/>
    <col min="12" max="12" width="9.140625" style="62" customWidth="1"/>
    <col min="13" max="16384" width="8.5703125" style="42"/>
  </cols>
  <sheetData>
    <row r="1" spans="1:26" ht="15" customHeight="1" x14ac:dyDescent="0.25">
      <c r="A1" s="283" t="s">
        <v>89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26" ht="16.5" customHeight="1" x14ac:dyDescent="0.25">
      <c r="A2" s="284" t="s">
        <v>0</v>
      </c>
      <c r="B2" s="284" t="s">
        <v>10</v>
      </c>
      <c r="C2" s="290" t="s">
        <v>13</v>
      </c>
      <c r="D2" s="292" t="s">
        <v>1</v>
      </c>
      <c r="E2" s="284" t="s">
        <v>6</v>
      </c>
      <c r="F2" s="284" t="s">
        <v>35</v>
      </c>
      <c r="G2" s="284" t="s">
        <v>12</v>
      </c>
      <c r="H2" s="286" t="s">
        <v>9</v>
      </c>
      <c r="I2" s="286"/>
      <c r="J2" s="286"/>
      <c r="K2" s="286"/>
      <c r="L2" s="286"/>
      <c r="M2" s="287" t="s">
        <v>2</v>
      </c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9"/>
    </row>
    <row r="3" spans="1:26" s="3" customFormat="1" ht="29.25" customHeight="1" x14ac:dyDescent="0.25">
      <c r="A3" s="285"/>
      <c r="B3" s="285"/>
      <c r="C3" s="294"/>
      <c r="D3" s="293"/>
      <c r="E3" s="285"/>
      <c r="F3" s="285"/>
      <c r="G3" s="285"/>
      <c r="H3" s="155" t="s">
        <v>11</v>
      </c>
      <c r="I3" s="155" t="s">
        <v>17</v>
      </c>
      <c r="J3" s="155" t="s">
        <v>18</v>
      </c>
      <c r="K3" s="155" t="s">
        <v>19</v>
      </c>
      <c r="L3" s="155" t="s">
        <v>20</v>
      </c>
      <c r="M3" s="15" t="s">
        <v>4</v>
      </c>
      <c r="N3" s="153" t="s">
        <v>83</v>
      </c>
      <c r="O3" s="47" t="s">
        <v>84</v>
      </c>
      <c r="P3" s="153" t="s">
        <v>86</v>
      </c>
      <c r="Q3" s="47" t="s">
        <v>80</v>
      </c>
      <c r="R3" s="153" t="s">
        <v>87</v>
      </c>
      <c r="S3" s="47" t="s">
        <v>81</v>
      </c>
      <c r="T3" s="153" t="s">
        <v>82</v>
      </c>
      <c r="U3" s="47" t="s">
        <v>88</v>
      </c>
      <c r="V3" s="153" t="s">
        <v>79</v>
      </c>
      <c r="W3" s="47" t="s">
        <v>85</v>
      </c>
      <c r="X3" s="155" t="s">
        <v>93</v>
      </c>
      <c r="Y3" s="155" t="s">
        <v>94</v>
      </c>
      <c r="Z3" s="155" t="s">
        <v>95</v>
      </c>
    </row>
    <row r="4" spans="1:26" s="3" customFormat="1" ht="15" customHeight="1" x14ac:dyDescent="0.25">
      <c r="A4" s="308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10"/>
      <c r="M4" s="15">
        <f>SUM(M5:M263)</f>
        <v>15.299999999999999</v>
      </c>
      <c r="N4" s="15">
        <f t="shared" ref="N4:W4" si="0">SUM(N5:N263)</f>
        <v>9.1</v>
      </c>
      <c r="O4" s="15">
        <f t="shared" si="0"/>
        <v>2</v>
      </c>
      <c r="P4" s="15">
        <f t="shared" si="0"/>
        <v>0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4.1999999999999993</v>
      </c>
      <c r="W4" s="15">
        <f t="shared" si="0"/>
        <v>0</v>
      </c>
      <c r="X4" s="15">
        <f>SUMPRODUCT(LEN(X5:X263))</f>
        <v>8</v>
      </c>
      <c r="Y4" s="15">
        <f t="shared" ref="Y4:Z4" si="1">SUMPRODUCT(LEN(Y5:Y263))</f>
        <v>1</v>
      </c>
      <c r="Z4" s="15">
        <f t="shared" si="1"/>
        <v>0</v>
      </c>
    </row>
    <row r="5" spans="1:26" ht="15" customHeight="1" x14ac:dyDescent="0.25">
      <c r="A5" s="59">
        <v>43664</v>
      </c>
      <c r="B5" s="59" t="s">
        <v>556</v>
      </c>
      <c r="C5" s="156" t="s">
        <v>83</v>
      </c>
      <c r="D5" s="60">
        <v>449</v>
      </c>
      <c r="E5" s="7" t="s">
        <v>553</v>
      </c>
      <c r="F5" s="156" t="s">
        <v>557</v>
      </c>
      <c r="G5" s="156" t="s">
        <v>7</v>
      </c>
      <c r="H5" s="156" t="s">
        <v>554</v>
      </c>
      <c r="I5" s="156" t="s">
        <v>775</v>
      </c>
      <c r="J5" s="156" t="s">
        <v>555</v>
      </c>
      <c r="K5" s="156">
        <v>564575</v>
      </c>
      <c r="L5" s="156">
        <v>4822098</v>
      </c>
      <c r="M5" s="157">
        <f t="shared" ref="M5:M68" si="2">SUM(N5:W5)</f>
        <v>5</v>
      </c>
      <c r="N5" s="154">
        <v>5</v>
      </c>
      <c r="O5" s="20"/>
      <c r="P5" s="154"/>
      <c r="Q5" s="20"/>
      <c r="R5" s="154"/>
      <c r="S5" s="20"/>
      <c r="T5" s="154"/>
      <c r="U5" s="20"/>
      <c r="V5" s="154"/>
      <c r="W5" s="20"/>
      <c r="X5" s="156" t="s">
        <v>301</v>
      </c>
      <c r="Y5" s="156"/>
      <c r="Z5" s="37"/>
    </row>
    <row r="6" spans="1:26" ht="15" customHeight="1" x14ac:dyDescent="0.25">
      <c r="A6" s="59">
        <v>43668</v>
      </c>
      <c r="B6" s="59" t="s">
        <v>572</v>
      </c>
      <c r="C6" s="156" t="s">
        <v>83</v>
      </c>
      <c r="D6" s="60">
        <v>460</v>
      </c>
      <c r="E6" s="7" t="s">
        <v>570</v>
      </c>
      <c r="F6" s="156" t="s">
        <v>573</v>
      </c>
      <c r="G6" s="156" t="s">
        <v>7</v>
      </c>
      <c r="H6" s="156" t="s">
        <v>571</v>
      </c>
      <c r="I6" s="156" t="s">
        <v>776</v>
      </c>
      <c r="J6" s="156" t="s">
        <v>777</v>
      </c>
      <c r="K6" s="208"/>
      <c r="L6" s="208"/>
      <c r="M6" s="157">
        <f t="shared" si="2"/>
        <v>2</v>
      </c>
      <c r="N6" s="154">
        <v>2</v>
      </c>
      <c r="O6" s="20"/>
      <c r="P6" s="154"/>
      <c r="Q6" s="20"/>
      <c r="R6" s="154"/>
      <c r="S6" s="20"/>
      <c r="T6" s="154"/>
      <c r="U6" s="20"/>
      <c r="V6" s="154"/>
      <c r="W6" s="20"/>
      <c r="X6" s="156" t="s">
        <v>301</v>
      </c>
      <c r="Y6" s="156"/>
      <c r="Z6" s="37"/>
    </row>
    <row r="7" spans="1:26" ht="15" customHeight="1" x14ac:dyDescent="0.25">
      <c r="A7" s="59">
        <v>43672</v>
      </c>
      <c r="B7" s="59" t="s">
        <v>629</v>
      </c>
      <c r="C7" s="156" t="s">
        <v>84</v>
      </c>
      <c r="D7" s="60">
        <v>510</v>
      </c>
      <c r="E7" s="7" t="s">
        <v>632</v>
      </c>
      <c r="F7" s="156" t="s">
        <v>631</v>
      </c>
      <c r="G7" s="156" t="s">
        <v>7</v>
      </c>
      <c r="H7" s="156" t="s">
        <v>630</v>
      </c>
      <c r="I7" s="156" t="s">
        <v>778</v>
      </c>
      <c r="J7" s="156" t="s">
        <v>779</v>
      </c>
      <c r="K7" s="156">
        <v>541997</v>
      </c>
      <c r="L7" s="156">
        <v>4852598</v>
      </c>
      <c r="M7" s="157">
        <f t="shared" si="2"/>
        <v>2</v>
      </c>
      <c r="N7" s="154"/>
      <c r="O7" s="20">
        <v>2</v>
      </c>
      <c r="P7" s="154"/>
      <c r="Q7" s="20"/>
      <c r="R7" s="154"/>
      <c r="S7" s="20"/>
      <c r="T7" s="154"/>
      <c r="U7" s="20"/>
      <c r="V7" s="154"/>
      <c r="W7" s="20"/>
      <c r="X7" s="156" t="s">
        <v>301</v>
      </c>
      <c r="Y7" s="156"/>
      <c r="Z7" s="37"/>
    </row>
    <row r="8" spans="1:26" ht="15" customHeight="1" x14ac:dyDescent="0.25">
      <c r="A8" s="59">
        <v>43672</v>
      </c>
      <c r="B8" s="59" t="s">
        <v>635</v>
      </c>
      <c r="C8" s="156" t="s">
        <v>83</v>
      </c>
      <c r="D8" s="60">
        <v>516</v>
      </c>
      <c r="E8" s="7" t="s">
        <v>633</v>
      </c>
      <c r="F8" s="156" t="s">
        <v>634</v>
      </c>
      <c r="G8" s="156" t="s">
        <v>7</v>
      </c>
      <c r="H8" s="156" t="s">
        <v>780</v>
      </c>
      <c r="I8" s="156" t="s">
        <v>781</v>
      </c>
      <c r="J8" s="156" t="s">
        <v>636</v>
      </c>
      <c r="K8" s="156">
        <v>541516</v>
      </c>
      <c r="L8" s="156">
        <v>4850246</v>
      </c>
      <c r="M8" s="157">
        <f t="shared" si="2"/>
        <v>2</v>
      </c>
      <c r="N8" s="154">
        <v>2</v>
      </c>
      <c r="O8" s="20"/>
      <c r="P8" s="154"/>
      <c r="Q8" s="20"/>
      <c r="R8" s="154"/>
      <c r="S8" s="20"/>
      <c r="T8" s="154"/>
      <c r="U8" s="20"/>
      <c r="V8" s="154"/>
      <c r="W8" s="20"/>
      <c r="X8" s="156" t="s">
        <v>301</v>
      </c>
      <c r="Y8" s="156"/>
      <c r="Z8" s="37"/>
    </row>
    <row r="9" spans="1:26" ht="15" customHeight="1" x14ac:dyDescent="0.25">
      <c r="A9" s="59">
        <v>43680</v>
      </c>
      <c r="B9" s="59" t="s">
        <v>782</v>
      </c>
      <c r="C9" s="156" t="s">
        <v>79</v>
      </c>
      <c r="D9" s="60">
        <v>573</v>
      </c>
      <c r="E9" s="7" t="s">
        <v>734</v>
      </c>
      <c r="F9" s="156" t="s">
        <v>735</v>
      </c>
      <c r="G9" s="156" t="s">
        <v>7</v>
      </c>
      <c r="H9" s="156" t="s">
        <v>783</v>
      </c>
      <c r="I9" s="156" t="s">
        <v>784</v>
      </c>
      <c r="J9" s="156" t="s">
        <v>736</v>
      </c>
      <c r="K9" s="156">
        <v>609471</v>
      </c>
      <c r="L9" s="156">
        <v>4771903</v>
      </c>
      <c r="M9" s="157">
        <f t="shared" si="2"/>
        <v>4</v>
      </c>
      <c r="N9" s="154"/>
      <c r="O9" s="20"/>
      <c r="P9" s="154"/>
      <c r="Q9" s="20"/>
      <c r="R9" s="154"/>
      <c r="S9" s="20"/>
      <c r="T9" s="154"/>
      <c r="U9" s="20"/>
      <c r="V9" s="154">
        <v>4</v>
      </c>
      <c r="W9" s="20"/>
      <c r="X9" s="156" t="s">
        <v>301</v>
      </c>
      <c r="Y9" s="156" t="s">
        <v>301</v>
      </c>
      <c r="Z9" s="37"/>
    </row>
    <row r="10" spans="1:26" ht="15" customHeight="1" x14ac:dyDescent="0.25">
      <c r="A10" s="59">
        <v>43686</v>
      </c>
      <c r="B10" s="59" t="s">
        <v>824</v>
      </c>
      <c r="C10" s="156" t="s">
        <v>83</v>
      </c>
      <c r="D10" s="60">
        <v>622</v>
      </c>
      <c r="E10" s="7" t="s">
        <v>823</v>
      </c>
      <c r="F10" s="156" t="s">
        <v>828</v>
      </c>
      <c r="G10" s="156" t="s">
        <v>7</v>
      </c>
      <c r="H10" s="156" t="s">
        <v>825</v>
      </c>
      <c r="I10" s="156" t="s">
        <v>826</v>
      </c>
      <c r="J10" s="156" t="s">
        <v>827</v>
      </c>
      <c r="K10" s="156">
        <v>542946</v>
      </c>
      <c r="L10" s="156">
        <v>4846705</v>
      </c>
      <c r="M10" s="157">
        <f t="shared" si="2"/>
        <v>0.1</v>
      </c>
      <c r="N10" s="154">
        <v>0.1</v>
      </c>
      <c r="O10" s="20"/>
      <c r="P10" s="154"/>
      <c r="Q10" s="20"/>
      <c r="R10" s="154"/>
      <c r="S10" s="20"/>
      <c r="T10" s="154"/>
      <c r="U10" s="20"/>
      <c r="V10" s="154"/>
      <c r="W10" s="20"/>
      <c r="X10" s="156" t="s">
        <v>301</v>
      </c>
      <c r="Y10" s="156"/>
      <c r="Z10" s="37"/>
    </row>
    <row r="11" spans="1:26" ht="15" customHeight="1" x14ac:dyDescent="0.25">
      <c r="A11" s="59">
        <v>43688</v>
      </c>
      <c r="B11" s="59" t="s">
        <v>897</v>
      </c>
      <c r="C11" s="156" t="s">
        <v>79</v>
      </c>
      <c r="D11" s="60">
        <v>649</v>
      </c>
      <c r="E11" s="7" t="s">
        <v>910</v>
      </c>
      <c r="F11" s="156" t="s">
        <v>735</v>
      </c>
      <c r="G11" s="156" t="s">
        <v>7</v>
      </c>
      <c r="H11" s="156" t="s">
        <v>894</v>
      </c>
      <c r="I11" s="156" t="s">
        <v>895</v>
      </c>
      <c r="J11" s="156" t="s">
        <v>896</v>
      </c>
      <c r="K11" s="208"/>
      <c r="L11" s="208"/>
      <c r="M11" s="157">
        <f t="shared" si="2"/>
        <v>0.1</v>
      </c>
      <c r="N11" s="154"/>
      <c r="O11" s="20"/>
      <c r="P11" s="154"/>
      <c r="Q11" s="20"/>
      <c r="R11" s="154"/>
      <c r="S11" s="20"/>
      <c r="T11" s="154"/>
      <c r="U11" s="20"/>
      <c r="V11" s="154">
        <v>0.1</v>
      </c>
      <c r="W11" s="20"/>
      <c r="X11" s="156" t="s">
        <v>301</v>
      </c>
      <c r="Y11" s="156"/>
      <c r="Z11" s="37"/>
    </row>
    <row r="12" spans="1:26" ht="15" customHeight="1" x14ac:dyDescent="0.25">
      <c r="A12" s="59">
        <v>43713</v>
      </c>
      <c r="B12" s="59" t="s">
        <v>1188</v>
      </c>
      <c r="C12" s="156" t="s">
        <v>79</v>
      </c>
      <c r="D12" s="60">
        <v>786</v>
      </c>
      <c r="E12" s="7" t="s">
        <v>1189</v>
      </c>
      <c r="F12" s="156" t="s">
        <v>1190</v>
      </c>
      <c r="G12" s="156" t="s">
        <v>7</v>
      </c>
      <c r="H12" s="156" t="s">
        <v>1191</v>
      </c>
      <c r="I12" s="156" t="s">
        <v>1192</v>
      </c>
      <c r="J12" s="156" t="s">
        <v>1193</v>
      </c>
      <c r="K12" s="208"/>
      <c r="L12" s="208"/>
      <c r="M12" s="157">
        <f t="shared" si="2"/>
        <v>0.1</v>
      </c>
      <c r="N12" s="154"/>
      <c r="O12" s="20"/>
      <c r="P12" s="154"/>
      <c r="Q12" s="20"/>
      <c r="R12" s="154"/>
      <c r="S12" s="20"/>
      <c r="T12" s="154"/>
      <c r="U12" s="20"/>
      <c r="V12" s="154">
        <v>0.1</v>
      </c>
      <c r="W12" s="20"/>
      <c r="X12" s="156" t="s">
        <v>301</v>
      </c>
      <c r="Y12" s="156"/>
      <c r="Z12" s="37"/>
    </row>
    <row r="13" spans="1:26" ht="15" customHeight="1" x14ac:dyDescent="0.25">
      <c r="A13" s="59"/>
      <c r="B13" s="59"/>
      <c r="C13" s="156"/>
      <c r="D13" s="60"/>
      <c r="E13" s="227"/>
      <c r="F13" s="156"/>
      <c r="G13" s="156"/>
      <c r="H13" s="156"/>
      <c r="I13" s="156"/>
      <c r="J13" s="156"/>
      <c r="K13" s="156"/>
      <c r="L13" s="156"/>
      <c r="M13" s="157">
        <f t="shared" si="2"/>
        <v>0</v>
      </c>
      <c r="N13" s="154"/>
      <c r="O13" s="20"/>
      <c r="P13" s="154"/>
      <c r="Q13" s="20"/>
      <c r="R13" s="154"/>
      <c r="S13" s="20"/>
      <c r="T13" s="154"/>
      <c r="U13" s="20"/>
      <c r="V13" s="154"/>
      <c r="W13" s="20"/>
      <c r="X13" s="156"/>
      <c r="Y13" s="156"/>
      <c r="Z13" s="37"/>
    </row>
    <row r="14" spans="1:26" ht="15" customHeight="1" x14ac:dyDescent="0.25">
      <c r="A14" s="59"/>
      <c r="B14" s="59"/>
      <c r="C14" s="156"/>
      <c r="D14" s="60"/>
      <c r="E14" s="156"/>
      <c r="F14" s="156"/>
      <c r="G14" s="156"/>
      <c r="H14" s="156"/>
      <c r="I14" s="156"/>
      <c r="J14" s="156"/>
      <c r="K14" s="156"/>
      <c r="L14" s="156"/>
      <c r="M14" s="157">
        <f t="shared" si="2"/>
        <v>0</v>
      </c>
      <c r="N14" s="154"/>
      <c r="O14" s="20"/>
      <c r="P14" s="154"/>
      <c r="Q14" s="20"/>
      <c r="R14" s="154"/>
      <c r="S14" s="20"/>
      <c r="T14" s="154"/>
      <c r="U14" s="20"/>
      <c r="V14" s="154"/>
      <c r="W14" s="20"/>
      <c r="X14" s="156"/>
      <c r="Y14" s="156"/>
      <c r="Z14" s="37"/>
    </row>
    <row r="15" spans="1:26" ht="15" customHeight="1" x14ac:dyDescent="0.25">
      <c r="A15" s="59"/>
      <c r="B15" s="59"/>
      <c r="C15" s="156"/>
      <c r="D15" s="60"/>
      <c r="E15" s="156"/>
      <c r="F15" s="156"/>
      <c r="G15" s="156"/>
      <c r="H15" s="156"/>
      <c r="I15" s="156"/>
      <c r="J15" s="156"/>
      <c r="K15" s="156"/>
      <c r="L15" s="156"/>
      <c r="M15" s="157">
        <f t="shared" si="2"/>
        <v>0</v>
      </c>
      <c r="N15" s="154"/>
      <c r="O15" s="20"/>
      <c r="P15" s="154"/>
      <c r="Q15" s="20"/>
      <c r="R15" s="154"/>
      <c r="S15" s="20"/>
      <c r="T15" s="154"/>
      <c r="U15" s="20"/>
      <c r="V15" s="154"/>
      <c r="W15" s="20"/>
      <c r="X15" s="156"/>
      <c r="Y15" s="156"/>
      <c r="Z15" s="37"/>
    </row>
    <row r="16" spans="1:26" ht="15" customHeight="1" x14ac:dyDescent="0.25">
      <c r="A16" s="59"/>
      <c r="B16" s="59"/>
      <c r="C16" s="156"/>
      <c r="D16" s="60"/>
      <c r="E16" s="156"/>
      <c r="F16" s="156"/>
      <c r="G16" s="156"/>
      <c r="H16" s="156"/>
      <c r="I16" s="156"/>
      <c r="J16" s="156"/>
      <c r="K16" s="156"/>
      <c r="L16" s="156"/>
      <c r="M16" s="157">
        <f t="shared" si="2"/>
        <v>0</v>
      </c>
      <c r="N16" s="154"/>
      <c r="O16" s="20"/>
      <c r="P16" s="154"/>
      <c r="Q16" s="20"/>
      <c r="R16" s="154"/>
      <c r="S16" s="20"/>
      <c r="T16" s="154"/>
      <c r="U16" s="20"/>
      <c r="V16" s="154"/>
      <c r="W16" s="20"/>
      <c r="X16" s="156"/>
      <c r="Y16" s="156"/>
      <c r="Z16" s="37"/>
    </row>
    <row r="17" spans="1:27" ht="15" customHeight="1" x14ac:dyDescent="0.25">
      <c r="A17" s="59"/>
      <c r="B17" s="59"/>
      <c r="C17" s="156"/>
      <c r="D17" s="60"/>
      <c r="E17" s="156"/>
      <c r="F17" s="156"/>
      <c r="G17" s="156"/>
      <c r="H17" s="156"/>
      <c r="I17" s="156"/>
      <c r="J17" s="156"/>
      <c r="K17" s="112"/>
      <c r="L17" s="156"/>
      <c r="M17" s="157">
        <f t="shared" si="2"/>
        <v>0</v>
      </c>
      <c r="N17" s="154"/>
      <c r="O17" s="20"/>
      <c r="P17" s="154"/>
      <c r="Q17" s="20"/>
      <c r="R17" s="154"/>
      <c r="S17" s="20"/>
      <c r="T17" s="154"/>
      <c r="U17" s="20"/>
      <c r="V17" s="154"/>
      <c r="W17" s="20"/>
      <c r="X17" s="156"/>
      <c r="Y17" s="156"/>
      <c r="Z17" s="37"/>
      <c r="AA17" s="42" t="s">
        <v>5</v>
      </c>
    </row>
    <row r="18" spans="1:27" ht="15" customHeight="1" x14ac:dyDescent="0.25">
      <c r="A18" s="59"/>
      <c r="B18" s="59"/>
      <c r="C18" s="156"/>
      <c r="D18" s="60"/>
      <c r="E18" s="156"/>
      <c r="F18" s="156"/>
      <c r="G18" s="156"/>
      <c r="H18" s="156"/>
      <c r="I18" s="156"/>
      <c r="J18" s="156"/>
      <c r="K18" s="156"/>
      <c r="L18" s="156"/>
      <c r="M18" s="157">
        <f t="shared" si="2"/>
        <v>0</v>
      </c>
      <c r="N18" s="154"/>
      <c r="O18" s="20"/>
      <c r="P18" s="154"/>
      <c r="Q18" s="20"/>
      <c r="R18" s="154"/>
      <c r="S18" s="20"/>
      <c r="T18" s="154"/>
      <c r="U18" s="20"/>
      <c r="V18" s="154"/>
      <c r="W18" s="20"/>
      <c r="X18" s="156"/>
      <c r="Y18" s="156"/>
      <c r="Z18" s="37"/>
    </row>
    <row r="19" spans="1:27" ht="15" customHeight="1" x14ac:dyDescent="0.25">
      <c r="A19" s="59"/>
      <c r="B19" s="59"/>
      <c r="C19" s="156"/>
      <c r="D19" s="60"/>
      <c r="E19" s="156"/>
      <c r="F19" s="156"/>
      <c r="G19" s="156"/>
      <c r="H19" s="156"/>
      <c r="I19" s="156"/>
      <c r="J19" s="156"/>
      <c r="K19" s="156"/>
      <c r="L19" s="156"/>
      <c r="M19" s="157">
        <f t="shared" si="2"/>
        <v>0</v>
      </c>
      <c r="N19" s="154"/>
      <c r="O19" s="20"/>
      <c r="P19" s="154"/>
      <c r="Q19" s="20"/>
      <c r="R19" s="154"/>
      <c r="S19" s="20"/>
      <c r="T19" s="154"/>
      <c r="U19" s="20"/>
      <c r="V19" s="154"/>
      <c r="W19" s="20"/>
      <c r="X19" s="156"/>
      <c r="Y19" s="156"/>
      <c r="Z19" s="37"/>
    </row>
    <row r="20" spans="1:27" ht="15" customHeight="1" x14ac:dyDescent="0.25">
      <c r="A20" s="59"/>
      <c r="B20" s="59"/>
      <c r="C20" s="156"/>
      <c r="D20" s="60"/>
      <c r="E20" s="156"/>
      <c r="F20" s="156"/>
      <c r="G20" s="156"/>
      <c r="H20" s="156"/>
      <c r="I20" s="156"/>
      <c r="J20" s="156"/>
      <c r="K20" s="156"/>
      <c r="L20" s="156"/>
      <c r="M20" s="157">
        <f t="shared" si="2"/>
        <v>0</v>
      </c>
      <c r="N20" s="154"/>
      <c r="O20" s="20"/>
      <c r="P20" s="154"/>
      <c r="Q20" s="20"/>
      <c r="R20" s="154"/>
      <c r="S20" s="20"/>
      <c r="T20" s="154"/>
      <c r="U20" s="20"/>
      <c r="V20" s="154"/>
      <c r="W20" s="20"/>
      <c r="X20" s="156"/>
      <c r="Y20" s="156"/>
      <c r="Z20" s="37"/>
    </row>
    <row r="21" spans="1:27" ht="15" customHeight="1" x14ac:dyDescent="0.25">
      <c r="A21" s="59"/>
      <c r="B21" s="59"/>
      <c r="C21" s="156"/>
      <c r="D21" s="60"/>
      <c r="E21" s="156"/>
      <c r="F21" s="156"/>
      <c r="G21" s="156"/>
      <c r="H21" s="156"/>
      <c r="I21" s="156"/>
      <c r="J21" s="156"/>
      <c r="K21" s="156"/>
      <c r="L21" s="156"/>
      <c r="M21" s="157">
        <f t="shared" si="2"/>
        <v>0</v>
      </c>
      <c r="N21" s="154"/>
      <c r="O21" s="20"/>
      <c r="P21" s="154"/>
      <c r="Q21" s="20"/>
      <c r="R21" s="154"/>
      <c r="S21" s="20"/>
      <c r="T21" s="154"/>
      <c r="U21" s="20"/>
      <c r="V21" s="154"/>
      <c r="W21" s="20"/>
      <c r="X21" s="156"/>
      <c r="Y21" s="156"/>
      <c r="Z21" s="37"/>
    </row>
    <row r="22" spans="1:27" ht="15" customHeight="1" x14ac:dyDescent="0.25">
      <c r="A22" s="59"/>
      <c r="B22" s="59"/>
      <c r="C22" s="156"/>
      <c r="D22" s="60"/>
      <c r="E22" s="156"/>
      <c r="G22" s="156"/>
      <c r="H22" s="156"/>
      <c r="I22" s="156"/>
      <c r="J22" s="156"/>
      <c r="K22" s="156"/>
      <c r="M22" s="157">
        <f t="shared" si="2"/>
        <v>0</v>
      </c>
      <c r="N22" s="154"/>
      <c r="O22" s="20"/>
      <c r="P22" s="154"/>
      <c r="Q22" s="20"/>
      <c r="R22" s="154"/>
      <c r="S22" s="20"/>
      <c r="T22" s="154"/>
      <c r="U22" s="20"/>
      <c r="V22" s="154"/>
      <c r="W22" s="20"/>
      <c r="X22" s="156"/>
      <c r="Y22" s="156"/>
      <c r="Z22" s="37"/>
    </row>
    <row r="23" spans="1:27" ht="15" customHeight="1" x14ac:dyDescent="0.25">
      <c r="A23" s="59"/>
      <c r="B23" s="59"/>
      <c r="C23" s="156"/>
      <c r="D23" s="60"/>
      <c r="E23" s="156"/>
      <c r="F23" s="156"/>
      <c r="G23" s="156"/>
      <c r="H23" s="156"/>
      <c r="I23" s="156"/>
      <c r="J23" s="156"/>
      <c r="K23" s="156"/>
      <c r="L23" s="156"/>
      <c r="M23" s="157">
        <f t="shared" si="2"/>
        <v>0</v>
      </c>
      <c r="N23" s="154"/>
      <c r="O23" s="20"/>
      <c r="P23" s="154"/>
      <c r="Q23" s="20"/>
      <c r="R23" s="154"/>
      <c r="S23" s="20"/>
      <c r="T23" s="154"/>
      <c r="U23" s="20"/>
      <c r="V23" s="154"/>
      <c r="W23" s="20"/>
      <c r="X23" s="156"/>
      <c r="Y23" s="156"/>
      <c r="Z23" s="37"/>
    </row>
    <row r="24" spans="1:27" ht="15" customHeight="1" x14ac:dyDescent="0.25">
      <c r="A24" s="59"/>
      <c r="B24" s="59"/>
      <c r="C24" s="156"/>
      <c r="D24" s="60"/>
      <c r="E24" s="156"/>
      <c r="F24" s="156"/>
      <c r="G24" s="156"/>
      <c r="H24" s="156"/>
      <c r="I24" s="156"/>
      <c r="J24" s="156"/>
      <c r="K24" s="156"/>
      <c r="L24" s="156"/>
      <c r="M24" s="157">
        <f t="shared" si="2"/>
        <v>0</v>
      </c>
      <c r="N24" s="154"/>
      <c r="O24" s="20"/>
      <c r="P24" s="154"/>
      <c r="Q24" s="20"/>
      <c r="R24" s="154"/>
      <c r="S24" s="20"/>
      <c r="T24" s="154"/>
      <c r="U24" s="20"/>
      <c r="V24" s="154"/>
      <c r="W24" s="20"/>
      <c r="X24" s="156"/>
      <c r="Y24" s="156"/>
      <c r="Z24" s="37"/>
    </row>
    <row r="25" spans="1:27" ht="15" customHeight="1" x14ac:dyDescent="0.25">
      <c r="A25" s="59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7">
        <f t="shared" si="2"/>
        <v>0</v>
      </c>
      <c r="N25" s="154"/>
      <c r="O25" s="20"/>
      <c r="P25" s="154"/>
      <c r="Q25" s="20"/>
      <c r="R25" s="154"/>
      <c r="S25" s="20"/>
      <c r="T25" s="154"/>
      <c r="U25" s="20"/>
      <c r="V25" s="154"/>
      <c r="W25" s="20"/>
      <c r="X25" s="156"/>
      <c r="Y25" s="156"/>
      <c r="Z25" s="37"/>
    </row>
    <row r="26" spans="1:27" ht="15" customHeight="1" x14ac:dyDescent="0.25">
      <c r="A26" s="59"/>
      <c r="B26" s="59"/>
      <c r="C26" s="156"/>
      <c r="D26" s="60"/>
      <c r="E26" s="156"/>
      <c r="F26" s="156"/>
      <c r="G26" s="156"/>
      <c r="H26" s="156"/>
      <c r="I26" s="156"/>
      <c r="J26" s="156"/>
      <c r="K26" s="156"/>
      <c r="L26" s="156"/>
      <c r="M26" s="157">
        <f t="shared" si="2"/>
        <v>0</v>
      </c>
      <c r="N26" s="154"/>
      <c r="O26" s="20"/>
      <c r="P26" s="154"/>
      <c r="Q26" s="20"/>
      <c r="R26" s="154"/>
      <c r="S26" s="20"/>
      <c r="T26" s="154"/>
      <c r="U26" s="20"/>
      <c r="V26" s="154"/>
      <c r="W26" s="20"/>
      <c r="X26" s="156"/>
      <c r="Y26" s="156"/>
      <c r="Z26" s="37"/>
    </row>
    <row r="27" spans="1:27" ht="15" customHeight="1" x14ac:dyDescent="0.25">
      <c r="A27" s="59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7">
        <f t="shared" si="2"/>
        <v>0</v>
      </c>
      <c r="N27" s="154"/>
      <c r="O27" s="20"/>
      <c r="P27" s="154"/>
      <c r="Q27" s="20"/>
      <c r="R27" s="154"/>
      <c r="S27" s="20"/>
      <c r="T27" s="154"/>
      <c r="U27" s="20"/>
      <c r="V27" s="154"/>
      <c r="W27" s="20"/>
      <c r="X27" s="156"/>
      <c r="Y27" s="156"/>
      <c r="Z27" s="37"/>
    </row>
    <row r="28" spans="1:27" ht="15" customHeight="1" x14ac:dyDescent="0.25">
      <c r="A28" s="59"/>
      <c r="B28" s="59"/>
      <c r="C28" s="156"/>
      <c r="D28" s="60"/>
      <c r="E28" s="156"/>
      <c r="F28" s="37"/>
      <c r="G28" s="37"/>
      <c r="H28" s="37"/>
      <c r="I28" s="37"/>
      <c r="J28" s="37"/>
      <c r="K28" s="37"/>
      <c r="L28" s="37"/>
      <c r="M28" s="157">
        <f t="shared" si="2"/>
        <v>0</v>
      </c>
      <c r="N28" s="154"/>
      <c r="O28" s="20"/>
      <c r="P28" s="154"/>
      <c r="Q28" s="20"/>
      <c r="R28" s="154"/>
      <c r="S28" s="20"/>
      <c r="T28" s="154"/>
      <c r="U28" s="20"/>
      <c r="V28" s="154"/>
      <c r="W28" s="20"/>
      <c r="X28" s="156"/>
      <c r="Y28" s="156"/>
      <c r="Z28" s="37"/>
    </row>
    <row r="29" spans="1:27" ht="15" customHeight="1" x14ac:dyDescent="0.25">
      <c r="A29" s="59"/>
      <c r="B29" s="59"/>
      <c r="C29" s="156"/>
      <c r="D29" s="60"/>
      <c r="E29" s="156"/>
      <c r="F29" s="37"/>
      <c r="G29" s="37"/>
      <c r="H29" s="37"/>
      <c r="I29" s="37"/>
      <c r="J29" s="37"/>
      <c r="K29" s="37"/>
      <c r="L29" s="37"/>
      <c r="M29" s="157">
        <f t="shared" si="2"/>
        <v>0</v>
      </c>
      <c r="N29" s="154"/>
      <c r="O29" s="20"/>
      <c r="P29" s="154"/>
      <c r="Q29" s="20"/>
      <c r="R29" s="154"/>
      <c r="S29" s="20"/>
      <c r="T29" s="154"/>
      <c r="U29" s="20"/>
      <c r="V29" s="154"/>
      <c r="W29" s="20"/>
      <c r="X29" s="156"/>
      <c r="Y29" s="156"/>
      <c r="Z29" s="37"/>
    </row>
    <row r="30" spans="1:27" ht="15" customHeight="1" x14ac:dyDescent="0.25">
      <c r="A30" s="59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7">
        <f t="shared" si="2"/>
        <v>0</v>
      </c>
      <c r="N30" s="154"/>
      <c r="O30" s="20"/>
      <c r="P30" s="154"/>
      <c r="Q30" s="20"/>
      <c r="R30" s="154"/>
      <c r="S30" s="20"/>
      <c r="T30" s="154"/>
      <c r="U30" s="20"/>
      <c r="V30" s="154"/>
      <c r="W30" s="20"/>
      <c r="X30" s="156"/>
      <c r="Y30" s="156"/>
      <c r="Z30" s="37"/>
    </row>
    <row r="31" spans="1:27" ht="15" customHeight="1" x14ac:dyDescent="0.25">
      <c r="A31" s="59"/>
      <c r="B31" s="59"/>
      <c r="C31" s="156"/>
      <c r="D31" s="60"/>
      <c r="E31" s="156"/>
      <c r="F31" s="156"/>
      <c r="G31" s="156"/>
      <c r="H31" s="156"/>
      <c r="I31" s="156"/>
      <c r="J31" s="156"/>
      <c r="K31" s="156"/>
      <c r="L31" s="156"/>
      <c r="M31" s="157">
        <f t="shared" si="2"/>
        <v>0</v>
      </c>
      <c r="N31" s="154"/>
      <c r="O31" s="20"/>
      <c r="P31" s="154"/>
      <c r="Q31" s="20"/>
      <c r="R31" s="154"/>
      <c r="S31" s="20"/>
      <c r="T31" s="154"/>
      <c r="U31" s="20"/>
      <c r="V31" s="154"/>
      <c r="W31" s="20"/>
      <c r="X31" s="156"/>
      <c r="Y31" s="156"/>
      <c r="Z31" s="37"/>
    </row>
    <row r="32" spans="1:27" ht="15" customHeight="1" x14ac:dyDescent="0.25">
      <c r="A32" s="59"/>
      <c r="B32" s="59"/>
      <c r="C32" s="156"/>
      <c r="D32" s="60"/>
      <c r="E32" s="156"/>
      <c r="F32" s="156"/>
      <c r="G32" s="156"/>
      <c r="H32" s="156"/>
      <c r="I32" s="156"/>
      <c r="J32" s="156"/>
      <c r="K32" s="156"/>
      <c r="L32" s="156"/>
      <c r="M32" s="157">
        <f t="shared" si="2"/>
        <v>0</v>
      </c>
      <c r="N32" s="154"/>
      <c r="O32" s="20"/>
      <c r="P32" s="154"/>
      <c r="Q32" s="20"/>
      <c r="R32" s="154"/>
      <c r="S32" s="20"/>
      <c r="T32" s="154"/>
      <c r="U32" s="20"/>
      <c r="V32" s="154"/>
      <c r="W32" s="20"/>
      <c r="X32" s="156"/>
      <c r="Y32" s="156"/>
      <c r="Z32" s="37"/>
    </row>
    <row r="33" spans="1:26" ht="15" customHeight="1" x14ac:dyDescent="0.25">
      <c r="A33" s="59"/>
      <c r="B33" s="59"/>
      <c r="C33" s="156"/>
      <c r="D33" s="60"/>
      <c r="E33" s="156"/>
      <c r="F33" s="156"/>
      <c r="G33" s="156"/>
      <c r="H33" s="156"/>
      <c r="I33" s="156"/>
      <c r="J33" s="156"/>
      <c r="K33" s="156"/>
      <c r="L33" s="156"/>
      <c r="M33" s="157">
        <f t="shared" si="2"/>
        <v>0</v>
      </c>
      <c r="N33" s="154"/>
      <c r="O33" s="20"/>
      <c r="P33" s="154"/>
      <c r="Q33" s="20"/>
      <c r="R33" s="154"/>
      <c r="S33" s="20"/>
      <c r="T33" s="154"/>
      <c r="U33" s="20"/>
      <c r="V33" s="154"/>
      <c r="W33" s="20"/>
      <c r="X33" s="156"/>
      <c r="Y33" s="156"/>
      <c r="Z33" s="37"/>
    </row>
    <row r="34" spans="1:26" ht="15" customHeight="1" x14ac:dyDescent="0.25">
      <c r="A34" s="59"/>
      <c r="B34" s="59"/>
      <c r="C34" s="156"/>
      <c r="D34" s="60"/>
      <c r="E34" s="156"/>
      <c r="F34" s="156"/>
      <c r="G34" s="156"/>
      <c r="H34" s="156"/>
      <c r="I34" s="156"/>
      <c r="J34" s="156"/>
      <c r="K34" s="156"/>
      <c r="L34" s="156"/>
      <c r="M34" s="157">
        <f t="shared" si="2"/>
        <v>0</v>
      </c>
      <c r="N34" s="154"/>
      <c r="O34" s="20"/>
      <c r="P34" s="154"/>
      <c r="Q34" s="20"/>
      <c r="R34" s="154"/>
      <c r="S34" s="20"/>
      <c r="T34" s="154"/>
      <c r="U34" s="20"/>
      <c r="V34" s="154"/>
      <c r="W34" s="20"/>
      <c r="X34" s="156"/>
      <c r="Y34" s="156"/>
      <c r="Z34" s="37"/>
    </row>
    <row r="35" spans="1:26" ht="13.5" customHeight="1" x14ac:dyDescent="0.25">
      <c r="A35" s="59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7">
        <f t="shared" si="2"/>
        <v>0</v>
      </c>
      <c r="N35" s="154"/>
      <c r="O35" s="20"/>
      <c r="P35" s="154"/>
      <c r="Q35" s="20"/>
      <c r="R35" s="154"/>
      <c r="S35" s="20"/>
      <c r="T35" s="154"/>
      <c r="U35" s="20"/>
      <c r="V35" s="154"/>
      <c r="W35" s="20"/>
      <c r="X35" s="156"/>
      <c r="Y35" s="156"/>
      <c r="Z35" s="37"/>
    </row>
    <row r="36" spans="1:26" ht="15" customHeight="1" x14ac:dyDescent="0.25">
      <c r="A36" s="59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7">
        <f t="shared" si="2"/>
        <v>0</v>
      </c>
      <c r="N36" s="154"/>
      <c r="O36" s="20"/>
      <c r="P36" s="154"/>
      <c r="Q36" s="20"/>
      <c r="R36" s="154"/>
      <c r="S36" s="20"/>
      <c r="T36" s="154"/>
      <c r="U36" s="20"/>
      <c r="V36" s="154"/>
      <c r="W36" s="20"/>
      <c r="X36" s="156"/>
      <c r="Y36" s="156"/>
      <c r="Z36" s="37"/>
    </row>
    <row r="37" spans="1:26" ht="15" customHeight="1" x14ac:dyDescent="0.25">
      <c r="A37" s="59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7">
        <f t="shared" si="2"/>
        <v>0</v>
      </c>
      <c r="N37" s="154"/>
      <c r="O37" s="20"/>
      <c r="P37" s="154"/>
      <c r="Q37" s="20"/>
      <c r="R37" s="154"/>
      <c r="S37" s="20"/>
      <c r="T37" s="154"/>
      <c r="U37" s="20"/>
      <c r="V37" s="154"/>
      <c r="W37" s="20"/>
      <c r="X37" s="156"/>
      <c r="Y37" s="156"/>
      <c r="Z37" s="37"/>
    </row>
    <row r="38" spans="1:26" ht="15" customHeight="1" x14ac:dyDescent="0.25">
      <c r="A38" s="59"/>
      <c r="B38" s="59"/>
      <c r="C38" s="156"/>
      <c r="D38" s="60"/>
      <c r="E38" s="156"/>
      <c r="F38" s="156"/>
      <c r="G38" s="156"/>
      <c r="H38" s="156"/>
      <c r="I38" s="156"/>
      <c r="J38" s="156"/>
      <c r="K38" s="156"/>
      <c r="L38" s="156"/>
      <c r="M38" s="157">
        <f t="shared" si="2"/>
        <v>0</v>
      </c>
      <c r="N38" s="154"/>
      <c r="O38" s="20"/>
      <c r="P38" s="154"/>
      <c r="Q38" s="20"/>
      <c r="R38" s="154"/>
      <c r="S38" s="20"/>
      <c r="T38" s="154"/>
      <c r="U38" s="20"/>
      <c r="V38" s="154"/>
      <c r="W38" s="20"/>
      <c r="X38" s="156"/>
      <c r="Y38" s="156"/>
      <c r="Z38" s="37"/>
    </row>
    <row r="39" spans="1:26" ht="15" customHeight="1" x14ac:dyDescent="0.25">
      <c r="A39" s="59"/>
      <c r="C39" s="156"/>
      <c r="D39" s="60"/>
      <c r="E39" s="156"/>
      <c r="F39" s="156"/>
      <c r="G39" s="156"/>
      <c r="H39" s="156"/>
      <c r="I39" s="156"/>
      <c r="J39" s="156"/>
      <c r="K39" s="156"/>
      <c r="L39" s="156"/>
      <c r="M39" s="157">
        <f t="shared" si="2"/>
        <v>0</v>
      </c>
      <c r="N39" s="154"/>
      <c r="O39" s="20"/>
      <c r="P39" s="154"/>
      <c r="Q39" s="20"/>
      <c r="R39" s="154"/>
      <c r="S39" s="20"/>
      <c r="T39" s="154"/>
      <c r="U39" s="20"/>
      <c r="V39" s="154"/>
      <c r="W39" s="20"/>
      <c r="X39" s="156"/>
      <c r="Y39" s="156"/>
      <c r="Z39" s="37"/>
    </row>
    <row r="40" spans="1:26" ht="15" customHeight="1" x14ac:dyDescent="0.25">
      <c r="A40" s="59"/>
      <c r="B40" s="59"/>
      <c r="C40" s="156"/>
      <c r="D40" s="60"/>
      <c r="E40" s="156"/>
      <c r="F40" s="156"/>
      <c r="G40" s="156"/>
      <c r="H40" s="156"/>
      <c r="I40" s="156"/>
      <c r="J40" s="156"/>
      <c r="K40" s="156"/>
      <c r="L40" s="156"/>
      <c r="M40" s="157">
        <f t="shared" si="2"/>
        <v>0</v>
      </c>
      <c r="N40" s="154"/>
      <c r="O40" s="20"/>
      <c r="P40" s="154"/>
      <c r="Q40" s="20"/>
      <c r="R40" s="154"/>
      <c r="S40" s="20"/>
      <c r="T40" s="154"/>
      <c r="U40" s="20"/>
      <c r="V40" s="154"/>
      <c r="W40" s="20"/>
      <c r="X40" s="156"/>
      <c r="Y40" s="156"/>
      <c r="Z40" s="37"/>
    </row>
    <row r="41" spans="1:26" ht="15" customHeight="1" x14ac:dyDescent="0.25">
      <c r="A41" s="59"/>
      <c r="B41" s="59"/>
      <c r="C41" s="156"/>
      <c r="D41" s="60"/>
      <c r="E41" s="156"/>
      <c r="F41" s="156"/>
      <c r="G41" s="156"/>
      <c r="H41" s="156"/>
      <c r="I41" s="156"/>
      <c r="J41" s="156"/>
      <c r="K41" s="156"/>
      <c r="L41" s="156"/>
      <c r="M41" s="157">
        <f t="shared" si="2"/>
        <v>0</v>
      </c>
      <c r="N41" s="154"/>
      <c r="O41" s="20"/>
      <c r="P41" s="154"/>
      <c r="Q41" s="20"/>
      <c r="R41" s="154"/>
      <c r="S41" s="20"/>
      <c r="T41" s="154"/>
      <c r="U41" s="20"/>
      <c r="V41" s="154"/>
      <c r="W41" s="20"/>
      <c r="X41" s="156"/>
      <c r="Y41" s="156"/>
      <c r="Z41" s="37"/>
    </row>
    <row r="42" spans="1:26" ht="15" customHeight="1" x14ac:dyDescent="0.25">
      <c r="A42" s="59"/>
      <c r="B42" s="59"/>
      <c r="C42" s="156"/>
      <c r="D42" s="60"/>
      <c r="E42" s="156"/>
      <c r="F42" s="156"/>
      <c r="G42" s="156"/>
      <c r="H42" s="156"/>
      <c r="I42" s="156"/>
      <c r="J42" s="156"/>
      <c r="K42" s="156"/>
      <c r="L42" s="156"/>
      <c r="M42" s="157">
        <f t="shared" si="2"/>
        <v>0</v>
      </c>
      <c r="N42" s="154"/>
      <c r="O42" s="20"/>
      <c r="P42" s="154"/>
      <c r="Q42" s="20"/>
      <c r="R42" s="154"/>
      <c r="S42" s="20"/>
      <c r="T42" s="154"/>
      <c r="U42" s="20"/>
      <c r="V42" s="154"/>
      <c r="W42" s="20"/>
      <c r="X42" s="156"/>
      <c r="Y42" s="156"/>
      <c r="Z42" s="37"/>
    </row>
    <row r="43" spans="1:26" ht="15" customHeight="1" x14ac:dyDescent="0.25">
      <c r="A43" s="59"/>
      <c r="B43" s="59"/>
      <c r="C43" s="156"/>
      <c r="D43" s="60"/>
      <c r="E43" s="156"/>
      <c r="F43" s="156"/>
      <c r="G43" s="156"/>
      <c r="H43" s="156"/>
      <c r="I43" s="156"/>
      <c r="J43" s="156"/>
      <c r="K43" s="156"/>
      <c r="L43" s="156"/>
      <c r="M43" s="157">
        <f t="shared" si="2"/>
        <v>0</v>
      </c>
      <c r="N43" s="154"/>
      <c r="O43" s="20"/>
      <c r="P43" s="154"/>
      <c r="Q43" s="20"/>
      <c r="R43" s="154"/>
      <c r="S43" s="20"/>
      <c r="T43" s="154"/>
      <c r="U43" s="20"/>
      <c r="V43" s="154"/>
      <c r="W43" s="20"/>
      <c r="X43" s="156"/>
      <c r="Y43" s="156"/>
      <c r="Z43" s="37"/>
    </row>
    <row r="44" spans="1:26" ht="15" customHeight="1" x14ac:dyDescent="0.25">
      <c r="A44" s="59"/>
      <c r="B44" s="59"/>
      <c r="C44" s="156"/>
      <c r="D44" s="60"/>
      <c r="E44" s="156"/>
      <c r="F44" s="156"/>
      <c r="G44" s="156"/>
      <c r="H44" s="156"/>
      <c r="I44" s="156"/>
      <c r="J44" s="156"/>
      <c r="K44" s="156"/>
      <c r="L44" s="156"/>
      <c r="M44" s="157">
        <f t="shared" si="2"/>
        <v>0</v>
      </c>
      <c r="N44" s="154"/>
      <c r="O44" s="20"/>
      <c r="P44" s="154"/>
      <c r="Q44" s="20"/>
      <c r="R44" s="154"/>
      <c r="S44" s="20"/>
      <c r="T44" s="154"/>
      <c r="U44" s="20"/>
      <c r="V44" s="154"/>
      <c r="W44" s="20"/>
      <c r="X44" s="156"/>
      <c r="Y44" s="156"/>
      <c r="Z44" s="37"/>
    </row>
    <row r="45" spans="1:26" ht="15" customHeight="1" x14ac:dyDescent="0.25">
      <c r="A45" s="59"/>
      <c r="B45" s="59"/>
      <c r="C45" s="156"/>
      <c r="D45" s="60"/>
      <c r="E45" s="156"/>
      <c r="F45" s="156"/>
      <c r="G45" s="156"/>
      <c r="H45" s="156"/>
      <c r="I45" s="156"/>
      <c r="J45" s="156"/>
      <c r="K45" s="156"/>
      <c r="L45" s="156"/>
      <c r="M45" s="157">
        <f t="shared" si="2"/>
        <v>0</v>
      </c>
      <c r="N45" s="154"/>
      <c r="O45" s="20"/>
      <c r="P45" s="154"/>
      <c r="Q45" s="20"/>
      <c r="R45" s="154"/>
      <c r="S45" s="20"/>
      <c r="T45" s="154"/>
      <c r="U45" s="20"/>
      <c r="V45" s="154"/>
      <c r="W45" s="20"/>
      <c r="X45" s="156"/>
      <c r="Y45" s="156"/>
      <c r="Z45" s="37"/>
    </row>
    <row r="46" spans="1:26" ht="15" customHeight="1" x14ac:dyDescent="0.25">
      <c r="A46" s="59"/>
      <c r="B46" s="59"/>
      <c r="C46" s="156"/>
      <c r="D46" s="60"/>
      <c r="E46" s="156"/>
      <c r="F46" s="156"/>
      <c r="G46" s="156"/>
      <c r="H46" s="156"/>
      <c r="I46" s="156"/>
      <c r="J46" s="156"/>
      <c r="K46" s="156"/>
      <c r="L46" s="156"/>
      <c r="M46" s="157">
        <f t="shared" si="2"/>
        <v>0</v>
      </c>
      <c r="N46" s="154"/>
      <c r="O46" s="20"/>
      <c r="P46" s="154"/>
      <c r="Q46" s="20"/>
      <c r="R46" s="154"/>
      <c r="S46" s="20"/>
      <c r="T46" s="154"/>
      <c r="U46" s="20"/>
      <c r="V46" s="154"/>
      <c r="W46" s="20"/>
      <c r="X46" s="156"/>
      <c r="Y46" s="156"/>
      <c r="Z46" s="37"/>
    </row>
    <row r="47" spans="1:26" ht="15" customHeight="1" x14ac:dyDescent="0.25">
      <c r="A47" s="59"/>
      <c r="B47" s="59"/>
      <c r="C47" s="156"/>
      <c r="D47" s="60"/>
      <c r="E47" s="156"/>
      <c r="F47" s="156"/>
      <c r="G47" s="156"/>
      <c r="H47" s="156"/>
      <c r="I47" s="156"/>
      <c r="J47" s="156"/>
      <c r="K47" s="156"/>
      <c r="L47" s="156"/>
      <c r="M47" s="157">
        <f t="shared" si="2"/>
        <v>0</v>
      </c>
      <c r="N47" s="154"/>
      <c r="O47" s="20"/>
      <c r="P47" s="154"/>
      <c r="Q47" s="20"/>
      <c r="R47" s="154"/>
      <c r="S47" s="20"/>
      <c r="T47" s="154"/>
      <c r="U47" s="20"/>
      <c r="V47" s="154"/>
      <c r="W47" s="20"/>
      <c r="X47" s="156"/>
      <c r="Y47" s="156"/>
      <c r="Z47" s="37"/>
    </row>
    <row r="48" spans="1:26" ht="15" customHeight="1" x14ac:dyDescent="0.25">
      <c r="A48" s="59"/>
      <c r="B48" s="59"/>
      <c r="C48" s="156"/>
      <c r="D48" s="60"/>
      <c r="E48" s="156"/>
      <c r="F48" s="156"/>
      <c r="G48" s="156"/>
      <c r="H48" s="156"/>
      <c r="I48" s="156"/>
      <c r="J48" s="156"/>
      <c r="K48" s="156"/>
      <c r="L48" s="156"/>
      <c r="M48" s="157">
        <f t="shared" si="2"/>
        <v>0</v>
      </c>
      <c r="N48" s="154"/>
      <c r="O48" s="20"/>
      <c r="P48" s="154"/>
      <c r="Q48" s="20"/>
      <c r="R48" s="154"/>
      <c r="S48" s="20"/>
      <c r="T48" s="154"/>
      <c r="U48" s="20"/>
      <c r="V48" s="154"/>
      <c r="W48" s="20"/>
      <c r="X48" s="156"/>
      <c r="Y48" s="156"/>
      <c r="Z48" s="37"/>
    </row>
    <row r="49" spans="1:26" ht="15" customHeight="1" x14ac:dyDescent="0.25">
      <c r="A49" s="59"/>
      <c r="B49" s="59"/>
      <c r="C49" s="156"/>
      <c r="D49" s="60"/>
      <c r="E49" s="156"/>
      <c r="F49" s="156"/>
      <c r="G49" s="156"/>
      <c r="H49" s="156"/>
      <c r="I49" s="156"/>
      <c r="J49" s="156"/>
      <c r="K49" s="156"/>
      <c r="L49" s="156"/>
      <c r="M49" s="157">
        <f t="shared" si="2"/>
        <v>0</v>
      </c>
      <c r="N49" s="154"/>
      <c r="O49" s="20"/>
      <c r="P49" s="154"/>
      <c r="Q49" s="20"/>
      <c r="R49" s="154"/>
      <c r="S49" s="20"/>
      <c r="T49" s="154"/>
      <c r="U49" s="20"/>
      <c r="V49" s="154"/>
      <c r="W49" s="20"/>
      <c r="X49" s="156"/>
      <c r="Y49" s="156"/>
      <c r="Z49" s="37"/>
    </row>
    <row r="50" spans="1:26" ht="15" customHeight="1" x14ac:dyDescent="0.25">
      <c r="A50" s="59"/>
      <c r="B50" s="59"/>
      <c r="C50" s="156"/>
      <c r="D50" s="60"/>
      <c r="E50" s="156"/>
      <c r="F50" s="156"/>
      <c r="G50" s="156"/>
      <c r="H50" s="156"/>
      <c r="I50" s="156"/>
      <c r="J50" s="156"/>
      <c r="K50" s="156"/>
      <c r="L50" s="156"/>
      <c r="M50" s="157">
        <f t="shared" si="2"/>
        <v>0</v>
      </c>
      <c r="N50" s="154"/>
      <c r="O50" s="20"/>
      <c r="P50" s="154"/>
      <c r="Q50" s="20"/>
      <c r="R50" s="154"/>
      <c r="S50" s="20"/>
      <c r="T50" s="154"/>
      <c r="U50" s="20"/>
      <c r="V50" s="154"/>
      <c r="W50" s="20"/>
      <c r="X50" s="156"/>
      <c r="Y50" s="156"/>
      <c r="Z50" s="37"/>
    </row>
    <row r="51" spans="1:26" ht="15" customHeight="1" x14ac:dyDescent="0.25">
      <c r="A51" s="59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7">
        <f t="shared" si="2"/>
        <v>0</v>
      </c>
      <c r="N51" s="154"/>
      <c r="O51" s="20"/>
      <c r="P51" s="154"/>
      <c r="Q51" s="20"/>
      <c r="R51" s="154"/>
      <c r="S51" s="20"/>
      <c r="T51" s="154"/>
      <c r="U51" s="20"/>
      <c r="V51" s="154"/>
      <c r="W51" s="20"/>
      <c r="X51" s="156"/>
      <c r="Y51" s="156"/>
      <c r="Z51" s="37"/>
    </row>
    <row r="52" spans="1:26" ht="15" customHeight="1" x14ac:dyDescent="0.25">
      <c r="A52" s="59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7">
        <f t="shared" si="2"/>
        <v>0</v>
      </c>
      <c r="N52" s="154"/>
      <c r="O52" s="20"/>
      <c r="P52" s="154"/>
      <c r="Q52" s="20"/>
      <c r="R52" s="154"/>
      <c r="S52" s="20"/>
      <c r="T52" s="154"/>
      <c r="U52" s="20"/>
      <c r="V52" s="154"/>
      <c r="W52" s="20"/>
      <c r="X52" s="156"/>
      <c r="Y52" s="156"/>
      <c r="Z52" s="37"/>
    </row>
    <row r="53" spans="1:26" ht="15" customHeight="1" x14ac:dyDescent="0.25">
      <c r="A53" s="59"/>
      <c r="B53" s="59"/>
      <c r="C53" s="156"/>
      <c r="D53" s="60"/>
      <c r="E53" s="156"/>
      <c r="F53" s="156"/>
      <c r="G53" s="156"/>
      <c r="H53" s="156"/>
      <c r="I53" s="156"/>
      <c r="J53" s="156"/>
      <c r="K53" s="156"/>
      <c r="L53" s="156"/>
      <c r="M53" s="157">
        <f t="shared" si="2"/>
        <v>0</v>
      </c>
      <c r="N53" s="154"/>
      <c r="O53" s="20"/>
      <c r="P53" s="154"/>
      <c r="Q53" s="20"/>
      <c r="R53" s="154"/>
      <c r="S53" s="20"/>
      <c r="T53" s="154"/>
      <c r="U53" s="20"/>
      <c r="V53" s="154"/>
      <c r="W53" s="20"/>
      <c r="X53" s="156"/>
      <c r="Y53" s="156"/>
      <c r="Z53" s="156"/>
    </row>
    <row r="54" spans="1:26" ht="15" customHeight="1" x14ac:dyDescent="0.25">
      <c r="A54" s="59"/>
      <c r="B54" s="59"/>
      <c r="C54" s="156"/>
      <c r="D54" s="60"/>
      <c r="E54" s="156"/>
      <c r="F54" s="156"/>
      <c r="G54" s="156"/>
      <c r="H54" s="156"/>
      <c r="I54" s="156"/>
      <c r="J54" s="156"/>
      <c r="K54" s="156"/>
      <c r="L54" s="156"/>
      <c r="M54" s="157">
        <f t="shared" si="2"/>
        <v>0</v>
      </c>
      <c r="N54" s="154"/>
      <c r="O54" s="20"/>
      <c r="P54" s="154"/>
      <c r="Q54" s="20"/>
      <c r="R54" s="154"/>
      <c r="S54" s="20"/>
      <c r="T54" s="154"/>
      <c r="U54" s="20"/>
      <c r="V54" s="154"/>
      <c r="W54" s="20"/>
      <c r="X54" s="156"/>
      <c r="Y54" s="156"/>
      <c r="Z54" s="37"/>
    </row>
    <row r="55" spans="1:26" ht="15" customHeight="1" x14ac:dyDescent="0.25">
      <c r="A55" s="59"/>
      <c r="B55" s="59"/>
      <c r="C55" s="156"/>
      <c r="D55" s="60"/>
      <c r="E55" s="156"/>
      <c r="F55" s="156"/>
      <c r="G55" s="156"/>
      <c r="H55" s="156"/>
      <c r="I55" s="156"/>
      <c r="J55" s="156"/>
      <c r="K55" s="156"/>
      <c r="L55" s="156"/>
      <c r="M55" s="157">
        <f t="shared" si="2"/>
        <v>0</v>
      </c>
      <c r="N55" s="154"/>
      <c r="O55" s="20"/>
      <c r="P55" s="154"/>
      <c r="Q55" s="20"/>
      <c r="R55" s="154"/>
      <c r="S55" s="20"/>
      <c r="T55" s="154"/>
      <c r="U55" s="20"/>
      <c r="V55" s="154"/>
      <c r="W55" s="20"/>
      <c r="X55" s="156"/>
      <c r="Y55" s="156"/>
      <c r="Z55" s="37"/>
    </row>
    <row r="56" spans="1:26" ht="15" customHeight="1" x14ac:dyDescent="0.25">
      <c r="A56" s="59"/>
      <c r="B56" s="59"/>
      <c r="C56" s="156"/>
      <c r="D56" s="60"/>
      <c r="E56" s="156"/>
      <c r="F56" s="156"/>
      <c r="G56" s="156"/>
      <c r="H56" s="156"/>
      <c r="I56" s="156"/>
      <c r="J56" s="156"/>
      <c r="K56" s="156"/>
      <c r="L56" s="156"/>
      <c r="M56" s="157">
        <f t="shared" si="2"/>
        <v>0</v>
      </c>
      <c r="N56" s="154"/>
      <c r="O56" s="20"/>
      <c r="P56" s="154"/>
      <c r="Q56" s="20"/>
      <c r="R56" s="154"/>
      <c r="S56" s="20"/>
      <c r="T56" s="154"/>
      <c r="U56" s="20"/>
      <c r="V56" s="154"/>
      <c r="W56" s="20"/>
      <c r="X56" s="156"/>
      <c r="Y56" s="156"/>
      <c r="Z56" s="37"/>
    </row>
    <row r="57" spans="1:26" ht="15" customHeight="1" x14ac:dyDescent="0.25">
      <c r="A57" s="59"/>
      <c r="B57" s="59"/>
      <c r="C57" s="156"/>
      <c r="D57" s="60"/>
      <c r="E57" s="156"/>
      <c r="F57" s="156"/>
      <c r="G57" s="156"/>
      <c r="H57" s="156"/>
      <c r="I57" s="156"/>
      <c r="J57" s="156"/>
      <c r="K57" s="156"/>
      <c r="L57" s="156"/>
      <c r="M57" s="157">
        <f t="shared" si="2"/>
        <v>0</v>
      </c>
      <c r="N57" s="154"/>
      <c r="O57" s="20"/>
      <c r="P57" s="154"/>
      <c r="Q57" s="20"/>
      <c r="R57" s="154"/>
      <c r="S57" s="20"/>
      <c r="T57" s="154"/>
      <c r="U57" s="20"/>
      <c r="V57" s="154"/>
      <c r="W57" s="20"/>
      <c r="X57" s="156"/>
      <c r="Y57" s="156"/>
      <c r="Z57" s="37"/>
    </row>
    <row r="58" spans="1:26" ht="15" customHeight="1" x14ac:dyDescent="0.25">
      <c r="A58" s="59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7">
        <f t="shared" si="2"/>
        <v>0</v>
      </c>
      <c r="N58" s="154"/>
      <c r="O58" s="20"/>
      <c r="P58" s="154"/>
      <c r="Q58" s="20"/>
      <c r="R58" s="154"/>
      <c r="S58" s="20"/>
      <c r="T58" s="154"/>
      <c r="U58" s="20"/>
      <c r="V58" s="154"/>
      <c r="W58" s="20"/>
      <c r="X58" s="156"/>
      <c r="Y58" s="156"/>
      <c r="Z58" s="37"/>
    </row>
    <row r="59" spans="1:26" ht="15" customHeight="1" x14ac:dyDescent="0.25">
      <c r="A59" s="59"/>
      <c r="B59" s="59"/>
      <c r="C59" s="156"/>
      <c r="D59" s="60"/>
      <c r="E59" s="156"/>
      <c r="F59" s="156"/>
      <c r="G59" s="156"/>
      <c r="H59" s="156"/>
      <c r="I59" s="156"/>
      <c r="J59" s="156"/>
      <c r="K59" s="156"/>
      <c r="L59" s="156"/>
      <c r="M59" s="157">
        <f t="shared" si="2"/>
        <v>0</v>
      </c>
      <c r="N59" s="154"/>
      <c r="O59" s="20"/>
      <c r="P59" s="154"/>
      <c r="Q59" s="20"/>
      <c r="R59" s="154"/>
      <c r="S59" s="20"/>
      <c r="T59" s="154"/>
      <c r="U59" s="20"/>
      <c r="V59" s="154"/>
      <c r="W59" s="20"/>
      <c r="X59" s="156"/>
      <c r="Y59" s="156"/>
      <c r="Z59" s="37"/>
    </row>
    <row r="60" spans="1:26" ht="15" customHeight="1" x14ac:dyDescent="0.25">
      <c r="A60" s="59"/>
      <c r="B60" s="59"/>
      <c r="C60" s="156"/>
      <c r="D60" s="60"/>
      <c r="E60" s="156"/>
      <c r="F60" s="156"/>
      <c r="G60" s="156"/>
      <c r="H60" s="156"/>
      <c r="I60" s="156"/>
      <c r="J60" s="156"/>
      <c r="K60" s="156"/>
      <c r="L60" s="156"/>
      <c r="M60" s="157">
        <f t="shared" si="2"/>
        <v>0</v>
      </c>
      <c r="N60" s="154"/>
      <c r="O60" s="20"/>
      <c r="P60" s="154"/>
      <c r="Q60" s="20"/>
      <c r="R60" s="154"/>
      <c r="S60" s="20"/>
      <c r="T60" s="154"/>
      <c r="U60" s="20"/>
      <c r="V60" s="154"/>
      <c r="W60" s="20"/>
      <c r="X60" s="156"/>
      <c r="Y60" s="156"/>
      <c r="Z60" s="37"/>
    </row>
    <row r="61" spans="1:26" ht="15" customHeight="1" x14ac:dyDescent="0.25">
      <c r="A61" s="59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7">
        <f t="shared" si="2"/>
        <v>0</v>
      </c>
      <c r="N61" s="154"/>
      <c r="O61" s="20"/>
      <c r="P61" s="154"/>
      <c r="Q61" s="20"/>
      <c r="R61" s="154"/>
      <c r="S61" s="20"/>
      <c r="T61" s="154"/>
      <c r="U61" s="20"/>
      <c r="V61" s="154"/>
      <c r="W61" s="20"/>
      <c r="X61" s="156"/>
      <c r="Y61" s="156"/>
      <c r="Z61" s="37"/>
    </row>
    <row r="62" spans="1:26" ht="15" customHeight="1" x14ac:dyDescent="0.25">
      <c r="A62" s="59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7">
        <f t="shared" si="2"/>
        <v>0</v>
      </c>
      <c r="N62" s="154"/>
      <c r="O62" s="20"/>
      <c r="P62" s="154"/>
      <c r="Q62" s="20"/>
      <c r="R62" s="154"/>
      <c r="S62" s="20"/>
      <c r="T62" s="154"/>
      <c r="U62" s="20"/>
      <c r="V62" s="154"/>
      <c r="W62" s="20"/>
      <c r="X62" s="156"/>
      <c r="Y62" s="156"/>
      <c r="Z62" s="37"/>
    </row>
    <row r="63" spans="1:26" ht="15" customHeight="1" x14ac:dyDescent="0.25">
      <c r="A63" s="59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7">
        <f t="shared" si="2"/>
        <v>0</v>
      </c>
      <c r="N63" s="154"/>
      <c r="O63" s="20"/>
      <c r="P63" s="154"/>
      <c r="Q63" s="20"/>
      <c r="R63" s="154"/>
      <c r="S63" s="20"/>
      <c r="T63" s="154"/>
      <c r="U63" s="20"/>
      <c r="V63" s="154"/>
      <c r="W63" s="20"/>
      <c r="X63" s="156"/>
      <c r="Y63" s="156"/>
      <c r="Z63" s="37"/>
    </row>
    <row r="64" spans="1:26" ht="15" customHeight="1" x14ac:dyDescent="0.25">
      <c r="A64" s="59"/>
      <c r="B64" s="59"/>
      <c r="C64" s="156"/>
      <c r="D64" s="60"/>
      <c r="E64" s="156"/>
      <c r="F64" s="156"/>
      <c r="G64" s="156"/>
      <c r="H64" s="156"/>
      <c r="I64" s="156"/>
      <c r="J64" s="156"/>
      <c r="K64" s="156"/>
      <c r="L64" s="156"/>
      <c r="M64" s="157">
        <f t="shared" si="2"/>
        <v>0</v>
      </c>
      <c r="N64" s="154"/>
      <c r="O64" s="20"/>
      <c r="P64" s="154"/>
      <c r="Q64" s="20"/>
      <c r="R64" s="154"/>
      <c r="S64" s="20"/>
      <c r="T64" s="154"/>
      <c r="U64" s="20"/>
      <c r="V64" s="154"/>
      <c r="W64" s="20"/>
      <c r="X64" s="156"/>
      <c r="Y64" s="156"/>
      <c r="Z64" s="37"/>
    </row>
    <row r="65" spans="1:26" ht="15" customHeight="1" x14ac:dyDescent="0.25">
      <c r="A65" s="59"/>
      <c r="B65" s="59"/>
      <c r="C65" s="156"/>
      <c r="D65" s="60"/>
      <c r="E65" s="156"/>
      <c r="F65" s="156"/>
      <c r="G65" s="156"/>
      <c r="H65" s="156"/>
      <c r="I65" s="156"/>
      <c r="J65" s="156"/>
      <c r="K65" s="156"/>
      <c r="L65" s="156"/>
      <c r="M65" s="157">
        <f t="shared" si="2"/>
        <v>0</v>
      </c>
      <c r="N65" s="154"/>
      <c r="O65" s="20"/>
      <c r="P65" s="154"/>
      <c r="Q65" s="20"/>
      <c r="R65" s="154"/>
      <c r="S65" s="20"/>
      <c r="T65" s="154"/>
      <c r="U65" s="20"/>
      <c r="V65" s="154"/>
      <c r="W65" s="20"/>
      <c r="X65" s="156"/>
      <c r="Y65" s="156"/>
      <c r="Z65" s="37"/>
    </row>
    <row r="66" spans="1:26" ht="15" customHeight="1" x14ac:dyDescent="0.25">
      <c r="A66" s="59"/>
      <c r="B66" s="59"/>
      <c r="C66" s="156"/>
      <c r="D66" s="60"/>
      <c r="E66" s="156"/>
      <c r="F66" s="156"/>
      <c r="G66" s="156"/>
      <c r="H66" s="156"/>
      <c r="I66" s="156"/>
      <c r="J66" s="156"/>
      <c r="K66" s="156"/>
      <c r="L66" s="156"/>
      <c r="M66" s="157">
        <f t="shared" si="2"/>
        <v>0</v>
      </c>
      <c r="N66" s="154"/>
      <c r="O66" s="20"/>
      <c r="P66" s="154"/>
      <c r="Q66" s="20"/>
      <c r="R66" s="154"/>
      <c r="S66" s="20"/>
      <c r="T66" s="154"/>
      <c r="U66" s="20"/>
      <c r="V66" s="154"/>
      <c r="W66" s="20"/>
      <c r="X66" s="156"/>
      <c r="Y66" s="156"/>
      <c r="Z66" s="37"/>
    </row>
    <row r="67" spans="1:26" ht="15" customHeight="1" x14ac:dyDescent="0.25">
      <c r="A67" s="59"/>
      <c r="B67" s="59"/>
      <c r="C67" s="156"/>
      <c r="D67" s="60"/>
      <c r="E67" s="156"/>
      <c r="F67" s="156"/>
      <c r="G67" s="156"/>
      <c r="H67" s="156"/>
      <c r="I67" s="156"/>
      <c r="J67" s="156"/>
      <c r="K67" s="156"/>
      <c r="L67" s="156"/>
      <c r="M67" s="157">
        <f t="shared" si="2"/>
        <v>0</v>
      </c>
      <c r="N67" s="154"/>
      <c r="O67" s="20"/>
      <c r="P67" s="154"/>
      <c r="Q67" s="20"/>
      <c r="R67" s="154"/>
      <c r="S67" s="20"/>
      <c r="T67" s="154"/>
      <c r="U67" s="20"/>
      <c r="V67" s="154"/>
      <c r="W67" s="20"/>
      <c r="X67" s="156"/>
      <c r="Y67" s="156"/>
      <c r="Z67" s="37"/>
    </row>
    <row r="68" spans="1:26" ht="15" customHeight="1" x14ac:dyDescent="0.25">
      <c r="A68" s="59"/>
      <c r="B68" s="59"/>
      <c r="C68" s="156"/>
      <c r="D68" s="60"/>
      <c r="E68" s="156"/>
      <c r="F68" s="61"/>
      <c r="G68" s="156"/>
      <c r="H68" s="156"/>
      <c r="I68" s="156"/>
      <c r="J68" s="156"/>
      <c r="K68" s="156"/>
      <c r="L68" s="156"/>
      <c r="M68" s="157">
        <f t="shared" si="2"/>
        <v>0</v>
      </c>
      <c r="N68" s="154"/>
      <c r="O68" s="20"/>
      <c r="P68" s="154"/>
      <c r="Q68" s="20"/>
      <c r="R68" s="154"/>
      <c r="S68" s="20"/>
      <c r="T68" s="154"/>
      <c r="U68" s="20"/>
      <c r="V68" s="154"/>
      <c r="W68" s="20"/>
      <c r="X68" s="156"/>
      <c r="Y68" s="156"/>
      <c r="Z68" s="37"/>
    </row>
    <row r="69" spans="1:26" ht="15" customHeight="1" x14ac:dyDescent="0.25">
      <c r="A69" s="59"/>
      <c r="B69" s="59"/>
      <c r="C69" s="156"/>
      <c r="D69" s="60"/>
      <c r="E69" s="156"/>
      <c r="F69" s="61"/>
      <c r="G69" s="156"/>
      <c r="H69" s="156"/>
      <c r="I69" s="156"/>
      <c r="J69" s="156"/>
      <c r="K69" s="156"/>
      <c r="L69" s="156"/>
      <c r="M69" s="157">
        <f t="shared" ref="M69:M132" si="3">SUM(N69:W69)</f>
        <v>0</v>
      </c>
      <c r="N69" s="154"/>
      <c r="O69" s="20"/>
      <c r="P69" s="154"/>
      <c r="Q69" s="20"/>
      <c r="R69" s="154"/>
      <c r="S69" s="20"/>
      <c r="T69" s="154"/>
      <c r="U69" s="20"/>
      <c r="V69" s="154"/>
      <c r="W69" s="20"/>
      <c r="X69" s="156"/>
      <c r="Y69" s="156"/>
      <c r="Z69" s="37"/>
    </row>
    <row r="70" spans="1:26" ht="15" customHeight="1" x14ac:dyDescent="0.25">
      <c r="A70" s="59"/>
      <c r="B70" s="59"/>
      <c r="C70" s="156"/>
      <c r="D70" s="60"/>
      <c r="E70" s="156"/>
      <c r="F70" s="61"/>
      <c r="G70" s="156"/>
      <c r="H70" s="156"/>
      <c r="I70" s="156"/>
      <c r="J70" s="156"/>
      <c r="K70" s="156"/>
      <c r="L70" s="156"/>
      <c r="M70" s="157">
        <f t="shared" si="3"/>
        <v>0</v>
      </c>
      <c r="N70" s="154"/>
      <c r="O70" s="20"/>
      <c r="P70" s="154"/>
      <c r="Q70" s="20"/>
      <c r="R70" s="154"/>
      <c r="S70" s="20"/>
      <c r="T70" s="154"/>
      <c r="U70" s="20"/>
      <c r="V70" s="154"/>
      <c r="W70" s="20"/>
      <c r="X70" s="156"/>
      <c r="Y70" s="156"/>
      <c r="Z70" s="37"/>
    </row>
    <row r="71" spans="1:26" ht="15" customHeight="1" x14ac:dyDescent="0.25">
      <c r="A71" s="59"/>
      <c r="B71" s="59"/>
      <c r="C71" s="156"/>
      <c r="D71" s="60"/>
      <c r="E71" s="156"/>
      <c r="F71" s="156"/>
      <c r="G71" s="156"/>
      <c r="H71" s="156"/>
      <c r="I71" s="156"/>
      <c r="J71" s="156"/>
      <c r="K71" s="156"/>
      <c r="L71" s="156"/>
      <c r="M71" s="157">
        <f t="shared" si="3"/>
        <v>0</v>
      </c>
      <c r="N71" s="154"/>
      <c r="O71" s="20"/>
      <c r="P71" s="154"/>
      <c r="Q71" s="20"/>
      <c r="R71" s="154"/>
      <c r="S71" s="20"/>
      <c r="T71" s="154"/>
      <c r="U71" s="20"/>
      <c r="V71" s="154"/>
      <c r="W71" s="20"/>
      <c r="X71" s="156"/>
      <c r="Y71" s="156"/>
      <c r="Z71" s="37"/>
    </row>
    <row r="72" spans="1:26" ht="15" customHeight="1" x14ac:dyDescent="0.25">
      <c r="A72" s="59"/>
      <c r="B72" s="59"/>
      <c r="C72" s="156"/>
      <c r="D72" s="60"/>
      <c r="E72" s="156"/>
      <c r="F72" s="156"/>
      <c r="G72" s="156"/>
      <c r="H72" s="156"/>
      <c r="I72" s="156"/>
      <c r="J72" s="156"/>
      <c r="K72" s="156"/>
      <c r="L72" s="156"/>
      <c r="M72" s="157">
        <f t="shared" si="3"/>
        <v>0</v>
      </c>
      <c r="N72" s="154"/>
      <c r="O72" s="20"/>
      <c r="P72" s="154"/>
      <c r="Q72" s="20"/>
      <c r="R72" s="154"/>
      <c r="S72" s="20"/>
      <c r="T72" s="154"/>
      <c r="U72" s="20"/>
      <c r="V72" s="154"/>
      <c r="W72" s="20"/>
      <c r="X72" s="156"/>
      <c r="Y72" s="156"/>
      <c r="Z72" s="37"/>
    </row>
    <row r="73" spans="1:26" ht="15" customHeight="1" x14ac:dyDescent="0.25">
      <c r="A73" s="59"/>
      <c r="B73" s="59"/>
      <c r="C73" s="156"/>
      <c r="D73" s="60"/>
      <c r="E73" s="156"/>
      <c r="F73" s="156"/>
      <c r="G73" s="156"/>
      <c r="H73" s="156"/>
      <c r="I73" s="156"/>
      <c r="J73" s="156"/>
      <c r="K73" s="156"/>
      <c r="L73" s="156"/>
      <c r="M73" s="157">
        <f t="shared" si="3"/>
        <v>0</v>
      </c>
      <c r="N73" s="154"/>
      <c r="O73" s="20"/>
      <c r="P73" s="154"/>
      <c r="Q73" s="20"/>
      <c r="R73" s="154"/>
      <c r="S73" s="20"/>
      <c r="T73" s="154"/>
      <c r="U73" s="20"/>
      <c r="V73" s="154"/>
      <c r="W73" s="20"/>
      <c r="X73" s="156"/>
      <c r="Y73" s="156"/>
      <c r="Z73" s="37"/>
    </row>
    <row r="74" spans="1:26" ht="15" customHeight="1" x14ac:dyDescent="0.25">
      <c r="A74" s="59"/>
      <c r="B74" s="59"/>
      <c r="C74" s="156"/>
      <c r="D74" s="60"/>
      <c r="E74" s="156"/>
      <c r="F74" s="156"/>
      <c r="G74" s="156"/>
      <c r="H74" s="156"/>
      <c r="I74" s="156"/>
      <c r="J74" s="156"/>
      <c r="K74" s="156"/>
      <c r="L74" s="156"/>
      <c r="M74" s="157">
        <f t="shared" si="3"/>
        <v>0</v>
      </c>
      <c r="N74" s="154"/>
      <c r="O74" s="20"/>
      <c r="P74" s="154"/>
      <c r="Q74" s="20"/>
      <c r="R74" s="154"/>
      <c r="S74" s="20"/>
      <c r="T74" s="154"/>
      <c r="U74" s="20"/>
      <c r="V74" s="154"/>
      <c r="W74" s="20"/>
      <c r="X74" s="156"/>
      <c r="Y74" s="156"/>
      <c r="Z74" s="37"/>
    </row>
    <row r="75" spans="1:26" ht="15" customHeight="1" x14ac:dyDescent="0.25">
      <c r="A75" s="59"/>
      <c r="B75" s="59"/>
      <c r="C75" s="156"/>
      <c r="D75" s="60"/>
      <c r="E75" s="156"/>
      <c r="F75" s="156"/>
      <c r="G75" s="156"/>
      <c r="H75" s="156"/>
      <c r="I75" s="156"/>
      <c r="J75" s="156"/>
      <c r="K75" s="156"/>
      <c r="L75" s="156"/>
      <c r="M75" s="157">
        <f t="shared" si="3"/>
        <v>0</v>
      </c>
      <c r="N75" s="154"/>
      <c r="O75" s="20"/>
      <c r="P75" s="154"/>
      <c r="Q75" s="20"/>
      <c r="R75" s="154"/>
      <c r="S75" s="20"/>
      <c r="T75" s="154"/>
      <c r="U75" s="20"/>
      <c r="V75" s="154"/>
      <c r="W75" s="20"/>
      <c r="X75" s="156"/>
      <c r="Y75" s="156"/>
      <c r="Z75" s="37"/>
    </row>
    <row r="76" spans="1:26" ht="15" customHeight="1" x14ac:dyDescent="0.25">
      <c r="A76" s="59"/>
      <c r="B76" s="59"/>
      <c r="C76" s="156"/>
      <c r="D76" s="60"/>
      <c r="E76" s="156"/>
      <c r="F76" s="156"/>
      <c r="G76" s="156"/>
      <c r="H76" s="156"/>
      <c r="I76" s="156"/>
      <c r="J76" s="156"/>
      <c r="K76" s="156"/>
      <c r="L76" s="156"/>
      <c r="M76" s="157">
        <f t="shared" si="3"/>
        <v>0</v>
      </c>
      <c r="N76" s="154"/>
      <c r="O76" s="20"/>
      <c r="P76" s="154"/>
      <c r="Q76" s="20"/>
      <c r="R76" s="154"/>
      <c r="S76" s="20"/>
      <c r="T76" s="154"/>
      <c r="U76" s="20"/>
      <c r="V76" s="154"/>
      <c r="W76" s="20"/>
      <c r="X76" s="156"/>
      <c r="Y76" s="156"/>
      <c r="Z76" s="37"/>
    </row>
    <row r="77" spans="1:26" ht="15" customHeight="1" x14ac:dyDescent="0.25">
      <c r="A77" s="59"/>
      <c r="B77" s="59"/>
      <c r="C77" s="156"/>
      <c r="D77" s="60"/>
      <c r="E77" s="156"/>
      <c r="F77" s="156"/>
      <c r="G77" s="156"/>
      <c r="H77" s="156"/>
      <c r="I77" s="156"/>
      <c r="J77" s="156"/>
      <c r="K77" s="156"/>
      <c r="L77" s="156"/>
      <c r="M77" s="157">
        <f t="shared" si="3"/>
        <v>0</v>
      </c>
      <c r="N77" s="154"/>
      <c r="O77" s="20"/>
      <c r="P77" s="154"/>
      <c r="Q77" s="20"/>
      <c r="R77" s="154"/>
      <c r="S77" s="20"/>
      <c r="T77" s="154"/>
      <c r="U77" s="20"/>
      <c r="V77" s="154"/>
      <c r="W77" s="20"/>
      <c r="X77" s="156"/>
      <c r="Y77" s="156"/>
      <c r="Z77" s="37"/>
    </row>
    <row r="78" spans="1:26" ht="15" customHeight="1" x14ac:dyDescent="0.25">
      <c r="A78" s="59"/>
      <c r="B78" s="59"/>
      <c r="C78" s="156"/>
      <c r="D78" s="60"/>
      <c r="E78" s="156"/>
      <c r="F78" s="156"/>
      <c r="G78" s="156"/>
      <c r="H78" s="156"/>
      <c r="I78" s="156"/>
      <c r="J78" s="156"/>
      <c r="K78" s="156"/>
      <c r="L78" s="156"/>
      <c r="M78" s="157">
        <f t="shared" si="3"/>
        <v>0</v>
      </c>
      <c r="N78" s="154"/>
      <c r="O78" s="20"/>
      <c r="P78" s="154"/>
      <c r="Q78" s="20"/>
      <c r="R78" s="154"/>
      <c r="S78" s="20"/>
      <c r="T78" s="154"/>
      <c r="U78" s="20"/>
      <c r="V78" s="154"/>
      <c r="W78" s="20"/>
      <c r="X78" s="156"/>
      <c r="Y78" s="156"/>
      <c r="Z78" s="37"/>
    </row>
    <row r="79" spans="1:26" ht="15" customHeight="1" x14ac:dyDescent="0.25">
      <c r="A79" s="59"/>
      <c r="B79" s="59"/>
      <c r="C79" s="156"/>
      <c r="D79" s="60"/>
      <c r="E79" s="156"/>
      <c r="F79" s="156"/>
      <c r="G79" s="156"/>
      <c r="H79" s="156"/>
      <c r="I79" s="156"/>
      <c r="J79" s="156"/>
      <c r="K79" s="156"/>
      <c r="L79" s="156"/>
      <c r="M79" s="157">
        <f t="shared" si="3"/>
        <v>0</v>
      </c>
      <c r="N79" s="154"/>
      <c r="O79" s="20"/>
      <c r="P79" s="154"/>
      <c r="Q79" s="20"/>
      <c r="R79" s="154"/>
      <c r="S79" s="20"/>
      <c r="T79" s="154"/>
      <c r="U79" s="20"/>
      <c r="V79" s="154"/>
      <c r="W79" s="20"/>
      <c r="X79" s="156"/>
      <c r="Y79" s="156"/>
      <c r="Z79" s="37"/>
    </row>
    <row r="80" spans="1:26" ht="15" customHeight="1" x14ac:dyDescent="0.25">
      <c r="A80" s="59"/>
      <c r="B80" s="59"/>
      <c r="C80" s="156"/>
      <c r="D80" s="60"/>
      <c r="E80" s="156"/>
      <c r="F80" s="156"/>
      <c r="G80" s="156"/>
      <c r="H80" s="156"/>
      <c r="I80" s="156"/>
      <c r="J80" s="156"/>
      <c r="K80" s="156"/>
      <c r="L80" s="156"/>
      <c r="M80" s="157">
        <f t="shared" si="3"/>
        <v>0</v>
      </c>
      <c r="N80" s="154"/>
      <c r="O80" s="20"/>
      <c r="P80" s="154"/>
      <c r="Q80" s="20"/>
      <c r="R80" s="154"/>
      <c r="S80" s="20"/>
      <c r="T80" s="154"/>
      <c r="U80" s="20"/>
      <c r="V80" s="154"/>
      <c r="W80" s="20"/>
      <c r="X80" s="156"/>
      <c r="Y80" s="156"/>
      <c r="Z80" s="37"/>
    </row>
    <row r="81" spans="1:26" ht="15" customHeight="1" x14ac:dyDescent="0.25">
      <c r="A81" s="59"/>
      <c r="B81" s="59"/>
      <c r="C81" s="156"/>
      <c r="D81" s="60"/>
      <c r="E81" s="156"/>
      <c r="F81" s="156"/>
      <c r="G81" s="156"/>
      <c r="H81" s="156"/>
      <c r="I81" s="156"/>
      <c r="J81" s="156"/>
      <c r="K81" s="156"/>
      <c r="L81" s="156"/>
      <c r="M81" s="157">
        <f t="shared" si="3"/>
        <v>0</v>
      </c>
      <c r="N81" s="154"/>
      <c r="O81" s="20"/>
      <c r="P81" s="154"/>
      <c r="Q81" s="20"/>
      <c r="R81" s="154"/>
      <c r="S81" s="20"/>
      <c r="T81" s="154"/>
      <c r="U81" s="20"/>
      <c r="V81" s="154"/>
      <c r="W81" s="20"/>
      <c r="X81" s="156"/>
      <c r="Y81" s="156"/>
      <c r="Z81" s="37"/>
    </row>
    <row r="82" spans="1:26" ht="15" customHeight="1" x14ac:dyDescent="0.25">
      <c r="A82" s="59"/>
      <c r="B82" s="59"/>
      <c r="C82" s="156"/>
      <c r="D82" s="60"/>
      <c r="E82" s="156"/>
      <c r="F82" s="156"/>
      <c r="G82" s="156"/>
      <c r="H82" s="156"/>
      <c r="I82" s="156"/>
      <c r="J82" s="156"/>
      <c r="K82" s="156"/>
      <c r="L82" s="156"/>
      <c r="M82" s="157">
        <f t="shared" si="3"/>
        <v>0</v>
      </c>
      <c r="N82" s="154"/>
      <c r="O82" s="20"/>
      <c r="P82" s="154"/>
      <c r="Q82" s="20"/>
      <c r="R82" s="154"/>
      <c r="S82" s="20"/>
      <c r="T82" s="154"/>
      <c r="U82" s="20"/>
      <c r="V82" s="154"/>
      <c r="W82" s="20"/>
      <c r="X82" s="156"/>
      <c r="Y82" s="156"/>
      <c r="Z82" s="37"/>
    </row>
    <row r="83" spans="1:26" ht="15" customHeight="1" x14ac:dyDescent="0.25">
      <c r="A83" s="59"/>
      <c r="B83" s="59"/>
      <c r="C83" s="156"/>
      <c r="D83" s="60"/>
      <c r="E83" s="156"/>
      <c r="F83" s="156"/>
      <c r="G83" s="156"/>
      <c r="H83" s="156"/>
      <c r="I83" s="156"/>
      <c r="J83" s="156"/>
      <c r="K83" s="156"/>
      <c r="L83" s="156"/>
      <c r="M83" s="157">
        <f t="shared" si="3"/>
        <v>0</v>
      </c>
      <c r="N83" s="154"/>
      <c r="O83" s="20"/>
      <c r="P83" s="154"/>
      <c r="Q83" s="20"/>
      <c r="R83" s="154"/>
      <c r="S83" s="20"/>
      <c r="T83" s="154"/>
      <c r="U83" s="20"/>
      <c r="V83" s="154"/>
      <c r="W83" s="20"/>
      <c r="X83" s="156"/>
      <c r="Y83" s="156"/>
      <c r="Z83" s="37"/>
    </row>
    <row r="84" spans="1:26" ht="15" customHeight="1" x14ac:dyDescent="0.25">
      <c r="A84" s="59"/>
      <c r="B84" s="59"/>
      <c r="C84" s="156"/>
      <c r="D84" s="60"/>
      <c r="E84" s="156"/>
      <c r="F84" s="156"/>
      <c r="G84" s="156"/>
      <c r="H84" s="156"/>
      <c r="I84" s="156"/>
      <c r="J84" s="156"/>
      <c r="K84" s="156"/>
      <c r="L84" s="156"/>
      <c r="M84" s="157">
        <f t="shared" si="3"/>
        <v>0</v>
      </c>
      <c r="N84" s="154"/>
      <c r="O84" s="20"/>
      <c r="P84" s="154"/>
      <c r="Q84" s="20"/>
      <c r="R84" s="154"/>
      <c r="S84" s="20"/>
      <c r="T84" s="154"/>
      <c r="U84" s="20"/>
      <c r="V84" s="154"/>
      <c r="W84" s="20"/>
      <c r="X84" s="156"/>
      <c r="Y84" s="156"/>
      <c r="Z84" s="37"/>
    </row>
    <row r="85" spans="1:26" ht="15" customHeight="1" x14ac:dyDescent="0.25">
      <c r="A85" s="59"/>
      <c r="B85" s="59"/>
      <c r="C85" s="156"/>
      <c r="D85" s="60"/>
      <c r="E85" s="156"/>
      <c r="F85" s="156"/>
      <c r="G85" s="156"/>
      <c r="H85" s="156"/>
      <c r="I85" s="156"/>
      <c r="J85" s="156"/>
      <c r="K85" s="156"/>
      <c r="L85" s="156"/>
      <c r="M85" s="157">
        <f t="shared" si="3"/>
        <v>0</v>
      </c>
      <c r="N85" s="154"/>
      <c r="O85" s="20"/>
      <c r="P85" s="154"/>
      <c r="Q85" s="20"/>
      <c r="R85" s="154"/>
      <c r="S85" s="20"/>
      <c r="T85" s="154"/>
      <c r="U85" s="20"/>
      <c r="V85" s="154"/>
      <c r="W85" s="20"/>
      <c r="X85" s="156"/>
      <c r="Y85" s="156"/>
      <c r="Z85" s="37"/>
    </row>
    <row r="86" spans="1:26" ht="15" customHeight="1" x14ac:dyDescent="0.25">
      <c r="A86" s="59"/>
      <c r="B86" s="59"/>
      <c r="C86" s="156"/>
      <c r="D86" s="60"/>
      <c r="E86" s="156"/>
      <c r="F86" s="156"/>
      <c r="G86" s="156"/>
      <c r="H86" s="156"/>
      <c r="I86" s="156"/>
      <c r="J86" s="156"/>
      <c r="K86" s="156"/>
      <c r="L86" s="156"/>
      <c r="M86" s="157">
        <f t="shared" si="3"/>
        <v>0</v>
      </c>
      <c r="N86" s="154"/>
      <c r="O86" s="20"/>
      <c r="P86" s="154"/>
      <c r="Q86" s="20"/>
      <c r="R86" s="154"/>
      <c r="S86" s="20"/>
      <c r="T86" s="154"/>
      <c r="U86" s="20"/>
      <c r="V86" s="154"/>
      <c r="W86" s="20"/>
      <c r="X86" s="156"/>
      <c r="Y86" s="156"/>
      <c r="Z86" s="37"/>
    </row>
    <row r="87" spans="1:26" ht="15" customHeight="1" x14ac:dyDescent="0.25">
      <c r="A87" s="59"/>
      <c r="B87" s="59"/>
      <c r="C87" s="156"/>
      <c r="D87" s="60"/>
      <c r="E87" s="156"/>
      <c r="F87" s="37"/>
      <c r="G87" s="37"/>
      <c r="H87" s="37"/>
      <c r="I87" s="37"/>
      <c r="J87" s="37"/>
      <c r="K87" s="37"/>
      <c r="L87" s="37"/>
      <c r="M87" s="157">
        <f t="shared" si="3"/>
        <v>0</v>
      </c>
      <c r="N87" s="154"/>
      <c r="O87" s="20"/>
      <c r="P87" s="154"/>
      <c r="Q87" s="20"/>
      <c r="R87" s="154"/>
      <c r="S87" s="20"/>
      <c r="T87" s="154"/>
      <c r="U87" s="20"/>
      <c r="V87" s="154"/>
      <c r="W87" s="20"/>
      <c r="X87" s="156"/>
      <c r="Y87" s="156"/>
      <c r="Z87" s="37"/>
    </row>
    <row r="88" spans="1:26" ht="15" customHeight="1" x14ac:dyDescent="0.25">
      <c r="A88" s="59"/>
      <c r="B88" s="59"/>
      <c r="C88" s="156"/>
      <c r="D88" s="60"/>
      <c r="E88" s="156"/>
      <c r="F88" s="156"/>
      <c r="G88" s="156"/>
      <c r="H88" s="156"/>
      <c r="I88" s="156"/>
      <c r="J88" s="156"/>
      <c r="K88" s="156"/>
      <c r="L88" s="156"/>
      <c r="M88" s="157">
        <f t="shared" si="3"/>
        <v>0</v>
      </c>
      <c r="N88" s="154"/>
      <c r="O88" s="20"/>
      <c r="P88" s="154"/>
      <c r="Q88" s="20"/>
      <c r="R88" s="154"/>
      <c r="S88" s="20"/>
      <c r="T88" s="154"/>
      <c r="U88" s="20"/>
      <c r="V88" s="154"/>
      <c r="W88" s="20"/>
      <c r="X88" s="156"/>
      <c r="Y88" s="156"/>
      <c r="Z88" s="37"/>
    </row>
    <row r="89" spans="1:26" ht="15" customHeight="1" x14ac:dyDescent="0.25">
      <c r="A89" s="59"/>
      <c r="B89" s="59"/>
      <c r="C89" s="156"/>
      <c r="D89" s="60"/>
      <c r="E89" s="156"/>
      <c r="F89" s="156"/>
      <c r="G89" s="156"/>
      <c r="H89" s="156"/>
      <c r="I89" s="156"/>
      <c r="J89" s="156"/>
      <c r="K89" s="156"/>
      <c r="L89" s="156"/>
      <c r="M89" s="157">
        <f t="shared" si="3"/>
        <v>0</v>
      </c>
      <c r="N89" s="154"/>
      <c r="O89" s="20"/>
      <c r="P89" s="154"/>
      <c r="Q89" s="20"/>
      <c r="R89" s="154"/>
      <c r="S89" s="20"/>
      <c r="T89" s="154"/>
      <c r="U89" s="20"/>
      <c r="V89" s="154"/>
      <c r="W89" s="20"/>
      <c r="X89" s="156"/>
      <c r="Y89" s="156"/>
      <c r="Z89" s="37"/>
    </row>
    <row r="90" spans="1:26" ht="15" customHeight="1" x14ac:dyDescent="0.25">
      <c r="A90" s="59"/>
      <c r="B90" s="59"/>
      <c r="C90" s="156"/>
      <c r="D90" s="60"/>
      <c r="E90" s="156"/>
      <c r="F90" s="156"/>
      <c r="G90" s="156"/>
      <c r="H90" s="156"/>
      <c r="I90" s="156"/>
      <c r="J90" s="156"/>
      <c r="K90" s="156"/>
      <c r="L90" s="156"/>
      <c r="M90" s="157">
        <f t="shared" si="3"/>
        <v>0</v>
      </c>
      <c r="N90" s="154"/>
      <c r="O90" s="20"/>
      <c r="P90" s="154"/>
      <c r="Q90" s="20"/>
      <c r="R90" s="154"/>
      <c r="S90" s="20"/>
      <c r="T90" s="154"/>
      <c r="U90" s="20"/>
      <c r="V90" s="154"/>
      <c r="W90" s="20"/>
      <c r="X90" s="156"/>
      <c r="Y90" s="156"/>
      <c r="Z90" s="37"/>
    </row>
    <row r="91" spans="1:26" ht="15" customHeight="1" x14ac:dyDescent="0.25">
      <c r="A91" s="59"/>
      <c r="B91" s="59"/>
      <c r="C91" s="156"/>
      <c r="D91" s="60"/>
      <c r="E91" s="156"/>
      <c r="F91" s="156"/>
      <c r="G91" s="156"/>
      <c r="H91" s="156"/>
      <c r="I91" s="156"/>
      <c r="J91" s="156"/>
      <c r="K91" s="156"/>
      <c r="L91" s="156"/>
      <c r="M91" s="157">
        <f t="shared" si="3"/>
        <v>0</v>
      </c>
      <c r="N91" s="154"/>
      <c r="O91" s="20"/>
      <c r="P91" s="154"/>
      <c r="Q91" s="20"/>
      <c r="R91" s="154"/>
      <c r="S91" s="20"/>
      <c r="T91" s="154"/>
      <c r="U91" s="20"/>
      <c r="V91" s="154"/>
      <c r="W91" s="20"/>
      <c r="X91" s="156"/>
      <c r="Y91" s="156"/>
      <c r="Z91" s="37"/>
    </row>
    <row r="92" spans="1:26" ht="15" customHeight="1" x14ac:dyDescent="0.25">
      <c r="A92" s="59"/>
      <c r="B92" s="59"/>
      <c r="C92" s="156"/>
      <c r="D92" s="60"/>
      <c r="E92" s="156"/>
      <c r="F92" s="156"/>
      <c r="G92" s="156"/>
      <c r="H92" s="156"/>
      <c r="I92" s="156"/>
      <c r="J92" s="156"/>
      <c r="K92" s="156"/>
      <c r="L92" s="156"/>
      <c r="M92" s="157">
        <f t="shared" si="3"/>
        <v>0</v>
      </c>
      <c r="N92" s="154"/>
      <c r="O92" s="20"/>
      <c r="P92" s="154"/>
      <c r="Q92" s="20"/>
      <c r="R92" s="154"/>
      <c r="S92" s="20"/>
      <c r="T92" s="154"/>
      <c r="U92" s="20"/>
      <c r="V92" s="154"/>
      <c r="W92" s="20"/>
      <c r="X92" s="156"/>
      <c r="Y92" s="156"/>
      <c r="Z92" s="37"/>
    </row>
    <row r="93" spans="1:26" ht="15" customHeight="1" x14ac:dyDescent="0.25">
      <c r="A93" s="59"/>
      <c r="B93" s="59"/>
      <c r="C93" s="156"/>
      <c r="D93" s="60"/>
      <c r="E93" s="156"/>
      <c r="F93" s="156"/>
      <c r="G93" s="156"/>
      <c r="H93" s="156"/>
      <c r="I93" s="156"/>
      <c r="J93" s="156"/>
      <c r="K93" s="156"/>
      <c r="L93" s="156"/>
      <c r="M93" s="157">
        <f t="shared" si="3"/>
        <v>0</v>
      </c>
      <c r="N93" s="154"/>
      <c r="O93" s="20"/>
      <c r="P93" s="154"/>
      <c r="Q93" s="20"/>
      <c r="R93" s="154"/>
      <c r="S93" s="20"/>
      <c r="T93" s="154"/>
      <c r="U93" s="20"/>
      <c r="V93" s="154"/>
      <c r="W93" s="20"/>
      <c r="X93" s="156"/>
      <c r="Y93" s="156"/>
      <c r="Z93" s="37"/>
    </row>
    <row r="94" spans="1:26" ht="15" customHeight="1" x14ac:dyDescent="0.25">
      <c r="A94" s="59"/>
      <c r="B94" s="59"/>
      <c r="C94" s="156"/>
      <c r="D94" s="60"/>
      <c r="E94" s="156"/>
      <c r="F94" s="156"/>
      <c r="G94" s="156"/>
      <c r="H94" s="156"/>
      <c r="I94" s="156"/>
      <c r="J94" s="156"/>
      <c r="K94" s="156"/>
      <c r="L94" s="156"/>
      <c r="M94" s="157">
        <f t="shared" si="3"/>
        <v>0</v>
      </c>
      <c r="N94" s="156"/>
      <c r="O94" s="20"/>
      <c r="P94" s="156"/>
      <c r="Q94" s="20"/>
      <c r="R94" s="156"/>
      <c r="S94" s="20"/>
      <c r="T94" s="156"/>
      <c r="U94" s="20"/>
      <c r="V94" s="156"/>
      <c r="W94" s="20"/>
      <c r="X94" s="156"/>
      <c r="Y94" s="156"/>
      <c r="Z94" s="156"/>
    </row>
    <row r="95" spans="1:26" ht="15" customHeight="1" x14ac:dyDescent="0.25">
      <c r="A95" s="59"/>
      <c r="B95" s="59"/>
      <c r="C95" s="156"/>
      <c r="D95" s="60"/>
      <c r="E95" s="156"/>
      <c r="F95" s="156"/>
      <c r="G95" s="156"/>
      <c r="H95" s="156"/>
      <c r="I95" s="156"/>
      <c r="J95" s="156"/>
      <c r="K95" s="156"/>
      <c r="L95" s="156"/>
      <c r="M95" s="157">
        <f t="shared" si="3"/>
        <v>0</v>
      </c>
      <c r="N95" s="154"/>
      <c r="O95" s="20"/>
      <c r="P95" s="154"/>
      <c r="Q95" s="20"/>
      <c r="R95" s="154"/>
      <c r="S95" s="20"/>
      <c r="T95" s="154"/>
      <c r="U95" s="20"/>
      <c r="V95" s="154"/>
      <c r="W95" s="20"/>
      <c r="X95" s="156"/>
      <c r="Y95" s="156"/>
      <c r="Z95" s="37"/>
    </row>
    <row r="96" spans="1:26" ht="15" customHeight="1" x14ac:dyDescent="0.25">
      <c r="A96" s="59"/>
      <c r="B96" s="59"/>
      <c r="C96" s="156"/>
      <c r="D96" s="60"/>
      <c r="E96" s="156"/>
      <c r="F96" s="156"/>
      <c r="G96" s="156"/>
      <c r="H96" s="156"/>
      <c r="I96" s="156"/>
      <c r="J96" s="156"/>
      <c r="K96" s="156"/>
      <c r="L96" s="156"/>
      <c r="M96" s="157">
        <f t="shared" si="3"/>
        <v>0</v>
      </c>
      <c r="N96" s="154"/>
      <c r="O96" s="20"/>
      <c r="P96" s="154"/>
      <c r="Q96" s="20"/>
      <c r="R96" s="154"/>
      <c r="S96" s="20"/>
      <c r="T96" s="154"/>
      <c r="U96" s="20"/>
      <c r="V96" s="154"/>
      <c r="W96" s="20"/>
      <c r="X96" s="156"/>
      <c r="Y96" s="156"/>
      <c r="Z96" s="37"/>
    </row>
    <row r="97" spans="1:26" ht="15" customHeight="1" x14ac:dyDescent="0.25">
      <c r="A97" s="59"/>
      <c r="B97" s="59"/>
      <c r="C97" s="156"/>
      <c r="D97" s="60"/>
      <c r="E97" s="156"/>
      <c r="F97" s="156"/>
      <c r="G97" s="156"/>
      <c r="H97" s="156"/>
      <c r="I97" s="156"/>
      <c r="J97" s="156"/>
      <c r="K97" s="156"/>
      <c r="L97" s="156"/>
      <c r="M97" s="157">
        <f t="shared" si="3"/>
        <v>0</v>
      </c>
      <c r="N97" s="156"/>
      <c r="O97" s="20"/>
      <c r="P97" s="156"/>
      <c r="Q97" s="20"/>
      <c r="R97" s="156"/>
      <c r="S97" s="20"/>
      <c r="T97" s="156"/>
      <c r="U97" s="20"/>
      <c r="V97" s="156"/>
      <c r="W97" s="20"/>
      <c r="X97" s="156"/>
      <c r="Y97" s="156"/>
      <c r="Z97" s="156"/>
    </row>
    <row r="98" spans="1:26" ht="16.5" customHeight="1" x14ac:dyDescent="0.25">
      <c r="A98" s="59"/>
      <c r="B98" s="59"/>
      <c r="C98" s="156"/>
      <c r="D98" s="60"/>
      <c r="E98" s="156"/>
      <c r="F98" s="156"/>
      <c r="G98" s="156"/>
      <c r="H98" s="156"/>
      <c r="I98" s="156"/>
      <c r="J98" s="156"/>
      <c r="K98" s="156"/>
      <c r="L98" s="156"/>
      <c r="M98" s="157">
        <f t="shared" si="3"/>
        <v>0</v>
      </c>
      <c r="N98" s="154"/>
      <c r="O98" s="20"/>
      <c r="P98" s="154"/>
      <c r="Q98" s="20"/>
      <c r="R98" s="154"/>
      <c r="S98" s="20"/>
      <c r="T98" s="154"/>
      <c r="U98" s="20"/>
      <c r="V98" s="154"/>
      <c r="W98" s="20"/>
      <c r="X98" s="156"/>
      <c r="Y98" s="156"/>
      <c r="Z98" s="37"/>
    </row>
    <row r="99" spans="1:26" ht="16.5" customHeight="1" x14ac:dyDescent="0.25">
      <c r="A99" s="59"/>
      <c r="B99" s="59"/>
      <c r="C99" s="156"/>
      <c r="D99" s="60"/>
      <c r="E99" s="156"/>
      <c r="F99" s="156"/>
      <c r="G99" s="156"/>
      <c r="H99" s="156"/>
      <c r="I99" s="156"/>
      <c r="J99" s="156"/>
      <c r="K99" s="156"/>
      <c r="L99" s="156"/>
      <c r="M99" s="157">
        <f t="shared" si="3"/>
        <v>0</v>
      </c>
      <c r="N99" s="154"/>
      <c r="O99" s="20"/>
      <c r="P99" s="154"/>
      <c r="Q99" s="20"/>
      <c r="R99" s="154"/>
      <c r="S99" s="20"/>
      <c r="T99" s="154"/>
      <c r="U99" s="20"/>
      <c r="V99" s="154"/>
      <c r="W99" s="20"/>
      <c r="X99" s="156"/>
      <c r="Y99" s="156"/>
      <c r="Z99" s="37"/>
    </row>
    <row r="100" spans="1:26" ht="16.5" customHeight="1" x14ac:dyDescent="0.25">
      <c r="A100" s="59"/>
      <c r="B100" s="59"/>
      <c r="C100" s="156"/>
      <c r="D100" s="60"/>
      <c r="E100" s="156"/>
      <c r="F100" s="156"/>
      <c r="G100" s="156"/>
      <c r="H100" s="156"/>
      <c r="I100" s="156"/>
      <c r="J100" s="156"/>
      <c r="K100" s="156"/>
      <c r="L100" s="90"/>
      <c r="M100" s="157">
        <f t="shared" si="3"/>
        <v>0</v>
      </c>
      <c r="N100" s="154"/>
      <c r="O100" s="20"/>
      <c r="P100" s="154"/>
      <c r="Q100" s="20"/>
      <c r="R100" s="154"/>
      <c r="S100" s="20"/>
      <c r="T100" s="154"/>
      <c r="U100" s="20"/>
      <c r="V100" s="154"/>
      <c r="W100" s="20"/>
      <c r="X100" s="156"/>
      <c r="Y100" s="156"/>
      <c r="Z100" s="37"/>
    </row>
    <row r="101" spans="1:26" ht="16.5" customHeight="1" x14ac:dyDescent="0.25">
      <c r="A101" s="59"/>
      <c r="B101" s="59"/>
      <c r="C101" s="156"/>
      <c r="D101" s="60"/>
      <c r="E101" s="156"/>
      <c r="F101" s="156"/>
      <c r="G101" s="156"/>
      <c r="H101" s="156"/>
      <c r="I101" s="156"/>
      <c r="J101" s="156"/>
      <c r="K101" s="156"/>
      <c r="L101" s="156"/>
      <c r="M101" s="157">
        <f t="shared" si="3"/>
        <v>0</v>
      </c>
      <c r="N101" s="154"/>
      <c r="O101" s="20"/>
      <c r="P101" s="154"/>
      <c r="Q101" s="20"/>
      <c r="R101" s="154"/>
      <c r="S101" s="20"/>
      <c r="T101" s="154"/>
      <c r="U101" s="20"/>
      <c r="V101" s="154"/>
      <c r="W101" s="20"/>
      <c r="X101" s="156"/>
      <c r="Y101" s="156"/>
      <c r="Z101" s="37"/>
    </row>
    <row r="102" spans="1:26" ht="16.5" customHeight="1" x14ac:dyDescent="0.25">
      <c r="A102" s="59"/>
      <c r="B102" s="59"/>
      <c r="C102" s="156"/>
      <c r="D102" s="60"/>
      <c r="E102" s="156"/>
      <c r="F102" s="156"/>
      <c r="G102" s="156"/>
      <c r="H102" s="156"/>
      <c r="I102" s="156"/>
      <c r="J102" s="156"/>
      <c r="K102" s="156"/>
      <c r="L102" s="156"/>
      <c r="M102" s="157">
        <f t="shared" si="3"/>
        <v>0</v>
      </c>
      <c r="N102" s="154"/>
      <c r="O102" s="20"/>
      <c r="P102" s="154"/>
      <c r="Q102" s="20"/>
      <c r="R102" s="154"/>
      <c r="S102" s="20"/>
      <c r="T102" s="154"/>
      <c r="U102" s="20"/>
      <c r="V102" s="154"/>
      <c r="W102" s="20"/>
      <c r="X102" s="156"/>
      <c r="Y102" s="156"/>
      <c r="Z102" s="37"/>
    </row>
    <row r="103" spans="1:26" ht="16.5" customHeight="1" x14ac:dyDescent="0.25">
      <c r="A103" s="59"/>
      <c r="B103" s="59"/>
      <c r="C103" s="156"/>
      <c r="D103" s="60"/>
      <c r="E103" s="156"/>
      <c r="F103" s="156"/>
      <c r="G103" s="156"/>
      <c r="H103" s="156"/>
      <c r="I103" s="156"/>
      <c r="J103" s="156"/>
      <c r="K103" s="156"/>
      <c r="L103" s="156"/>
      <c r="M103" s="157">
        <f t="shared" si="3"/>
        <v>0</v>
      </c>
      <c r="N103" s="154"/>
      <c r="O103" s="20"/>
      <c r="P103" s="154"/>
      <c r="Q103" s="20"/>
      <c r="R103" s="154"/>
      <c r="S103" s="20"/>
      <c r="T103" s="154"/>
      <c r="U103" s="20"/>
      <c r="V103" s="154"/>
      <c r="W103" s="20"/>
      <c r="X103" s="156"/>
      <c r="Y103" s="156"/>
      <c r="Z103" s="37"/>
    </row>
    <row r="104" spans="1:26" ht="16.5" customHeight="1" x14ac:dyDescent="0.25">
      <c r="A104" s="59"/>
      <c r="B104" s="59"/>
      <c r="C104" s="156"/>
      <c r="D104" s="60"/>
      <c r="E104" s="156"/>
      <c r="F104" s="156"/>
      <c r="G104" s="156"/>
      <c r="H104" s="156"/>
      <c r="I104" s="156"/>
      <c r="J104" s="156"/>
      <c r="K104" s="156"/>
      <c r="L104" s="156"/>
      <c r="M104" s="157">
        <f t="shared" si="3"/>
        <v>0</v>
      </c>
      <c r="N104" s="154"/>
      <c r="O104" s="20"/>
      <c r="P104" s="154"/>
      <c r="Q104" s="20"/>
      <c r="R104" s="154"/>
      <c r="S104" s="20"/>
      <c r="T104" s="154"/>
      <c r="U104" s="20"/>
      <c r="V104" s="154"/>
      <c r="W104" s="20"/>
      <c r="X104" s="156"/>
      <c r="Y104" s="156"/>
      <c r="Z104" s="37"/>
    </row>
    <row r="105" spans="1:26" ht="16.5" customHeight="1" x14ac:dyDescent="0.25">
      <c r="A105" s="59"/>
      <c r="B105" s="59"/>
      <c r="C105" s="156"/>
      <c r="D105" s="60"/>
      <c r="E105" s="156"/>
      <c r="F105" s="156"/>
      <c r="G105" s="156"/>
      <c r="H105" s="156"/>
      <c r="I105" s="156"/>
      <c r="J105" s="156"/>
      <c r="K105" s="156"/>
      <c r="L105" s="156"/>
      <c r="M105" s="157">
        <f t="shared" si="3"/>
        <v>0</v>
      </c>
      <c r="N105" s="154"/>
      <c r="O105" s="20"/>
      <c r="P105" s="154"/>
      <c r="Q105" s="20"/>
      <c r="R105" s="154"/>
      <c r="S105" s="20"/>
      <c r="T105" s="154"/>
      <c r="U105" s="20"/>
      <c r="V105" s="154"/>
      <c r="W105" s="20"/>
      <c r="X105" s="156"/>
      <c r="Y105" s="156"/>
      <c r="Z105" s="37"/>
    </row>
    <row r="106" spans="1:26" ht="16.5" customHeight="1" x14ac:dyDescent="0.25">
      <c r="A106" s="59"/>
      <c r="B106" s="59"/>
      <c r="C106" s="156"/>
      <c r="D106" s="60"/>
      <c r="E106" s="156"/>
      <c r="F106" s="156"/>
      <c r="G106" s="156"/>
      <c r="H106" s="156"/>
      <c r="I106" s="156"/>
      <c r="J106" s="156"/>
      <c r="K106" s="156"/>
      <c r="L106" s="156"/>
      <c r="M106" s="157">
        <f t="shared" si="3"/>
        <v>0</v>
      </c>
      <c r="N106" s="154"/>
      <c r="O106" s="20"/>
      <c r="P106" s="154"/>
      <c r="Q106" s="20"/>
      <c r="R106" s="154"/>
      <c r="S106" s="20"/>
      <c r="T106" s="154"/>
      <c r="U106" s="20"/>
      <c r="V106" s="154"/>
      <c r="W106" s="20"/>
      <c r="X106" s="156"/>
      <c r="Y106" s="156"/>
      <c r="Z106" s="37"/>
    </row>
    <row r="107" spans="1:26" ht="15" customHeight="1" x14ac:dyDescent="0.25">
      <c r="A107" s="59"/>
      <c r="B107" s="59"/>
      <c r="C107" s="156"/>
      <c r="D107" s="60"/>
      <c r="E107" s="156"/>
      <c r="F107" s="156"/>
      <c r="G107" s="156"/>
      <c r="H107" s="156"/>
      <c r="I107" s="156"/>
      <c r="J107" s="156"/>
      <c r="K107" s="156"/>
      <c r="L107" s="156"/>
      <c r="M107" s="157">
        <f t="shared" si="3"/>
        <v>0</v>
      </c>
      <c r="N107" s="154"/>
      <c r="O107" s="20"/>
      <c r="P107" s="154"/>
      <c r="Q107" s="20"/>
      <c r="R107" s="154"/>
      <c r="S107" s="20"/>
      <c r="T107" s="154"/>
      <c r="U107" s="20"/>
      <c r="V107" s="154"/>
      <c r="W107" s="20"/>
      <c r="X107" s="156"/>
      <c r="Y107" s="156"/>
      <c r="Z107" s="37"/>
    </row>
    <row r="108" spans="1:26" ht="15" customHeight="1" x14ac:dyDescent="0.25">
      <c r="A108" s="59"/>
      <c r="B108" s="59"/>
      <c r="C108" s="156"/>
      <c r="D108" s="60"/>
      <c r="E108" s="156"/>
      <c r="F108" s="156"/>
      <c r="G108" s="156"/>
      <c r="H108" s="156"/>
      <c r="I108" s="156"/>
      <c r="J108" s="156"/>
      <c r="K108" s="156"/>
      <c r="L108" s="156"/>
      <c r="M108" s="157">
        <f t="shared" si="3"/>
        <v>0</v>
      </c>
      <c r="N108" s="154"/>
      <c r="O108" s="20"/>
      <c r="P108" s="154"/>
      <c r="Q108" s="20"/>
      <c r="R108" s="154"/>
      <c r="S108" s="20"/>
      <c r="T108" s="154"/>
      <c r="U108" s="20"/>
      <c r="V108" s="154"/>
      <c r="W108" s="20"/>
      <c r="X108" s="156"/>
      <c r="Y108" s="156"/>
      <c r="Z108" s="37"/>
    </row>
    <row r="109" spans="1:26" ht="15" customHeight="1" x14ac:dyDescent="0.25">
      <c r="A109" s="59"/>
      <c r="B109" s="59"/>
      <c r="C109" s="156"/>
      <c r="D109" s="60"/>
      <c r="E109" s="156"/>
      <c r="F109" s="156"/>
      <c r="G109" s="156"/>
      <c r="H109" s="156"/>
      <c r="I109" s="156"/>
      <c r="J109" s="156"/>
      <c r="K109" s="156"/>
      <c r="L109" s="156"/>
      <c r="M109" s="157">
        <f t="shared" si="3"/>
        <v>0</v>
      </c>
      <c r="N109" s="154"/>
      <c r="O109" s="20"/>
      <c r="P109" s="154"/>
      <c r="Q109" s="20"/>
      <c r="R109" s="154"/>
      <c r="S109" s="20"/>
      <c r="T109" s="154"/>
      <c r="U109" s="20"/>
      <c r="V109" s="154"/>
      <c r="W109" s="20"/>
      <c r="X109" s="156"/>
      <c r="Y109" s="156"/>
      <c r="Z109" s="37"/>
    </row>
    <row r="110" spans="1:26" ht="15" customHeight="1" x14ac:dyDescent="0.25">
      <c r="A110" s="59"/>
      <c r="B110" s="59"/>
      <c r="C110" s="156"/>
      <c r="D110" s="60"/>
      <c r="E110" s="156"/>
      <c r="F110" s="156"/>
      <c r="G110" s="156"/>
      <c r="H110" s="156"/>
      <c r="I110" s="156"/>
      <c r="J110" s="156"/>
      <c r="K110" s="156"/>
      <c r="L110" s="156"/>
      <c r="M110" s="157">
        <f t="shared" si="3"/>
        <v>0</v>
      </c>
      <c r="N110" s="154"/>
      <c r="O110" s="20"/>
      <c r="P110" s="154"/>
      <c r="Q110" s="20"/>
      <c r="R110" s="154"/>
      <c r="S110" s="20"/>
      <c r="T110" s="154"/>
      <c r="U110" s="20"/>
      <c r="V110" s="154"/>
      <c r="W110" s="20"/>
      <c r="X110" s="156"/>
      <c r="Y110" s="156"/>
      <c r="Z110" s="37"/>
    </row>
    <row r="111" spans="1:26" ht="15" customHeight="1" x14ac:dyDescent="0.25">
      <c r="A111" s="59"/>
      <c r="B111" s="59"/>
      <c r="C111" s="156"/>
      <c r="D111" s="60"/>
      <c r="E111" s="156"/>
      <c r="F111" s="156"/>
      <c r="G111" s="156"/>
      <c r="H111" s="156"/>
      <c r="I111" s="156"/>
      <c r="J111" s="156"/>
      <c r="K111" s="156"/>
      <c r="L111" s="156"/>
      <c r="M111" s="157">
        <f t="shared" si="3"/>
        <v>0</v>
      </c>
      <c r="N111" s="154"/>
      <c r="O111" s="20"/>
      <c r="P111" s="154"/>
      <c r="Q111" s="20"/>
      <c r="R111" s="154"/>
      <c r="S111" s="20"/>
      <c r="T111" s="154"/>
      <c r="U111" s="20"/>
      <c r="V111" s="154"/>
      <c r="W111" s="20"/>
      <c r="X111" s="156"/>
      <c r="Y111" s="156"/>
      <c r="Z111" s="37"/>
    </row>
    <row r="112" spans="1:26" ht="15" customHeight="1" x14ac:dyDescent="0.25">
      <c r="A112" s="59"/>
      <c r="B112" s="59"/>
      <c r="C112" s="156"/>
      <c r="D112" s="60"/>
      <c r="E112" s="156"/>
      <c r="F112" s="156"/>
      <c r="G112" s="156"/>
      <c r="H112" s="156"/>
      <c r="I112" s="156"/>
      <c r="J112" s="156"/>
      <c r="K112" s="156"/>
      <c r="L112" s="156"/>
      <c r="M112" s="157">
        <f t="shared" si="3"/>
        <v>0</v>
      </c>
      <c r="N112" s="154"/>
      <c r="O112" s="20"/>
      <c r="P112" s="154"/>
      <c r="Q112" s="20"/>
      <c r="R112" s="154"/>
      <c r="S112" s="20"/>
      <c r="T112" s="154"/>
      <c r="U112" s="20"/>
      <c r="V112" s="154"/>
      <c r="W112" s="20"/>
      <c r="X112" s="156"/>
      <c r="Y112" s="156"/>
      <c r="Z112" s="37"/>
    </row>
    <row r="113" spans="1:26" ht="15" customHeight="1" x14ac:dyDescent="0.25">
      <c r="A113" s="59"/>
      <c r="B113" s="59"/>
      <c r="C113" s="156"/>
      <c r="D113" s="60"/>
      <c r="E113" s="156"/>
      <c r="F113" s="156"/>
      <c r="G113" s="156"/>
      <c r="H113" s="156"/>
      <c r="I113" s="156"/>
      <c r="J113" s="156"/>
      <c r="K113" s="156"/>
      <c r="L113" s="156"/>
      <c r="M113" s="157">
        <f t="shared" si="3"/>
        <v>0</v>
      </c>
      <c r="N113" s="154"/>
      <c r="O113" s="20"/>
      <c r="P113" s="154"/>
      <c r="Q113" s="20"/>
      <c r="R113" s="154"/>
      <c r="S113" s="20"/>
      <c r="T113" s="154"/>
      <c r="U113" s="20"/>
      <c r="V113" s="154"/>
      <c r="W113" s="20"/>
      <c r="X113" s="156"/>
      <c r="Y113" s="156"/>
      <c r="Z113" s="37"/>
    </row>
    <row r="114" spans="1:26" ht="15" customHeight="1" x14ac:dyDescent="0.25">
      <c r="A114" s="59"/>
      <c r="B114" s="59"/>
      <c r="C114" s="156"/>
      <c r="D114" s="60"/>
      <c r="E114" s="156"/>
      <c r="F114" s="156"/>
      <c r="G114" s="156"/>
      <c r="H114" s="156"/>
      <c r="I114" s="156"/>
      <c r="J114" s="156"/>
      <c r="K114" s="156"/>
      <c r="L114" s="156"/>
      <c r="M114" s="157">
        <f t="shared" si="3"/>
        <v>0</v>
      </c>
      <c r="N114" s="154"/>
      <c r="O114" s="20"/>
      <c r="P114" s="154"/>
      <c r="Q114" s="20"/>
      <c r="R114" s="154"/>
      <c r="S114" s="20"/>
      <c r="T114" s="154"/>
      <c r="U114" s="20"/>
      <c r="V114" s="154"/>
      <c r="W114" s="20"/>
      <c r="X114" s="156"/>
      <c r="Y114" s="156"/>
      <c r="Z114" s="37"/>
    </row>
    <row r="115" spans="1:26" ht="15" customHeight="1" x14ac:dyDescent="0.25">
      <c r="A115" s="59"/>
      <c r="B115" s="59"/>
      <c r="C115" s="156"/>
      <c r="D115" s="60"/>
      <c r="E115" s="156"/>
      <c r="F115" s="156"/>
      <c r="G115" s="156"/>
      <c r="H115" s="156"/>
      <c r="I115" s="156"/>
      <c r="J115" s="156"/>
      <c r="K115" s="156"/>
      <c r="L115" s="156"/>
      <c r="M115" s="157">
        <f t="shared" si="3"/>
        <v>0</v>
      </c>
      <c r="N115" s="154"/>
      <c r="O115" s="20"/>
      <c r="P115" s="154"/>
      <c r="Q115" s="20"/>
      <c r="R115" s="154"/>
      <c r="S115" s="20"/>
      <c r="T115" s="154"/>
      <c r="U115" s="20"/>
      <c r="V115" s="154"/>
      <c r="W115" s="20"/>
      <c r="X115" s="156"/>
      <c r="Y115" s="156"/>
      <c r="Z115" s="37"/>
    </row>
    <row r="116" spans="1:26" ht="15" customHeight="1" x14ac:dyDescent="0.25">
      <c r="A116" s="59"/>
      <c r="B116" s="59"/>
      <c r="C116" s="156"/>
      <c r="D116" s="60"/>
      <c r="E116" s="156"/>
      <c r="F116" s="156"/>
      <c r="G116" s="156"/>
      <c r="H116" s="156"/>
      <c r="I116" s="156"/>
      <c r="J116" s="156"/>
      <c r="K116" s="156"/>
      <c r="L116" s="156"/>
      <c r="M116" s="157">
        <f t="shared" si="3"/>
        <v>0</v>
      </c>
      <c r="N116" s="154"/>
      <c r="O116" s="20"/>
      <c r="P116" s="154"/>
      <c r="Q116" s="20"/>
      <c r="R116" s="154"/>
      <c r="S116" s="20"/>
      <c r="T116" s="154"/>
      <c r="U116" s="20"/>
      <c r="V116" s="154"/>
      <c r="W116" s="20"/>
      <c r="X116" s="156"/>
      <c r="Y116" s="156"/>
      <c r="Z116" s="37"/>
    </row>
    <row r="117" spans="1:26" ht="15" customHeight="1" x14ac:dyDescent="0.25">
      <c r="A117" s="59"/>
      <c r="B117" s="59"/>
      <c r="C117" s="156"/>
      <c r="D117" s="60"/>
      <c r="E117" s="156"/>
      <c r="F117" s="156"/>
      <c r="G117" s="156"/>
      <c r="H117" s="156"/>
      <c r="I117" s="156"/>
      <c r="J117" s="156"/>
      <c r="K117" s="156"/>
      <c r="L117" s="156"/>
      <c r="M117" s="157">
        <f t="shared" si="3"/>
        <v>0</v>
      </c>
      <c r="N117" s="154"/>
      <c r="O117" s="20"/>
      <c r="P117" s="154"/>
      <c r="Q117" s="20"/>
      <c r="R117" s="154"/>
      <c r="S117" s="20"/>
      <c r="T117" s="154"/>
      <c r="U117" s="20"/>
      <c r="V117" s="154"/>
      <c r="W117" s="20"/>
      <c r="X117" s="156"/>
      <c r="Y117" s="156"/>
      <c r="Z117" s="37"/>
    </row>
    <row r="118" spans="1:26" ht="15" customHeight="1" x14ac:dyDescent="0.25">
      <c r="A118" s="59"/>
      <c r="B118" s="59"/>
      <c r="C118" s="156"/>
      <c r="D118" s="60"/>
      <c r="E118" s="156"/>
      <c r="F118" s="156"/>
      <c r="G118" s="156"/>
      <c r="H118" s="156"/>
      <c r="I118" s="156"/>
      <c r="J118" s="156"/>
      <c r="K118" s="156"/>
      <c r="L118" s="156"/>
      <c r="M118" s="157">
        <f t="shared" si="3"/>
        <v>0</v>
      </c>
      <c r="N118" s="154"/>
      <c r="O118" s="20"/>
      <c r="P118" s="154"/>
      <c r="Q118" s="20"/>
      <c r="R118" s="154"/>
      <c r="S118" s="20"/>
      <c r="T118" s="154"/>
      <c r="U118" s="20"/>
      <c r="V118" s="154"/>
      <c r="W118" s="20"/>
      <c r="X118" s="156"/>
      <c r="Y118" s="156"/>
      <c r="Z118" s="37"/>
    </row>
    <row r="119" spans="1:26" ht="15" customHeight="1" x14ac:dyDescent="0.25">
      <c r="A119" s="59"/>
      <c r="B119" s="59"/>
      <c r="C119" s="156"/>
      <c r="D119" s="60"/>
      <c r="E119" s="156"/>
      <c r="F119" s="156"/>
      <c r="G119" s="156"/>
      <c r="H119" s="156"/>
      <c r="I119" s="156"/>
      <c r="J119" s="156"/>
      <c r="K119" s="156"/>
      <c r="L119" s="156"/>
      <c r="M119" s="157">
        <f t="shared" si="3"/>
        <v>0</v>
      </c>
      <c r="N119" s="154"/>
      <c r="O119" s="20"/>
      <c r="P119" s="154"/>
      <c r="Q119" s="20"/>
      <c r="R119" s="154"/>
      <c r="S119" s="20"/>
      <c r="T119" s="154"/>
      <c r="U119" s="20"/>
      <c r="V119" s="154"/>
      <c r="W119" s="20"/>
      <c r="X119" s="156"/>
      <c r="Y119" s="156"/>
      <c r="Z119" s="37"/>
    </row>
    <row r="120" spans="1:26" ht="15" customHeight="1" x14ac:dyDescent="0.25">
      <c r="A120" s="59"/>
      <c r="B120" s="59"/>
      <c r="C120" s="156"/>
      <c r="D120" s="60"/>
      <c r="E120" s="156"/>
      <c r="F120" s="156"/>
      <c r="G120" s="156"/>
      <c r="H120" s="156"/>
      <c r="I120" s="156"/>
      <c r="J120" s="156"/>
      <c r="K120" s="156"/>
      <c r="L120" s="156"/>
      <c r="M120" s="157">
        <f t="shared" si="3"/>
        <v>0</v>
      </c>
      <c r="N120" s="154"/>
      <c r="O120" s="20"/>
      <c r="P120" s="154"/>
      <c r="Q120" s="20"/>
      <c r="R120" s="154"/>
      <c r="S120" s="20"/>
      <c r="T120" s="154"/>
      <c r="U120" s="20"/>
      <c r="V120" s="154"/>
      <c r="W120" s="20"/>
      <c r="X120" s="156"/>
      <c r="Y120" s="156"/>
      <c r="Z120" s="37"/>
    </row>
    <row r="121" spans="1:26" ht="15" customHeight="1" x14ac:dyDescent="0.25">
      <c r="A121" s="59"/>
      <c r="B121" s="59"/>
      <c r="C121" s="156"/>
      <c r="D121" s="60"/>
      <c r="E121" s="156"/>
      <c r="F121" s="156"/>
      <c r="G121" s="156"/>
      <c r="H121" s="156"/>
      <c r="I121" s="156"/>
      <c r="J121" s="156"/>
      <c r="K121" s="156"/>
      <c r="L121" s="156"/>
      <c r="M121" s="157">
        <f t="shared" si="3"/>
        <v>0</v>
      </c>
      <c r="N121" s="154"/>
      <c r="O121" s="20"/>
      <c r="P121" s="154"/>
      <c r="Q121" s="20"/>
      <c r="R121" s="154"/>
      <c r="S121" s="20"/>
      <c r="T121" s="154"/>
      <c r="U121" s="20"/>
      <c r="V121" s="154"/>
      <c r="W121" s="20"/>
      <c r="X121" s="156"/>
      <c r="Y121" s="156"/>
      <c r="Z121" s="37"/>
    </row>
    <row r="122" spans="1:26" ht="15.75" customHeight="1" x14ac:dyDescent="0.25">
      <c r="A122" s="59"/>
      <c r="B122" s="59"/>
      <c r="C122" s="156"/>
      <c r="D122" s="60"/>
      <c r="E122" s="156"/>
      <c r="F122" s="156"/>
      <c r="G122" s="156"/>
      <c r="H122" s="156"/>
      <c r="I122" s="156"/>
      <c r="J122" s="156"/>
      <c r="K122" s="156"/>
      <c r="L122" s="156"/>
      <c r="M122" s="157">
        <f t="shared" si="3"/>
        <v>0</v>
      </c>
      <c r="N122" s="154"/>
      <c r="O122" s="20"/>
      <c r="P122" s="154"/>
      <c r="Q122" s="20"/>
      <c r="R122" s="154"/>
      <c r="S122" s="20"/>
      <c r="T122" s="154"/>
      <c r="U122" s="20"/>
      <c r="V122" s="154"/>
      <c r="W122" s="20"/>
      <c r="X122" s="156"/>
      <c r="Y122" s="156"/>
      <c r="Z122" s="37"/>
    </row>
    <row r="123" spans="1:26" ht="15" customHeight="1" x14ac:dyDescent="0.25">
      <c r="A123" s="59"/>
      <c r="B123" s="59"/>
      <c r="C123" s="156"/>
      <c r="D123" s="60"/>
      <c r="E123" s="156"/>
      <c r="F123" s="156"/>
      <c r="G123" s="156"/>
      <c r="H123" s="156"/>
      <c r="I123" s="156"/>
      <c r="J123" s="156"/>
      <c r="K123" s="156"/>
      <c r="L123" s="156"/>
      <c r="M123" s="157">
        <f t="shared" si="3"/>
        <v>0</v>
      </c>
      <c r="N123" s="154"/>
      <c r="O123" s="20"/>
      <c r="P123" s="154"/>
      <c r="Q123" s="20"/>
      <c r="R123" s="154"/>
      <c r="S123" s="20"/>
      <c r="T123" s="154"/>
      <c r="U123" s="20"/>
      <c r="V123" s="154"/>
      <c r="W123" s="20"/>
      <c r="X123" s="156"/>
      <c r="Y123" s="156"/>
      <c r="Z123" s="37"/>
    </row>
    <row r="124" spans="1:26" ht="15" customHeight="1" x14ac:dyDescent="0.25">
      <c r="A124" s="59"/>
      <c r="B124" s="59"/>
      <c r="C124" s="156"/>
      <c r="D124" s="60"/>
      <c r="E124" s="156"/>
      <c r="F124" s="156"/>
      <c r="G124" s="156"/>
      <c r="H124" s="156"/>
      <c r="I124" s="156"/>
      <c r="J124" s="156"/>
      <c r="K124" s="156"/>
      <c r="L124" s="156"/>
      <c r="M124" s="157">
        <f t="shared" si="3"/>
        <v>0</v>
      </c>
      <c r="N124" s="154"/>
      <c r="O124" s="20"/>
      <c r="P124" s="154"/>
      <c r="Q124" s="20"/>
      <c r="R124" s="154"/>
      <c r="S124" s="20"/>
      <c r="T124" s="154"/>
      <c r="U124" s="20"/>
      <c r="V124" s="154"/>
      <c r="W124" s="20"/>
      <c r="X124" s="156"/>
      <c r="Y124" s="156"/>
      <c r="Z124" s="37"/>
    </row>
    <row r="125" spans="1:26" ht="15" customHeight="1" x14ac:dyDescent="0.25">
      <c r="A125" s="59"/>
      <c r="B125" s="59"/>
      <c r="C125" s="156"/>
      <c r="D125" s="60"/>
      <c r="E125" s="156"/>
      <c r="F125" s="156"/>
      <c r="G125" s="156"/>
      <c r="H125" s="156"/>
      <c r="I125" s="156"/>
      <c r="J125" s="156"/>
      <c r="K125" s="156"/>
      <c r="L125" s="156"/>
      <c r="M125" s="157">
        <f t="shared" si="3"/>
        <v>0</v>
      </c>
      <c r="N125" s="154"/>
      <c r="O125" s="20"/>
      <c r="P125" s="154"/>
      <c r="Q125" s="20"/>
      <c r="R125" s="154"/>
      <c r="S125" s="20"/>
      <c r="T125" s="154"/>
      <c r="U125" s="20"/>
      <c r="V125" s="154"/>
      <c r="W125" s="20"/>
      <c r="X125" s="156"/>
      <c r="Y125" s="156"/>
      <c r="Z125" s="37"/>
    </row>
    <row r="126" spans="1:26" ht="15" customHeight="1" x14ac:dyDescent="0.25">
      <c r="A126" s="59"/>
      <c r="B126" s="59"/>
      <c r="C126" s="156"/>
      <c r="D126" s="60"/>
      <c r="E126" s="156"/>
      <c r="F126" s="156"/>
      <c r="G126" s="156"/>
      <c r="H126" s="156"/>
      <c r="I126" s="156"/>
      <c r="J126" s="156"/>
      <c r="K126" s="156"/>
      <c r="L126" s="156"/>
      <c r="M126" s="157">
        <f t="shared" si="3"/>
        <v>0</v>
      </c>
      <c r="N126" s="154"/>
      <c r="O126" s="20"/>
      <c r="P126" s="154"/>
      <c r="Q126" s="20"/>
      <c r="R126" s="154"/>
      <c r="S126" s="20"/>
      <c r="T126" s="154"/>
      <c r="U126" s="20"/>
      <c r="V126" s="154"/>
      <c r="W126" s="20"/>
      <c r="X126" s="156"/>
      <c r="Y126" s="156"/>
      <c r="Z126" s="37"/>
    </row>
    <row r="127" spans="1:26" ht="15" customHeight="1" x14ac:dyDescent="0.25">
      <c r="A127" s="59"/>
      <c r="B127" s="59"/>
      <c r="C127" s="156"/>
      <c r="D127" s="60"/>
      <c r="E127" s="156"/>
      <c r="F127" s="156"/>
      <c r="G127" s="156"/>
      <c r="H127" s="156"/>
      <c r="I127" s="156"/>
      <c r="J127" s="156"/>
      <c r="K127" s="156"/>
      <c r="L127" s="156"/>
      <c r="M127" s="157">
        <f t="shared" si="3"/>
        <v>0</v>
      </c>
      <c r="N127" s="154"/>
      <c r="O127" s="20"/>
      <c r="P127" s="154"/>
      <c r="Q127" s="20"/>
      <c r="R127" s="154"/>
      <c r="S127" s="20"/>
      <c r="T127" s="154"/>
      <c r="U127" s="20"/>
      <c r="V127" s="154"/>
      <c r="W127" s="20"/>
      <c r="X127" s="156"/>
      <c r="Y127" s="156"/>
      <c r="Z127" s="37"/>
    </row>
    <row r="128" spans="1:26" ht="15" customHeight="1" x14ac:dyDescent="0.25">
      <c r="A128" s="59"/>
      <c r="B128" s="59"/>
      <c r="C128" s="156"/>
      <c r="D128" s="60"/>
      <c r="E128" s="156"/>
      <c r="F128" s="156"/>
      <c r="G128" s="156"/>
      <c r="H128" s="156"/>
      <c r="I128" s="156"/>
      <c r="J128" s="156"/>
      <c r="K128" s="156"/>
      <c r="L128" s="156"/>
      <c r="M128" s="157">
        <f t="shared" si="3"/>
        <v>0</v>
      </c>
      <c r="N128" s="154"/>
      <c r="O128" s="20"/>
      <c r="P128" s="154"/>
      <c r="Q128" s="20"/>
      <c r="R128" s="154"/>
      <c r="S128" s="20"/>
      <c r="T128" s="154"/>
      <c r="U128" s="20"/>
      <c r="V128" s="154"/>
      <c r="W128" s="20"/>
      <c r="X128" s="156"/>
      <c r="Y128" s="156"/>
      <c r="Z128" s="37"/>
    </row>
    <row r="129" spans="1:26" ht="15" customHeight="1" x14ac:dyDescent="0.25">
      <c r="A129" s="59"/>
      <c r="B129" s="59"/>
      <c r="C129" s="156"/>
      <c r="D129" s="60"/>
      <c r="E129" s="156"/>
      <c r="F129" s="156"/>
      <c r="G129" s="156"/>
      <c r="H129" s="156"/>
      <c r="I129" s="156"/>
      <c r="J129" s="156"/>
      <c r="K129" s="156"/>
      <c r="L129" s="156"/>
      <c r="M129" s="157">
        <f t="shared" si="3"/>
        <v>0</v>
      </c>
      <c r="N129" s="154"/>
      <c r="O129" s="20"/>
      <c r="P129" s="154"/>
      <c r="Q129" s="20"/>
      <c r="R129" s="154"/>
      <c r="S129" s="20"/>
      <c r="T129" s="154"/>
      <c r="U129" s="20"/>
      <c r="V129" s="154"/>
      <c r="W129" s="20"/>
      <c r="X129" s="156"/>
      <c r="Y129" s="156"/>
      <c r="Z129" s="37"/>
    </row>
    <row r="130" spans="1:26" ht="15" customHeight="1" x14ac:dyDescent="0.25">
      <c r="A130" s="59"/>
      <c r="B130" s="59"/>
      <c r="C130" s="156"/>
      <c r="D130" s="60"/>
      <c r="E130" s="156"/>
      <c r="F130" s="156"/>
      <c r="G130" s="156"/>
      <c r="H130" s="156"/>
      <c r="I130" s="156"/>
      <c r="J130" s="156"/>
      <c r="K130" s="156"/>
      <c r="L130" s="156"/>
      <c r="M130" s="157">
        <f t="shared" si="3"/>
        <v>0</v>
      </c>
      <c r="N130" s="154"/>
      <c r="O130" s="20"/>
      <c r="P130" s="154"/>
      <c r="Q130" s="20"/>
      <c r="R130" s="154"/>
      <c r="S130" s="20"/>
      <c r="T130" s="154"/>
      <c r="U130" s="20"/>
      <c r="V130" s="154"/>
      <c r="W130" s="20"/>
      <c r="X130" s="156"/>
      <c r="Y130" s="156"/>
      <c r="Z130" s="37"/>
    </row>
    <row r="131" spans="1:26" ht="15" customHeight="1" x14ac:dyDescent="0.25">
      <c r="A131" s="59"/>
      <c r="B131" s="59"/>
      <c r="C131" s="156"/>
      <c r="D131" s="60"/>
      <c r="E131" s="156"/>
      <c r="F131" s="156"/>
      <c r="G131" s="156"/>
      <c r="H131" s="156"/>
      <c r="I131" s="156"/>
      <c r="J131" s="156"/>
      <c r="K131" s="156"/>
      <c r="L131" s="156"/>
      <c r="M131" s="157">
        <f t="shared" si="3"/>
        <v>0</v>
      </c>
      <c r="N131" s="154"/>
      <c r="O131" s="20"/>
      <c r="P131" s="154"/>
      <c r="Q131" s="20"/>
      <c r="R131" s="154"/>
      <c r="S131" s="20"/>
      <c r="T131" s="154"/>
      <c r="U131" s="20"/>
      <c r="V131" s="154"/>
      <c r="W131" s="20"/>
      <c r="X131" s="156"/>
      <c r="Y131" s="156"/>
      <c r="Z131" s="37"/>
    </row>
    <row r="132" spans="1:26" ht="15" customHeight="1" x14ac:dyDescent="0.25">
      <c r="A132" s="59"/>
      <c r="B132" s="59"/>
      <c r="C132" s="156"/>
      <c r="D132" s="60"/>
      <c r="E132" s="156"/>
      <c r="F132" s="156"/>
      <c r="G132" s="156"/>
      <c r="H132" s="156"/>
      <c r="I132" s="156"/>
      <c r="J132" s="156"/>
      <c r="K132" s="156"/>
      <c r="L132" s="156"/>
      <c r="M132" s="157">
        <f t="shared" si="3"/>
        <v>0</v>
      </c>
      <c r="N132" s="154"/>
      <c r="O132" s="20"/>
      <c r="P132" s="154"/>
      <c r="Q132" s="20"/>
      <c r="R132" s="154"/>
      <c r="S132" s="20"/>
      <c r="T132" s="154"/>
      <c r="U132" s="20"/>
      <c r="V132" s="154"/>
      <c r="W132" s="20"/>
      <c r="X132" s="156"/>
      <c r="Y132" s="156"/>
      <c r="Z132" s="37"/>
    </row>
    <row r="133" spans="1:26" ht="15" customHeight="1" x14ac:dyDescent="0.25">
      <c r="A133" s="59"/>
      <c r="B133" s="59"/>
      <c r="C133" s="156"/>
      <c r="D133" s="60"/>
      <c r="E133" s="156"/>
      <c r="F133" s="156"/>
      <c r="G133" s="156"/>
      <c r="H133" s="156"/>
      <c r="I133" s="156"/>
      <c r="J133" s="156"/>
      <c r="K133" s="156"/>
      <c r="L133" s="156"/>
      <c r="M133" s="157">
        <f t="shared" ref="M133:M196" si="4">SUM(N133:W133)</f>
        <v>0</v>
      </c>
      <c r="N133" s="154"/>
      <c r="O133" s="20"/>
      <c r="P133" s="154"/>
      <c r="Q133" s="20"/>
      <c r="R133" s="154"/>
      <c r="S133" s="20"/>
      <c r="T133" s="154"/>
      <c r="U133" s="20"/>
      <c r="V133" s="154"/>
      <c r="W133" s="20"/>
      <c r="X133" s="156"/>
      <c r="Y133" s="156"/>
      <c r="Z133" s="37"/>
    </row>
    <row r="134" spans="1:26" ht="15" customHeight="1" x14ac:dyDescent="0.25">
      <c r="A134" s="59"/>
      <c r="B134" s="59"/>
      <c r="C134" s="156"/>
      <c r="D134" s="60"/>
      <c r="E134" s="156"/>
      <c r="F134" s="156"/>
      <c r="G134" s="156"/>
      <c r="H134" s="156"/>
      <c r="I134" s="156"/>
      <c r="J134" s="156"/>
      <c r="K134" s="156"/>
      <c r="L134" s="156"/>
      <c r="M134" s="157">
        <f t="shared" si="4"/>
        <v>0</v>
      </c>
      <c r="N134" s="154"/>
      <c r="O134" s="20"/>
      <c r="P134" s="154"/>
      <c r="Q134" s="20"/>
      <c r="R134" s="154"/>
      <c r="S134" s="20"/>
      <c r="T134" s="154"/>
      <c r="U134" s="20"/>
      <c r="V134" s="154"/>
      <c r="W134" s="20"/>
      <c r="X134" s="156"/>
      <c r="Y134" s="156"/>
      <c r="Z134" s="37"/>
    </row>
    <row r="135" spans="1:26" ht="15" customHeight="1" x14ac:dyDescent="0.25">
      <c r="A135" s="59"/>
      <c r="B135" s="59"/>
      <c r="C135" s="156"/>
      <c r="D135" s="60"/>
      <c r="E135" s="156"/>
      <c r="F135" s="156"/>
      <c r="G135" s="156"/>
      <c r="H135" s="156"/>
      <c r="I135" s="156"/>
      <c r="J135" s="156"/>
      <c r="K135" s="156"/>
      <c r="L135" s="156"/>
      <c r="M135" s="157">
        <f t="shared" si="4"/>
        <v>0</v>
      </c>
      <c r="N135" s="154"/>
      <c r="O135" s="20"/>
      <c r="P135" s="154"/>
      <c r="Q135" s="20"/>
      <c r="R135" s="154"/>
      <c r="S135" s="20"/>
      <c r="T135" s="154"/>
      <c r="U135" s="20"/>
      <c r="V135" s="154"/>
      <c r="W135" s="20"/>
      <c r="X135" s="156"/>
      <c r="Y135" s="156"/>
      <c r="Z135" s="37"/>
    </row>
    <row r="136" spans="1:26" ht="15" customHeight="1" x14ac:dyDescent="0.25">
      <c r="A136" s="59"/>
      <c r="B136" s="59"/>
      <c r="C136" s="156"/>
      <c r="D136" s="60"/>
      <c r="E136" s="156"/>
      <c r="F136" s="156"/>
      <c r="G136" s="156"/>
      <c r="H136" s="156"/>
      <c r="I136" s="156"/>
      <c r="J136" s="156"/>
      <c r="K136" s="156"/>
      <c r="L136" s="156"/>
      <c r="M136" s="157">
        <f t="shared" si="4"/>
        <v>0</v>
      </c>
      <c r="N136" s="154"/>
      <c r="O136" s="20"/>
      <c r="P136" s="154"/>
      <c r="Q136" s="20"/>
      <c r="R136" s="154"/>
      <c r="S136" s="20"/>
      <c r="T136" s="154"/>
      <c r="U136" s="20"/>
      <c r="V136" s="154"/>
      <c r="W136" s="20"/>
      <c r="X136" s="156"/>
      <c r="Y136" s="156"/>
      <c r="Z136" s="37"/>
    </row>
    <row r="137" spans="1:26" ht="15" customHeight="1" x14ac:dyDescent="0.25">
      <c r="A137" s="59"/>
      <c r="B137" s="59"/>
      <c r="C137" s="156"/>
      <c r="D137" s="60"/>
      <c r="E137" s="156"/>
      <c r="F137" s="156"/>
      <c r="G137" s="156"/>
      <c r="H137" s="156"/>
      <c r="I137" s="156"/>
      <c r="J137" s="156"/>
      <c r="K137" s="156"/>
      <c r="L137" s="156"/>
      <c r="M137" s="157">
        <f t="shared" si="4"/>
        <v>0</v>
      </c>
      <c r="N137" s="154"/>
      <c r="O137" s="20"/>
      <c r="P137" s="154"/>
      <c r="Q137" s="20"/>
      <c r="R137" s="154"/>
      <c r="S137" s="20"/>
      <c r="T137" s="154"/>
      <c r="U137" s="20"/>
      <c r="V137" s="154"/>
      <c r="W137" s="20"/>
      <c r="X137" s="156"/>
      <c r="Y137" s="156"/>
      <c r="Z137" s="37"/>
    </row>
    <row r="138" spans="1:26" ht="15" customHeight="1" x14ac:dyDescent="0.25">
      <c r="A138" s="59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7">
        <f t="shared" si="4"/>
        <v>0</v>
      </c>
      <c r="N138" s="154"/>
      <c r="O138" s="20"/>
      <c r="P138" s="154"/>
      <c r="Q138" s="20"/>
      <c r="R138" s="154"/>
      <c r="S138" s="20"/>
      <c r="T138" s="154"/>
      <c r="U138" s="20"/>
      <c r="V138" s="154"/>
      <c r="W138" s="20"/>
      <c r="X138" s="156"/>
      <c r="Y138" s="156"/>
      <c r="Z138" s="37"/>
    </row>
    <row r="139" spans="1:26" ht="15" customHeight="1" x14ac:dyDescent="0.25">
      <c r="A139" s="59"/>
      <c r="B139" s="59"/>
      <c r="C139" s="156"/>
      <c r="D139" s="60"/>
      <c r="E139" s="156"/>
      <c r="F139" s="156"/>
      <c r="G139" s="156"/>
      <c r="H139" s="156"/>
      <c r="I139" s="156"/>
      <c r="J139" s="156"/>
      <c r="K139" s="156"/>
      <c r="L139" s="156"/>
      <c r="M139" s="157">
        <f t="shared" si="4"/>
        <v>0</v>
      </c>
      <c r="N139" s="154"/>
      <c r="O139" s="20"/>
      <c r="P139" s="154"/>
      <c r="Q139" s="20"/>
      <c r="R139" s="154"/>
      <c r="S139" s="20"/>
      <c r="T139" s="154"/>
      <c r="U139" s="20"/>
      <c r="V139" s="154"/>
      <c r="W139" s="20"/>
      <c r="X139" s="156"/>
      <c r="Y139" s="156"/>
      <c r="Z139" s="37"/>
    </row>
    <row r="140" spans="1:26" ht="15" customHeight="1" x14ac:dyDescent="0.25">
      <c r="A140" s="59"/>
      <c r="B140" s="59"/>
      <c r="C140" s="156"/>
      <c r="D140" s="60"/>
      <c r="E140" s="156"/>
      <c r="F140" s="156"/>
      <c r="G140" s="156"/>
      <c r="H140" s="156"/>
      <c r="I140" s="156"/>
      <c r="J140" s="156"/>
      <c r="K140" s="156"/>
      <c r="L140" s="156"/>
      <c r="M140" s="157">
        <f t="shared" si="4"/>
        <v>0</v>
      </c>
      <c r="N140" s="154"/>
      <c r="O140" s="20"/>
      <c r="P140" s="154"/>
      <c r="Q140" s="20"/>
      <c r="R140" s="154"/>
      <c r="S140" s="20"/>
      <c r="T140" s="154"/>
      <c r="U140" s="20"/>
      <c r="V140" s="154"/>
      <c r="W140" s="20"/>
      <c r="X140" s="156"/>
      <c r="Y140" s="156"/>
      <c r="Z140" s="37"/>
    </row>
    <row r="141" spans="1:26" ht="15" customHeight="1" x14ac:dyDescent="0.25">
      <c r="A141" s="59"/>
      <c r="B141" s="59"/>
      <c r="C141" s="156"/>
      <c r="D141" s="60"/>
      <c r="E141" s="156"/>
      <c r="F141" s="156"/>
      <c r="G141" s="156"/>
      <c r="H141" s="156"/>
      <c r="I141" s="156"/>
      <c r="J141" s="156"/>
      <c r="K141" s="156"/>
      <c r="L141" s="156"/>
      <c r="M141" s="157">
        <f t="shared" si="4"/>
        <v>0</v>
      </c>
      <c r="N141" s="154"/>
      <c r="O141" s="20"/>
      <c r="P141" s="154"/>
      <c r="Q141" s="20"/>
      <c r="R141" s="154"/>
      <c r="S141" s="20"/>
      <c r="T141" s="154"/>
      <c r="U141" s="20"/>
      <c r="V141" s="154"/>
      <c r="W141" s="20"/>
      <c r="X141" s="156"/>
      <c r="Y141" s="156"/>
      <c r="Z141" s="37"/>
    </row>
    <row r="142" spans="1:26" ht="15" customHeight="1" x14ac:dyDescent="0.25">
      <c r="A142" s="107"/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7">
        <f t="shared" si="4"/>
        <v>0</v>
      </c>
      <c r="N142" s="154"/>
      <c r="O142" s="20"/>
      <c r="P142" s="154"/>
      <c r="Q142" s="20"/>
      <c r="R142" s="154"/>
      <c r="S142" s="20"/>
      <c r="T142" s="154"/>
      <c r="U142" s="20"/>
      <c r="V142" s="154"/>
      <c r="W142" s="20"/>
      <c r="X142" s="156"/>
      <c r="Y142" s="156"/>
      <c r="Z142" s="156"/>
    </row>
    <row r="143" spans="1:26" ht="15" customHeight="1" x14ac:dyDescent="0.25">
      <c r="A143" s="59"/>
      <c r="B143" s="59"/>
      <c r="C143" s="156"/>
      <c r="D143" s="60"/>
      <c r="E143" s="156"/>
      <c r="F143" s="156"/>
      <c r="G143" s="156"/>
      <c r="H143" s="156"/>
      <c r="I143" s="156"/>
      <c r="J143" s="156"/>
      <c r="K143" s="156"/>
      <c r="L143" s="156"/>
      <c r="M143" s="157">
        <f t="shared" si="4"/>
        <v>0</v>
      </c>
      <c r="N143" s="154"/>
      <c r="O143" s="20"/>
      <c r="P143" s="154"/>
      <c r="Q143" s="20"/>
      <c r="R143" s="154"/>
      <c r="S143" s="20"/>
      <c r="T143" s="154"/>
      <c r="U143" s="20"/>
      <c r="V143" s="154"/>
      <c r="W143" s="20"/>
      <c r="X143" s="156"/>
      <c r="Y143" s="156"/>
      <c r="Z143" s="156"/>
    </row>
    <row r="144" spans="1:26" ht="15" customHeight="1" x14ac:dyDescent="0.25">
      <c r="A144" s="59"/>
      <c r="B144" s="59"/>
      <c r="C144" s="156"/>
      <c r="D144" s="60"/>
      <c r="E144" s="156"/>
      <c r="F144" s="156"/>
      <c r="G144" s="156"/>
      <c r="H144" s="156"/>
      <c r="I144" s="156"/>
      <c r="J144" s="156"/>
      <c r="K144" s="156"/>
      <c r="L144" s="156"/>
      <c r="M144" s="157">
        <f t="shared" si="4"/>
        <v>0</v>
      </c>
      <c r="N144" s="154"/>
      <c r="O144" s="20"/>
      <c r="P144" s="154"/>
      <c r="Q144" s="20"/>
      <c r="R144" s="154"/>
      <c r="S144" s="20"/>
      <c r="T144" s="154"/>
      <c r="U144" s="20"/>
      <c r="V144" s="154"/>
      <c r="W144" s="20"/>
      <c r="X144" s="156"/>
      <c r="Y144" s="156"/>
      <c r="Z144" s="156"/>
    </row>
    <row r="145" spans="1:26" ht="15" customHeight="1" x14ac:dyDescent="0.25">
      <c r="A145" s="59"/>
      <c r="B145" s="59"/>
      <c r="C145" s="156"/>
      <c r="D145" s="60"/>
      <c r="E145" s="156"/>
      <c r="F145" s="156"/>
      <c r="G145" s="156"/>
      <c r="H145" s="156"/>
      <c r="I145" s="156"/>
      <c r="J145" s="156"/>
      <c r="K145" s="156"/>
      <c r="L145" s="156"/>
      <c r="M145" s="157">
        <f t="shared" si="4"/>
        <v>0</v>
      </c>
      <c r="N145" s="154"/>
      <c r="O145" s="20"/>
      <c r="P145" s="154"/>
      <c r="Q145" s="20"/>
      <c r="R145" s="154"/>
      <c r="S145" s="20"/>
      <c r="T145" s="154"/>
      <c r="U145" s="20"/>
      <c r="V145" s="154"/>
      <c r="W145" s="20"/>
      <c r="X145" s="156"/>
      <c r="Y145" s="156"/>
      <c r="Z145" s="156"/>
    </row>
    <row r="146" spans="1:26" ht="15" customHeight="1" x14ac:dyDescent="0.25">
      <c r="A146" s="59"/>
      <c r="B146" s="59"/>
      <c r="C146" s="156"/>
      <c r="D146" s="60"/>
      <c r="E146" s="156"/>
      <c r="F146" s="156"/>
      <c r="G146" s="156"/>
      <c r="H146" s="156"/>
      <c r="I146" s="156"/>
      <c r="J146" s="156"/>
      <c r="K146" s="156"/>
      <c r="L146" s="156"/>
      <c r="M146" s="157">
        <f t="shared" si="4"/>
        <v>0</v>
      </c>
      <c r="N146" s="154"/>
      <c r="O146" s="20"/>
      <c r="P146" s="154"/>
      <c r="Q146" s="20"/>
      <c r="R146" s="154"/>
      <c r="S146" s="20"/>
      <c r="T146" s="154"/>
      <c r="U146" s="20"/>
      <c r="V146" s="154"/>
      <c r="W146" s="20"/>
      <c r="X146" s="156"/>
      <c r="Y146" s="156"/>
      <c r="Z146" s="156"/>
    </row>
    <row r="147" spans="1:26" ht="15" customHeight="1" x14ac:dyDescent="0.25">
      <c r="A147" s="59"/>
      <c r="B147" s="59"/>
      <c r="C147" s="156"/>
      <c r="D147" s="60"/>
      <c r="E147" s="156"/>
      <c r="F147" s="156"/>
      <c r="G147" s="156"/>
      <c r="H147" s="156"/>
      <c r="I147" s="156"/>
      <c r="J147" s="156"/>
      <c r="K147" s="156"/>
      <c r="L147" s="156"/>
      <c r="M147" s="157">
        <f t="shared" si="4"/>
        <v>0</v>
      </c>
      <c r="N147" s="154"/>
      <c r="O147" s="20"/>
      <c r="P147" s="154"/>
      <c r="Q147" s="20"/>
      <c r="R147" s="154"/>
      <c r="S147" s="20"/>
      <c r="T147" s="154"/>
      <c r="U147" s="20"/>
      <c r="V147" s="154"/>
      <c r="W147" s="20"/>
      <c r="X147" s="156"/>
      <c r="Y147" s="156"/>
      <c r="Z147" s="156"/>
    </row>
    <row r="148" spans="1:26" ht="15" customHeight="1" x14ac:dyDescent="0.25">
      <c r="A148" s="59"/>
      <c r="B148" s="59"/>
      <c r="C148" s="156"/>
      <c r="D148" s="60"/>
      <c r="E148" s="156"/>
      <c r="F148" s="156"/>
      <c r="G148" s="156"/>
      <c r="H148" s="156"/>
      <c r="I148" s="156"/>
      <c r="J148" s="156"/>
      <c r="K148" s="156"/>
      <c r="L148" s="156"/>
      <c r="M148" s="157">
        <f t="shared" si="4"/>
        <v>0</v>
      </c>
      <c r="N148" s="154"/>
      <c r="O148" s="20"/>
      <c r="P148" s="154"/>
      <c r="Q148" s="20"/>
      <c r="R148" s="154"/>
      <c r="S148" s="20"/>
      <c r="T148" s="154"/>
      <c r="U148" s="20"/>
      <c r="V148" s="154"/>
      <c r="W148" s="20"/>
      <c r="X148" s="156"/>
      <c r="Y148" s="156"/>
      <c r="Z148" s="156"/>
    </row>
    <row r="149" spans="1:26" ht="15" customHeight="1" x14ac:dyDescent="0.25">
      <c r="A149" s="59"/>
      <c r="B149" s="59"/>
      <c r="C149" s="156"/>
      <c r="D149" s="60"/>
      <c r="E149" s="156"/>
      <c r="F149" s="156"/>
      <c r="G149" s="156"/>
      <c r="H149" s="156"/>
      <c r="I149" s="156"/>
      <c r="J149" s="156"/>
      <c r="K149" s="156"/>
      <c r="L149" s="156"/>
      <c r="M149" s="157">
        <f t="shared" si="4"/>
        <v>0</v>
      </c>
      <c r="N149" s="154"/>
      <c r="O149" s="20"/>
      <c r="P149" s="154"/>
      <c r="Q149" s="20"/>
      <c r="R149" s="154"/>
      <c r="S149" s="20"/>
      <c r="T149" s="154"/>
      <c r="U149" s="20"/>
      <c r="V149" s="154"/>
      <c r="W149" s="20"/>
      <c r="X149" s="156"/>
      <c r="Y149" s="156"/>
      <c r="Z149" s="156"/>
    </row>
    <row r="150" spans="1:26" ht="15" customHeight="1" x14ac:dyDescent="0.25">
      <c r="A150" s="59"/>
      <c r="B150" s="59"/>
      <c r="C150" s="156"/>
      <c r="D150" s="60"/>
      <c r="E150" s="156"/>
      <c r="F150" s="156"/>
      <c r="G150" s="156"/>
      <c r="H150" s="156"/>
      <c r="I150" s="156"/>
      <c r="J150" s="156"/>
      <c r="K150" s="156"/>
      <c r="L150" s="156"/>
      <c r="M150" s="157">
        <f t="shared" si="4"/>
        <v>0</v>
      </c>
      <c r="N150" s="154"/>
      <c r="O150" s="20"/>
      <c r="P150" s="154"/>
      <c r="Q150" s="20"/>
      <c r="R150" s="154"/>
      <c r="S150" s="20"/>
      <c r="T150" s="154"/>
      <c r="U150" s="20"/>
      <c r="V150" s="154"/>
      <c r="W150" s="20"/>
      <c r="X150" s="156"/>
      <c r="Y150" s="156"/>
      <c r="Z150" s="156"/>
    </row>
    <row r="151" spans="1:26" ht="15" customHeight="1" x14ac:dyDescent="0.25">
      <c r="A151" s="59"/>
      <c r="B151" s="59"/>
      <c r="C151" s="156"/>
      <c r="D151" s="60"/>
      <c r="E151" s="156"/>
      <c r="F151" s="156"/>
      <c r="G151" s="156"/>
      <c r="H151" s="156"/>
      <c r="I151" s="156"/>
      <c r="J151" s="156"/>
      <c r="K151" s="156"/>
      <c r="L151" s="156"/>
      <c r="M151" s="157">
        <f t="shared" si="4"/>
        <v>0</v>
      </c>
      <c r="N151" s="154"/>
      <c r="O151" s="20"/>
      <c r="P151" s="154"/>
      <c r="Q151" s="20"/>
      <c r="R151" s="154"/>
      <c r="S151" s="20"/>
      <c r="T151" s="154"/>
      <c r="U151" s="20"/>
      <c r="V151" s="154"/>
      <c r="W151" s="20"/>
      <c r="X151" s="156"/>
      <c r="Y151" s="156"/>
      <c r="Z151" s="156"/>
    </row>
    <row r="152" spans="1:26" ht="15" customHeight="1" x14ac:dyDescent="0.25">
      <c r="A152" s="59"/>
      <c r="B152" s="59"/>
      <c r="C152" s="156"/>
      <c r="D152" s="60"/>
      <c r="E152" s="156"/>
      <c r="F152" s="156"/>
      <c r="G152" s="156"/>
      <c r="H152" s="156"/>
      <c r="I152" s="156"/>
      <c r="J152" s="156"/>
      <c r="K152" s="156"/>
      <c r="L152" s="156"/>
      <c r="M152" s="157">
        <f t="shared" si="4"/>
        <v>0</v>
      </c>
      <c r="N152" s="154"/>
      <c r="O152" s="20"/>
      <c r="P152" s="154"/>
      <c r="Q152" s="20"/>
      <c r="R152" s="154"/>
      <c r="S152" s="20"/>
      <c r="T152" s="154"/>
      <c r="U152" s="20"/>
      <c r="V152" s="154"/>
      <c r="W152" s="20"/>
      <c r="X152" s="156"/>
      <c r="Y152" s="156"/>
      <c r="Z152" s="156"/>
    </row>
    <row r="153" spans="1:26" ht="15" customHeight="1" x14ac:dyDescent="0.25">
      <c r="A153" s="59"/>
      <c r="B153" s="59"/>
      <c r="C153" s="156"/>
      <c r="D153" s="60"/>
      <c r="E153" s="156"/>
      <c r="F153" s="156"/>
      <c r="G153" s="156"/>
      <c r="H153" s="156"/>
      <c r="I153" s="156"/>
      <c r="J153" s="156"/>
      <c r="K153" s="156"/>
      <c r="L153" s="156"/>
      <c r="M153" s="157">
        <f t="shared" si="4"/>
        <v>0</v>
      </c>
      <c r="N153" s="154"/>
      <c r="O153" s="20"/>
      <c r="P153" s="154"/>
      <c r="Q153" s="20"/>
      <c r="R153" s="154"/>
      <c r="S153" s="20"/>
      <c r="T153" s="154"/>
      <c r="U153" s="20"/>
      <c r="V153" s="154"/>
      <c r="W153" s="20"/>
      <c r="X153" s="156"/>
      <c r="Y153" s="156"/>
      <c r="Z153" s="156"/>
    </row>
    <row r="154" spans="1:26" ht="15" customHeight="1" x14ac:dyDescent="0.25">
      <c r="A154" s="59"/>
      <c r="B154" s="59"/>
      <c r="C154" s="156"/>
      <c r="D154" s="60"/>
      <c r="E154" s="156"/>
      <c r="F154" s="156"/>
      <c r="G154" s="156"/>
      <c r="H154" s="156"/>
      <c r="I154" s="156"/>
      <c r="J154" s="156"/>
      <c r="K154" s="156"/>
      <c r="L154" s="156"/>
      <c r="M154" s="157">
        <f t="shared" si="4"/>
        <v>0</v>
      </c>
      <c r="N154" s="154"/>
      <c r="O154" s="20"/>
      <c r="P154" s="154"/>
      <c r="Q154" s="20"/>
      <c r="R154" s="154"/>
      <c r="S154" s="20"/>
      <c r="T154" s="154"/>
      <c r="U154" s="20"/>
      <c r="V154" s="154"/>
      <c r="W154" s="20"/>
      <c r="X154" s="156"/>
      <c r="Y154" s="156"/>
      <c r="Z154" s="156"/>
    </row>
    <row r="155" spans="1:26" ht="15" customHeight="1" x14ac:dyDescent="0.25">
      <c r="A155" s="96"/>
      <c r="B155" s="96"/>
      <c r="C155" s="64"/>
      <c r="D155" s="97"/>
      <c r="E155" s="156"/>
      <c r="F155" s="64"/>
      <c r="G155" s="64"/>
      <c r="H155" s="64"/>
      <c r="I155" s="64"/>
      <c r="J155" s="64"/>
      <c r="K155" s="64"/>
      <c r="L155" s="64"/>
      <c r="M155" s="157">
        <f t="shared" si="4"/>
        <v>0</v>
      </c>
      <c r="N155" s="100"/>
      <c r="O155" s="134"/>
      <c r="P155" s="100"/>
      <c r="Q155" s="134"/>
      <c r="R155" s="100"/>
      <c r="S155" s="134"/>
      <c r="T155" s="100"/>
      <c r="U155" s="134"/>
      <c r="V155" s="100"/>
      <c r="W155" s="134"/>
      <c r="X155" s="64"/>
      <c r="Y155" s="64"/>
      <c r="Z155" s="64"/>
    </row>
    <row r="156" spans="1:26" s="51" customFormat="1" ht="15" customHeight="1" x14ac:dyDescent="0.25">
      <c r="A156" s="59"/>
      <c r="B156" s="59"/>
      <c r="C156" s="156"/>
      <c r="D156" s="60"/>
      <c r="E156" s="156"/>
      <c r="F156" s="156"/>
      <c r="G156" s="156"/>
      <c r="H156" s="156"/>
      <c r="I156" s="156"/>
      <c r="J156" s="156"/>
      <c r="K156" s="156"/>
      <c r="L156" s="156"/>
      <c r="M156" s="157">
        <f t="shared" si="4"/>
        <v>0</v>
      </c>
      <c r="N156" s="154"/>
      <c r="O156" s="20"/>
      <c r="P156" s="154"/>
      <c r="Q156" s="20"/>
      <c r="R156" s="154"/>
      <c r="S156" s="20"/>
      <c r="T156" s="154"/>
      <c r="U156" s="20"/>
      <c r="V156" s="154"/>
      <c r="W156" s="20"/>
      <c r="X156" s="156"/>
      <c r="Y156" s="156"/>
      <c r="Z156" s="156"/>
    </row>
    <row r="157" spans="1:26" ht="15" customHeight="1" x14ac:dyDescent="0.25">
      <c r="A157" s="59"/>
      <c r="B157" s="59"/>
      <c r="C157" s="156"/>
      <c r="D157" s="60"/>
      <c r="E157" s="156"/>
      <c r="F157" s="156"/>
      <c r="G157" s="156"/>
      <c r="H157" s="156"/>
      <c r="I157" s="156"/>
      <c r="J157" s="156"/>
      <c r="K157" s="156"/>
      <c r="L157" s="156"/>
      <c r="M157" s="157">
        <f t="shared" si="4"/>
        <v>0</v>
      </c>
      <c r="N157" s="154"/>
      <c r="O157" s="20"/>
      <c r="P157" s="154"/>
      <c r="Q157" s="20"/>
      <c r="R157" s="154"/>
      <c r="S157" s="20"/>
      <c r="T157" s="154"/>
      <c r="U157" s="20"/>
      <c r="V157" s="154"/>
      <c r="W157" s="20"/>
      <c r="X157" s="156"/>
      <c r="Y157" s="156"/>
      <c r="Z157" s="156"/>
    </row>
    <row r="158" spans="1:26" ht="15" customHeight="1" x14ac:dyDescent="0.25">
      <c r="A158" s="59"/>
      <c r="B158" s="59"/>
      <c r="C158" s="156"/>
      <c r="D158" s="60"/>
      <c r="E158" s="156"/>
      <c r="F158" s="156"/>
      <c r="G158" s="156"/>
      <c r="H158" s="156"/>
      <c r="I158" s="156"/>
      <c r="J158" s="156"/>
      <c r="K158" s="156"/>
      <c r="L158" s="156"/>
      <c r="M158" s="157">
        <f t="shared" si="4"/>
        <v>0</v>
      </c>
      <c r="N158" s="154"/>
      <c r="O158" s="20"/>
      <c r="P158" s="154"/>
      <c r="Q158" s="20"/>
      <c r="R158" s="154"/>
      <c r="S158" s="20"/>
      <c r="T158" s="154"/>
      <c r="U158" s="20"/>
      <c r="V158" s="154"/>
      <c r="W158" s="20"/>
      <c r="X158" s="156"/>
      <c r="Y158" s="156"/>
      <c r="Z158" s="156"/>
    </row>
    <row r="159" spans="1:26" ht="15" customHeight="1" x14ac:dyDescent="0.25">
      <c r="A159" s="59"/>
      <c r="B159" s="59"/>
      <c r="C159" s="156"/>
      <c r="D159" s="60"/>
      <c r="E159" s="156"/>
      <c r="F159" s="156"/>
      <c r="G159" s="156"/>
      <c r="H159" s="156"/>
      <c r="I159" s="156"/>
      <c r="J159" s="156"/>
      <c r="K159" s="156"/>
      <c r="L159" s="156"/>
      <c r="M159" s="157">
        <f t="shared" si="4"/>
        <v>0</v>
      </c>
      <c r="N159" s="154"/>
      <c r="O159" s="20"/>
      <c r="P159" s="154"/>
      <c r="Q159" s="20"/>
      <c r="R159" s="154"/>
      <c r="S159" s="20"/>
      <c r="T159" s="154"/>
      <c r="U159" s="20"/>
      <c r="V159" s="154"/>
      <c r="W159" s="20"/>
      <c r="X159" s="156"/>
      <c r="Y159" s="156"/>
      <c r="Z159" s="156"/>
    </row>
    <row r="160" spans="1:26" ht="15" customHeight="1" x14ac:dyDescent="0.25">
      <c r="A160" s="59"/>
      <c r="B160" s="59"/>
      <c r="C160" s="156"/>
      <c r="D160" s="60"/>
      <c r="E160" s="156"/>
      <c r="F160" s="156"/>
      <c r="G160" s="156"/>
      <c r="H160" s="156"/>
      <c r="I160" s="156"/>
      <c r="J160" s="156"/>
      <c r="K160" s="156"/>
      <c r="L160" s="156"/>
      <c r="M160" s="157">
        <f t="shared" si="4"/>
        <v>0</v>
      </c>
      <c r="N160" s="154"/>
      <c r="O160" s="20"/>
      <c r="P160" s="154"/>
      <c r="Q160" s="20"/>
      <c r="R160" s="154"/>
      <c r="S160" s="20"/>
      <c r="T160" s="154"/>
      <c r="U160" s="20"/>
      <c r="V160" s="154"/>
      <c r="W160" s="20"/>
      <c r="X160" s="156"/>
      <c r="Y160" s="156"/>
      <c r="Z160" s="156"/>
    </row>
    <row r="161" spans="1:26" ht="15" customHeight="1" x14ac:dyDescent="0.25">
      <c r="A161" s="59"/>
      <c r="B161" s="59"/>
      <c r="C161" s="156"/>
      <c r="D161" s="60"/>
      <c r="E161" s="156"/>
      <c r="F161" s="156"/>
      <c r="G161" s="156"/>
      <c r="H161" s="156"/>
      <c r="I161" s="156"/>
      <c r="J161" s="156"/>
      <c r="K161" s="156"/>
      <c r="L161" s="156"/>
      <c r="M161" s="157">
        <f t="shared" si="4"/>
        <v>0</v>
      </c>
      <c r="N161" s="154"/>
      <c r="O161" s="20"/>
      <c r="P161" s="154"/>
      <c r="Q161" s="20"/>
      <c r="R161" s="154"/>
      <c r="S161" s="20"/>
      <c r="T161" s="154"/>
      <c r="U161" s="20"/>
      <c r="V161" s="154"/>
      <c r="W161" s="20"/>
      <c r="X161" s="156"/>
      <c r="Y161" s="156"/>
      <c r="Z161" s="156"/>
    </row>
    <row r="162" spans="1:26" ht="15" customHeight="1" x14ac:dyDescent="0.25">
      <c r="A162" s="59"/>
      <c r="B162" s="59"/>
      <c r="C162" s="156"/>
      <c r="D162" s="60"/>
      <c r="E162" s="156"/>
      <c r="F162" s="156"/>
      <c r="G162" s="156"/>
      <c r="H162" s="156"/>
      <c r="I162" s="156"/>
      <c r="J162" s="156"/>
      <c r="K162" s="156"/>
      <c r="L162" s="156"/>
      <c r="M162" s="157">
        <f t="shared" si="4"/>
        <v>0</v>
      </c>
      <c r="N162" s="154"/>
      <c r="O162" s="20"/>
      <c r="P162" s="154"/>
      <c r="Q162" s="20"/>
      <c r="R162" s="154"/>
      <c r="S162" s="20"/>
      <c r="T162" s="154"/>
      <c r="U162" s="20"/>
      <c r="V162" s="154"/>
      <c r="W162" s="20"/>
      <c r="X162" s="156"/>
      <c r="Y162" s="156"/>
      <c r="Z162" s="156"/>
    </row>
    <row r="163" spans="1:26" ht="15" customHeight="1" x14ac:dyDescent="0.25">
      <c r="A163" s="59"/>
      <c r="B163" s="59"/>
      <c r="C163" s="156"/>
      <c r="D163" s="60"/>
      <c r="E163" s="156"/>
      <c r="F163" s="156"/>
      <c r="G163" s="156"/>
      <c r="H163" s="156"/>
      <c r="I163" s="156"/>
      <c r="J163" s="156"/>
      <c r="K163" s="156"/>
      <c r="L163" s="156"/>
      <c r="M163" s="157">
        <f t="shared" si="4"/>
        <v>0</v>
      </c>
      <c r="N163" s="154"/>
      <c r="O163" s="20"/>
      <c r="P163" s="154"/>
      <c r="Q163" s="20"/>
      <c r="R163" s="154"/>
      <c r="S163" s="20"/>
      <c r="T163" s="154"/>
      <c r="U163" s="20"/>
      <c r="V163" s="154"/>
      <c r="W163" s="20"/>
      <c r="X163" s="156"/>
      <c r="Y163" s="156"/>
      <c r="Z163" s="156"/>
    </row>
    <row r="164" spans="1:26" ht="15" customHeight="1" x14ac:dyDescent="0.25">
      <c r="A164" s="59"/>
      <c r="B164" s="59"/>
      <c r="C164" s="156"/>
      <c r="D164" s="60"/>
      <c r="E164" s="156"/>
      <c r="F164" s="156"/>
      <c r="G164" s="156"/>
      <c r="H164" s="156"/>
      <c r="I164" s="156"/>
      <c r="J164" s="156"/>
      <c r="K164" s="156"/>
      <c r="L164" s="156"/>
      <c r="M164" s="157">
        <f t="shared" si="4"/>
        <v>0</v>
      </c>
      <c r="N164" s="154"/>
      <c r="O164" s="20"/>
      <c r="P164" s="154"/>
      <c r="Q164" s="20"/>
      <c r="R164" s="154"/>
      <c r="S164" s="20"/>
      <c r="T164" s="154"/>
      <c r="U164" s="20"/>
      <c r="V164" s="154"/>
      <c r="W164" s="20"/>
      <c r="X164" s="156"/>
      <c r="Y164" s="156"/>
      <c r="Z164" s="156"/>
    </row>
    <row r="165" spans="1:26" ht="15" customHeight="1" x14ac:dyDescent="0.25">
      <c r="A165" s="59"/>
      <c r="B165" s="59"/>
      <c r="C165" s="156"/>
      <c r="D165" s="60"/>
      <c r="E165" s="156"/>
      <c r="F165" s="156"/>
      <c r="G165" s="156"/>
      <c r="H165" s="156"/>
      <c r="I165" s="156"/>
      <c r="J165" s="156"/>
      <c r="K165" s="156"/>
      <c r="L165" s="156"/>
      <c r="M165" s="157">
        <f t="shared" si="4"/>
        <v>0</v>
      </c>
      <c r="N165" s="154"/>
      <c r="O165" s="20"/>
      <c r="P165" s="154"/>
      <c r="Q165" s="20"/>
      <c r="R165" s="154"/>
      <c r="S165" s="20"/>
      <c r="T165" s="154"/>
      <c r="U165" s="20"/>
      <c r="V165" s="154"/>
      <c r="W165" s="20"/>
      <c r="X165" s="156"/>
      <c r="Y165" s="156"/>
      <c r="Z165" s="156"/>
    </row>
    <row r="166" spans="1:26" ht="15" customHeight="1" x14ac:dyDescent="0.25">
      <c r="A166" s="59"/>
      <c r="B166" s="59"/>
      <c r="C166" s="156"/>
      <c r="D166" s="60"/>
      <c r="E166" s="156"/>
      <c r="F166" s="156"/>
      <c r="G166" s="156"/>
      <c r="H166" s="156"/>
      <c r="I166" s="156"/>
      <c r="J166" s="156"/>
      <c r="K166" s="156"/>
      <c r="L166" s="156"/>
      <c r="M166" s="157">
        <f t="shared" si="4"/>
        <v>0</v>
      </c>
      <c r="N166" s="154"/>
      <c r="O166" s="20"/>
      <c r="P166" s="154"/>
      <c r="Q166" s="20"/>
      <c r="R166" s="154"/>
      <c r="S166" s="20"/>
      <c r="T166" s="154"/>
      <c r="U166" s="20"/>
      <c r="V166" s="154"/>
      <c r="W166" s="20"/>
      <c r="X166" s="156"/>
      <c r="Y166" s="156"/>
      <c r="Z166" s="156"/>
    </row>
    <row r="167" spans="1:26" ht="15" customHeight="1" x14ac:dyDescent="0.25">
      <c r="A167" s="59"/>
      <c r="B167" s="59"/>
      <c r="C167" s="156"/>
      <c r="D167" s="60"/>
      <c r="E167" s="156"/>
      <c r="F167" s="156"/>
      <c r="G167" s="156"/>
      <c r="H167" s="156"/>
      <c r="I167" s="156"/>
      <c r="J167" s="156"/>
      <c r="K167" s="156"/>
      <c r="L167" s="156"/>
      <c r="M167" s="157">
        <f t="shared" si="4"/>
        <v>0</v>
      </c>
      <c r="N167" s="154"/>
      <c r="O167" s="20"/>
      <c r="P167" s="154"/>
      <c r="Q167" s="20"/>
      <c r="R167" s="154"/>
      <c r="S167" s="20"/>
      <c r="T167" s="154"/>
      <c r="U167" s="20"/>
      <c r="V167" s="154"/>
      <c r="W167" s="20"/>
      <c r="X167" s="156"/>
      <c r="Y167" s="156"/>
      <c r="Z167" s="156"/>
    </row>
    <row r="168" spans="1:26" ht="15" customHeight="1" x14ac:dyDescent="0.25">
      <c r="A168" s="59"/>
      <c r="B168" s="59"/>
      <c r="C168" s="156"/>
      <c r="D168" s="60"/>
      <c r="E168" s="156"/>
      <c r="F168" s="156"/>
      <c r="G168" s="156"/>
      <c r="H168" s="156"/>
      <c r="I168" s="156"/>
      <c r="J168" s="156"/>
      <c r="K168" s="156"/>
      <c r="L168" s="156"/>
      <c r="M168" s="157">
        <f t="shared" si="4"/>
        <v>0</v>
      </c>
      <c r="N168" s="154"/>
      <c r="O168" s="20"/>
      <c r="P168" s="154"/>
      <c r="Q168" s="20"/>
      <c r="R168" s="154"/>
      <c r="S168" s="20"/>
      <c r="T168" s="154"/>
      <c r="U168" s="20"/>
      <c r="V168" s="154"/>
      <c r="W168" s="20"/>
      <c r="X168" s="156"/>
      <c r="Y168" s="156"/>
      <c r="Z168" s="156"/>
    </row>
    <row r="169" spans="1:26" ht="15" customHeight="1" x14ac:dyDescent="0.25">
      <c r="A169" s="59"/>
      <c r="B169" s="59"/>
      <c r="C169" s="156"/>
      <c r="D169" s="60"/>
      <c r="E169" s="156"/>
      <c r="F169" s="156"/>
      <c r="G169" s="156"/>
      <c r="H169" s="156"/>
      <c r="I169" s="156"/>
      <c r="J169" s="156"/>
      <c r="K169" s="156"/>
      <c r="L169" s="156"/>
      <c r="M169" s="157">
        <f t="shared" si="4"/>
        <v>0</v>
      </c>
      <c r="N169" s="154"/>
      <c r="O169" s="20"/>
      <c r="P169" s="154"/>
      <c r="Q169" s="20"/>
      <c r="R169" s="154"/>
      <c r="S169" s="20"/>
      <c r="T169" s="154"/>
      <c r="U169" s="20"/>
      <c r="V169" s="154"/>
      <c r="W169" s="20"/>
      <c r="X169" s="156"/>
      <c r="Y169" s="156"/>
      <c r="Z169" s="156"/>
    </row>
    <row r="170" spans="1:26" ht="15" customHeight="1" x14ac:dyDescent="0.25">
      <c r="A170" s="59"/>
      <c r="B170" s="59"/>
      <c r="C170" s="156"/>
      <c r="D170" s="60"/>
      <c r="E170" s="156"/>
      <c r="F170" s="156"/>
      <c r="G170" s="156"/>
      <c r="H170" s="156"/>
      <c r="I170" s="156"/>
      <c r="J170" s="156"/>
      <c r="K170" s="156"/>
      <c r="L170" s="156"/>
      <c r="M170" s="157">
        <f t="shared" si="4"/>
        <v>0</v>
      </c>
      <c r="N170" s="154"/>
      <c r="O170" s="20"/>
      <c r="P170" s="154"/>
      <c r="Q170" s="20"/>
      <c r="R170" s="154"/>
      <c r="S170" s="20"/>
      <c r="T170" s="154"/>
      <c r="U170" s="20"/>
      <c r="V170" s="154"/>
      <c r="W170" s="20"/>
      <c r="X170" s="156"/>
      <c r="Y170" s="156"/>
      <c r="Z170" s="156"/>
    </row>
    <row r="171" spans="1:26" ht="15" customHeight="1" x14ac:dyDescent="0.25">
      <c r="A171" s="59"/>
      <c r="B171" s="59"/>
      <c r="C171" s="156"/>
      <c r="D171" s="60"/>
      <c r="E171" s="156"/>
      <c r="F171" s="156"/>
      <c r="G171" s="156"/>
      <c r="H171" s="156"/>
      <c r="I171" s="156"/>
      <c r="J171" s="156"/>
      <c r="K171" s="156"/>
      <c r="L171" s="156"/>
      <c r="M171" s="157">
        <f t="shared" si="4"/>
        <v>0</v>
      </c>
      <c r="N171" s="154"/>
      <c r="O171" s="20"/>
      <c r="P171" s="154"/>
      <c r="Q171" s="20"/>
      <c r="R171" s="154"/>
      <c r="S171" s="20"/>
      <c r="T171" s="154"/>
      <c r="U171" s="20"/>
      <c r="V171" s="154"/>
      <c r="W171" s="20"/>
      <c r="X171" s="156"/>
      <c r="Y171" s="156"/>
      <c r="Z171" s="156"/>
    </row>
    <row r="172" spans="1:26" ht="15" customHeight="1" x14ac:dyDescent="0.25">
      <c r="A172" s="59"/>
      <c r="B172" s="59"/>
      <c r="C172" s="156"/>
      <c r="D172" s="60"/>
      <c r="E172" s="156"/>
      <c r="F172" s="156"/>
      <c r="G172" s="156"/>
      <c r="H172" s="156"/>
      <c r="I172" s="156"/>
      <c r="J172" s="156"/>
      <c r="K172" s="156"/>
      <c r="L172" s="156"/>
      <c r="M172" s="157">
        <f t="shared" si="4"/>
        <v>0</v>
      </c>
      <c r="N172" s="154"/>
      <c r="O172" s="20"/>
      <c r="P172" s="154"/>
      <c r="Q172" s="20"/>
      <c r="R172" s="154"/>
      <c r="S172" s="20"/>
      <c r="T172" s="154"/>
      <c r="U172" s="20"/>
      <c r="V172" s="154"/>
      <c r="W172" s="20"/>
      <c r="X172" s="156"/>
      <c r="Y172" s="156"/>
      <c r="Z172" s="156"/>
    </row>
    <row r="173" spans="1:26" ht="15" customHeight="1" x14ac:dyDescent="0.25">
      <c r="A173" s="59"/>
      <c r="B173" s="59"/>
      <c r="C173" s="156"/>
      <c r="D173" s="60"/>
      <c r="E173" s="156"/>
      <c r="F173" s="156"/>
      <c r="G173" s="156"/>
      <c r="H173" s="156"/>
      <c r="I173" s="156"/>
      <c r="J173" s="156"/>
      <c r="K173" s="156"/>
      <c r="L173" s="156"/>
      <c r="M173" s="157">
        <f t="shared" si="4"/>
        <v>0</v>
      </c>
      <c r="N173" s="154"/>
      <c r="O173" s="20"/>
      <c r="P173" s="154"/>
      <c r="Q173" s="20"/>
      <c r="R173" s="154"/>
      <c r="S173" s="20"/>
      <c r="T173" s="154"/>
      <c r="U173" s="20"/>
      <c r="V173" s="154"/>
      <c r="W173" s="20"/>
      <c r="X173" s="156"/>
      <c r="Y173" s="156"/>
      <c r="Z173" s="156"/>
    </row>
    <row r="174" spans="1:26" ht="15" customHeight="1" x14ac:dyDescent="0.25">
      <c r="A174" s="59"/>
      <c r="B174" s="59"/>
      <c r="C174" s="156"/>
      <c r="D174" s="60"/>
      <c r="E174" s="156"/>
      <c r="F174" s="156"/>
      <c r="G174" s="156"/>
      <c r="H174" s="156"/>
      <c r="I174" s="156"/>
      <c r="J174" s="156"/>
      <c r="K174" s="156"/>
      <c r="L174" s="156"/>
      <c r="M174" s="157">
        <f t="shared" si="4"/>
        <v>0</v>
      </c>
      <c r="N174" s="154"/>
      <c r="O174" s="20"/>
      <c r="P174" s="154"/>
      <c r="Q174" s="20"/>
      <c r="R174" s="154"/>
      <c r="S174" s="20"/>
      <c r="T174" s="154"/>
      <c r="U174" s="20"/>
      <c r="V174" s="154"/>
      <c r="W174" s="20"/>
      <c r="X174" s="156"/>
      <c r="Y174" s="156"/>
      <c r="Z174" s="156"/>
    </row>
    <row r="175" spans="1:26" ht="15" customHeight="1" x14ac:dyDescent="0.25">
      <c r="A175" s="59"/>
      <c r="B175" s="59"/>
      <c r="C175" s="156"/>
      <c r="D175" s="60"/>
      <c r="E175" s="156"/>
      <c r="F175" s="156"/>
      <c r="G175" s="156"/>
      <c r="H175" s="156"/>
      <c r="I175" s="156"/>
      <c r="J175" s="156"/>
      <c r="K175" s="156"/>
      <c r="L175" s="156"/>
      <c r="M175" s="157">
        <f t="shared" si="4"/>
        <v>0</v>
      </c>
      <c r="N175" s="154"/>
      <c r="O175" s="20"/>
      <c r="P175" s="154"/>
      <c r="Q175" s="20"/>
      <c r="R175" s="154"/>
      <c r="S175" s="20"/>
      <c r="T175" s="154"/>
      <c r="U175" s="20"/>
      <c r="V175" s="154"/>
      <c r="W175" s="20"/>
      <c r="X175" s="156"/>
      <c r="Y175" s="156"/>
      <c r="Z175" s="156"/>
    </row>
    <row r="176" spans="1:26" ht="15" customHeight="1" x14ac:dyDescent="0.25">
      <c r="A176" s="59"/>
      <c r="B176" s="59"/>
      <c r="C176" s="156"/>
      <c r="D176" s="60"/>
      <c r="E176" s="156"/>
      <c r="F176" s="156"/>
      <c r="G176" s="156"/>
      <c r="H176" s="156"/>
      <c r="I176" s="156"/>
      <c r="J176" s="156"/>
      <c r="K176" s="156"/>
      <c r="L176" s="156"/>
      <c r="M176" s="157">
        <f t="shared" si="4"/>
        <v>0</v>
      </c>
      <c r="N176" s="154"/>
      <c r="O176" s="20"/>
      <c r="P176" s="154"/>
      <c r="Q176" s="20"/>
      <c r="R176" s="154"/>
      <c r="S176" s="20"/>
      <c r="T176" s="154"/>
      <c r="U176" s="20"/>
      <c r="V176" s="154"/>
      <c r="W176" s="20"/>
      <c r="X176" s="156"/>
      <c r="Y176" s="156"/>
      <c r="Z176" s="156"/>
    </row>
    <row r="177" spans="1:26" ht="15" customHeight="1" x14ac:dyDescent="0.25">
      <c r="A177" s="59"/>
      <c r="B177" s="59"/>
      <c r="C177" s="156"/>
      <c r="D177" s="60"/>
      <c r="E177" s="156"/>
      <c r="F177" s="156"/>
      <c r="G177" s="156"/>
      <c r="H177" s="156"/>
      <c r="I177" s="156"/>
      <c r="J177" s="156"/>
      <c r="K177" s="156"/>
      <c r="L177" s="156"/>
      <c r="M177" s="157">
        <f t="shared" si="4"/>
        <v>0</v>
      </c>
      <c r="N177" s="154"/>
      <c r="O177" s="20"/>
      <c r="P177" s="154"/>
      <c r="Q177" s="20"/>
      <c r="R177" s="154"/>
      <c r="S177" s="20"/>
      <c r="T177" s="154"/>
      <c r="U177" s="20"/>
      <c r="V177" s="154"/>
      <c r="W177" s="20"/>
      <c r="X177" s="156"/>
      <c r="Y177" s="156"/>
      <c r="Z177" s="156"/>
    </row>
    <row r="178" spans="1:26" ht="15" customHeight="1" x14ac:dyDescent="0.25">
      <c r="A178" s="59"/>
      <c r="B178" s="59"/>
      <c r="C178" s="156"/>
      <c r="D178" s="60"/>
      <c r="E178" s="156"/>
      <c r="F178" s="156"/>
      <c r="G178" s="156"/>
      <c r="H178" s="156"/>
      <c r="I178" s="156"/>
      <c r="J178" s="156"/>
      <c r="K178" s="156"/>
      <c r="L178" s="156"/>
      <c r="M178" s="157">
        <f t="shared" si="4"/>
        <v>0</v>
      </c>
      <c r="N178" s="154"/>
      <c r="O178" s="20"/>
      <c r="P178" s="154"/>
      <c r="Q178" s="20"/>
      <c r="R178" s="154"/>
      <c r="S178" s="20"/>
      <c r="T178" s="154"/>
      <c r="U178" s="20"/>
      <c r="V178" s="154"/>
      <c r="W178" s="20"/>
      <c r="X178" s="156"/>
      <c r="Y178" s="156"/>
      <c r="Z178" s="156"/>
    </row>
    <row r="179" spans="1:26" ht="15" customHeight="1" x14ac:dyDescent="0.25">
      <c r="A179" s="59"/>
      <c r="B179" s="59"/>
      <c r="C179" s="156"/>
      <c r="D179" s="60"/>
      <c r="E179" s="156"/>
      <c r="F179" s="156"/>
      <c r="G179" s="156"/>
      <c r="H179" s="156"/>
      <c r="I179" s="156"/>
      <c r="J179" s="156"/>
      <c r="K179" s="156"/>
      <c r="L179" s="156"/>
      <c r="M179" s="157">
        <f t="shared" si="4"/>
        <v>0</v>
      </c>
      <c r="N179" s="154"/>
      <c r="O179" s="20"/>
      <c r="P179" s="154"/>
      <c r="Q179" s="20"/>
      <c r="R179" s="154"/>
      <c r="S179" s="20"/>
      <c r="T179" s="154"/>
      <c r="U179" s="20"/>
      <c r="V179" s="154"/>
      <c r="W179" s="20"/>
      <c r="X179" s="156"/>
      <c r="Y179" s="156"/>
      <c r="Z179" s="156"/>
    </row>
    <row r="180" spans="1:26" ht="15" customHeight="1" x14ac:dyDescent="0.25">
      <c r="A180" s="59"/>
      <c r="B180" s="59"/>
      <c r="C180" s="156"/>
      <c r="D180" s="60"/>
      <c r="E180" s="156"/>
      <c r="F180" s="156"/>
      <c r="G180" s="156"/>
      <c r="H180" s="156"/>
      <c r="I180" s="156"/>
      <c r="J180" s="156"/>
      <c r="K180" s="156"/>
      <c r="L180" s="156"/>
      <c r="M180" s="157">
        <f t="shared" si="4"/>
        <v>0</v>
      </c>
      <c r="N180" s="154"/>
      <c r="O180" s="20"/>
      <c r="P180" s="154"/>
      <c r="Q180" s="20"/>
      <c r="R180" s="154"/>
      <c r="S180" s="20"/>
      <c r="T180" s="154"/>
      <c r="U180" s="20"/>
      <c r="V180" s="154"/>
      <c r="W180" s="20"/>
      <c r="X180" s="156"/>
      <c r="Y180" s="156"/>
      <c r="Z180" s="156"/>
    </row>
    <row r="181" spans="1:26" ht="15" customHeight="1" x14ac:dyDescent="0.25">
      <c r="A181" s="59"/>
      <c r="B181" s="59"/>
      <c r="C181" s="156"/>
      <c r="D181" s="60"/>
      <c r="E181" s="156"/>
      <c r="F181" s="156"/>
      <c r="G181" s="156"/>
      <c r="H181" s="156"/>
      <c r="I181" s="156"/>
      <c r="J181" s="156"/>
      <c r="K181" s="156"/>
      <c r="L181" s="156"/>
      <c r="M181" s="157">
        <f t="shared" si="4"/>
        <v>0</v>
      </c>
      <c r="N181" s="154"/>
      <c r="O181" s="20"/>
      <c r="P181" s="154"/>
      <c r="Q181" s="20"/>
      <c r="R181" s="154"/>
      <c r="S181" s="20"/>
      <c r="T181" s="154"/>
      <c r="U181" s="20"/>
      <c r="V181" s="154"/>
      <c r="W181" s="20"/>
      <c r="X181" s="156"/>
      <c r="Y181" s="156"/>
      <c r="Z181" s="156"/>
    </row>
    <row r="182" spans="1:26" ht="15" customHeight="1" x14ac:dyDescent="0.25">
      <c r="A182" s="59"/>
      <c r="B182" s="59"/>
      <c r="C182" s="156"/>
      <c r="D182" s="60"/>
      <c r="E182" s="156"/>
      <c r="F182" s="156"/>
      <c r="G182" s="156"/>
      <c r="H182" s="156"/>
      <c r="I182" s="156"/>
      <c r="J182" s="156"/>
      <c r="K182" s="156"/>
      <c r="L182" s="156"/>
      <c r="M182" s="157">
        <f t="shared" si="4"/>
        <v>0</v>
      </c>
      <c r="N182" s="154"/>
      <c r="O182" s="20"/>
      <c r="P182" s="154"/>
      <c r="Q182" s="20"/>
      <c r="R182" s="154"/>
      <c r="S182" s="20"/>
      <c r="T182" s="154"/>
      <c r="U182" s="20"/>
      <c r="V182" s="154"/>
      <c r="W182" s="20"/>
      <c r="X182" s="156"/>
      <c r="Y182" s="156"/>
      <c r="Z182" s="156"/>
    </row>
    <row r="183" spans="1:26" ht="15" customHeight="1" x14ac:dyDescent="0.25">
      <c r="A183" s="59"/>
      <c r="B183" s="59"/>
      <c r="C183" s="156"/>
      <c r="D183" s="60"/>
      <c r="E183" s="156"/>
      <c r="F183" s="156"/>
      <c r="G183" s="156"/>
      <c r="H183" s="156"/>
      <c r="I183" s="156"/>
      <c r="J183" s="156"/>
      <c r="K183" s="156"/>
      <c r="L183" s="156"/>
      <c r="M183" s="157">
        <f t="shared" si="4"/>
        <v>0</v>
      </c>
      <c r="N183" s="154"/>
      <c r="O183" s="20"/>
      <c r="P183" s="154"/>
      <c r="Q183" s="20"/>
      <c r="R183" s="154"/>
      <c r="S183" s="20"/>
      <c r="T183" s="154"/>
      <c r="U183" s="20"/>
      <c r="V183" s="154"/>
      <c r="W183" s="20"/>
      <c r="X183" s="156"/>
      <c r="Y183" s="156"/>
      <c r="Z183" s="156"/>
    </row>
    <row r="184" spans="1:26" ht="15" customHeight="1" x14ac:dyDescent="0.25">
      <c r="A184" s="59"/>
      <c r="B184" s="59"/>
      <c r="C184" s="156"/>
      <c r="D184" s="60"/>
      <c r="E184" s="156"/>
      <c r="F184" s="156"/>
      <c r="G184" s="156"/>
      <c r="H184" s="156"/>
      <c r="I184" s="156"/>
      <c r="J184" s="156"/>
      <c r="K184" s="156"/>
      <c r="L184" s="156"/>
      <c r="M184" s="157">
        <f t="shared" si="4"/>
        <v>0</v>
      </c>
      <c r="N184" s="154"/>
      <c r="O184" s="20"/>
      <c r="P184" s="154"/>
      <c r="Q184" s="20"/>
      <c r="R184" s="154"/>
      <c r="S184" s="20"/>
      <c r="T184" s="154"/>
      <c r="U184" s="20"/>
      <c r="V184" s="154"/>
      <c r="W184" s="20"/>
      <c r="X184" s="156"/>
      <c r="Y184" s="156"/>
      <c r="Z184" s="156"/>
    </row>
    <row r="185" spans="1:26" ht="15" customHeight="1" x14ac:dyDescent="0.25">
      <c r="A185" s="59"/>
      <c r="B185" s="59"/>
      <c r="C185" s="156"/>
      <c r="D185" s="60"/>
      <c r="E185" s="156"/>
      <c r="F185" s="156"/>
      <c r="G185" s="156"/>
      <c r="H185" s="156"/>
      <c r="I185" s="156"/>
      <c r="J185" s="156"/>
      <c r="K185" s="156"/>
      <c r="L185" s="156"/>
      <c r="M185" s="157">
        <f t="shared" si="4"/>
        <v>0</v>
      </c>
      <c r="N185" s="154"/>
      <c r="O185" s="20"/>
      <c r="P185" s="154"/>
      <c r="Q185" s="20"/>
      <c r="R185" s="154"/>
      <c r="S185" s="20"/>
      <c r="T185" s="154"/>
      <c r="U185" s="20"/>
      <c r="V185" s="154"/>
      <c r="W185" s="20"/>
      <c r="X185" s="156"/>
      <c r="Y185" s="156"/>
      <c r="Z185" s="156"/>
    </row>
    <row r="186" spans="1:26" ht="15" customHeight="1" x14ac:dyDescent="0.25">
      <c r="A186" s="59"/>
      <c r="B186" s="59"/>
      <c r="C186" s="156"/>
      <c r="D186" s="60"/>
      <c r="E186" s="156"/>
      <c r="F186" s="156"/>
      <c r="G186" s="156"/>
      <c r="H186" s="156"/>
      <c r="I186" s="156"/>
      <c r="J186" s="156"/>
      <c r="K186" s="156"/>
      <c r="L186" s="156"/>
      <c r="M186" s="157">
        <f t="shared" si="4"/>
        <v>0</v>
      </c>
      <c r="N186" s="154"/>
      <c r="O186" s="20"/>
      <c r="P186" s="154"/>
      <c r="Q186" s="20"/>
      <c r="R186" s="154"/>
      <c r="S186" s="20"/>
      <c r="T186" s="154"/>
      <c r="U186" s="20"/>
      <c r="V186" s="154"/>
      <c r="W186" s="20"/>
      <c r="X186" s="156"/>
      <c r="Y186" s="156"/>
      <c r="Z186" s="156"/>
    </row>
    <row r="187" spans="1:26" ht="15" customHeight="1" x14ac:dyDescent="0.25">
      <c r="A187" s="59"/>
      <c r="B187" s="59"/>
      <c r="C187" s="156"/>
      <c r="D187" s="60"/>
      <c r="E187" s="156"/>
      <c r="F187" s="156"/>
      <c r="G187" s="156"/>
      <c r="H187" s="156"/>
      <c r="I187" s="156"/>
      <c r="J187" s="156"/>
      <c r="K187" s="156"/>
      <c r="L187" s="156"/>
      <c r="M187" s="157">
        <f t="shared" si="4"/>
        <v>0</v>
      </c>
      <c r="N187" s="154"/>
      <c r="O187" s="20"/>
      <c r="P187" s="154"/>
      <c r="Q187" s="20"/>
      <c r="R187" s="154"/>
      <c r="S187" s="20"/>
      <c r="T187" s="154"/>
      <c r="U187" s="20"/>
      <c r="V187" s="154"/>
      <c r="W187" s="20"/>
      <c r="X187" s="156"/>
      <c r="Y187" s="156"/>
      <c r="Z187" s="156"/>
    </row>
    <row r="188" spans="1:26" ht="15" customHeight="1" x14ac:dyDescent="0.25">
      <c r="A188" s="59"/>
      <c r="B188" s="59"/>
      <c r="C188" s="156"/>
      <c r="D188" s="60"/>
      <c r="E188" s="156"/>
      <c r="F188" s="156"/>
      <c r="G188" s="156"/>
      <c r="H188" s="156"/>
      <c r="I188" s="156"/>
      <c r="J188" s="156"/>
      <c r="K188" s="156"/>
      <c r="L188" s="156"/>
      <c r="M188" s="157">
        <f t="shared" si="4"/>
        <v>0</v>
      </c>
      <c r="N188" s="154"/>
      <c r="O188" s="20"/>
      <c r="P188" s="154"/>
      <c r="Q188" s="20"/>
      <c r="R188" s="154"/>
      <c r="S188" s="20"/>
      <c r="T188" s="154"/>
      <c r="U188" s="20"/>
      <c r="V188" s="154"/>
      <c r="W188" s="20"/>
      <c r="X188" s="156"/>
      <c r="Y188" s="156"/>
      <c r="Z188" s="156"/>
    </row>
    <row r="189" spans="1:26" ht="15" customHeight="1" x14ac:dyDescent="0.25">
      <c r="A189" s="59"/>
      <c r="B189" s="59"/>
      <c r="C189" s="156"/>
      <c r="D189" s="60"/>
      <c r="E189" s="156"/>
      <c r="F189" s="156"/>
      <c r="G189" s="156"/>
      <c r="H189" s="156"/>
      <c r="I189" s="156"/>
      <c r="J189" s="156"/>
      <c r="K189" s="156"/>
      <c r="L189" s="156"/>
      <c r="M189" s="157">
        <f t="shared" si="4"/>
        <v>0</v>
      </c>
      <c r="N189" s="154"/>
      <c r="O189" s="20"/>
      <c r="P189" s="154"/>
      <c r="Q189" s="20"/>
      <c r="R189" s="154"/>
      <c r="S189" s="20"/>
      <c r="T189" s="154"/>
      <c r="U189" s="20"/>
      <c r="V189" s="154"/>
      <c r="W189" s="20"/>
      <c r="X189" s="156"/>
      <c r="Y189" s="156"/>
      <c r="Z189" s="156"/>
    </row>
    <row r="190" spans="1:26" ht="15" customHeight="1" x14ac:dyDescent="0.25">
      <c r="A190" s="59"/>
      <c r="B190" s="59"/>
      <c r="C190" s="156"/>
      <c r="D190" s="60"/>
      <c r="E190" s="156"/>
      <c r="F190" s="156"/>
      <c r="G190" s="156"/>
      <c r="H190" s="156"/>
      <c r="I190" s="156"/>
      <c r="J190" s="156"/>
      <c r="K190" s="156"/>
      <c r="L190" s="156"/>
      <c r="M190" s="157">
        <f t="shared" si="4"/>
        <v>0</v>
      </c>
      <c r="N190" s="154"/>
      <c r="O190" s="20"/>
      <c r="P190" s="154"/>
      <c r="Q190" s="20"/>
      <c r="R190" s="154"/>
      <c r="S190" s="20"/>
      <c r="T190" s="154"/>
      <c r="U190" s="20"/>
      <c r="V190" s="154"/>
      <c r="W190" s="20"/>
      <c r="X190" s="156"/>
      <c r="Y190" s="156"/>
      <c r="Z190" s="156"/>
    </row>
    <row r="191" spans="1:26" ht="15" customHeight="1" x14ac:dyDescent="0.25">
      <c r="A191" s="59"/>
      <c r="B191" s="59"/>
      <c r="C191" s="156"/>
      <c r="D191" s="60"/>
      <c r="E191" s="156"/>
      <c r="F191" s="156"/>
      <c r="G191" s="156"/>
      <c r="H191" s="156"/>
      <c r="I191" s="156"/>
      <c r="J191" s="156"/>
      <c r="K191" s="156"/>
      <c r="L191" s="156"/>
      <c r="M191" s="157">
        <f t="shared" si="4"/>
        <v>0</v>
      </c>
      <c r="N191" s="154"/>
      <c r="O191" s="20"/>
      <c r="P191" s="154"/>
      <c r="Q191" s="20"/>
      <c r="R191" s="154"/>
      <c r="S191" s="20"/>
      <c r="T191" s="154"/>
      <c r="U191" s="20"/>
      <c r="V191" s="154"/>
      <c r="W191" s="20"/>
      <c r="X191" s="156"/>
      <c r="Y191" s="156"/>
      <c r="Z191" s="156"/>
    </row>
    <row r="192" spans="1:26" ht="15" customHeight="1" x14ac:dyDescent="0.25">
      <c r="A192" s="59"/>
      <c r="B192" s="59"/>
      <c r="C192" s="156"/>
      <c r="D192" s="60"/>
      <c r="E192" s="156"/>
      <c r="F192" s="156"/>
      <c r="G192" s="156"/>
      <c r="H192" s="156"/>
      <c r="I192" s="156"/>
      <c r="J192" s="156"/>
      <c r="K192" s="156"/>
      <c r="L192" s="156"/>
      <c r="M192" s="157">
        <f t="shared" si="4"/>
        <v>0</v>
      </c>
      <c r="N192" s="154"/>
      <c r="O192" s="20"/>
      <c r="P192" s="154"/>
      <c r="Q192" s="20"/>
      <c r="R192" s="154"/>
      <c r="S192" s="20"/>
      <c r="T192" s="154"/>
      <c r="U192" s="20"/>
      <c r="V192" s="154"/>
      <c r="W192" s="20"/>
      <c r="X192" s="156"/>
      <c r="Y192" s="156"/>
      <c r="Z192" s="156"/>
    </row>
    <row r="193" spans="1:26" ht="15" customHeight="1" x14ac:dyDescent="0.25">
      <c r="A193" s="59"/>
      <c r="B193" s="59"/>
      <c r="C193" s="156"/>
      <c r="D193" s="60"/>
      <c r="E193" s="156"/>
      <c r="F193" s="156"/>
      <c r="G193" s="156"/>
      <c r="H193" s="156"/>
      <c r="I193" s="156"/>
      <c r="J193" s="156"/>
      <c r="K193" s="156"/>
      <c r="L193" s="156"/>
      <c r="M193" s="157">
        <f t="shared" si="4"/>
        <v>0</v>
      </c>
      <c r="N193" s="154"/>
      <c r="O193" s="20"/>
      <c r="P193" s="154"/>
      <c r="Q193" s="20"/>
      <c r="R193" s="154"/>
      <c r="S193" s="20"/>
      <c r="T193" s="154"/>
      <c r="U193" s="20"/>
      <c r="V193" s="154"/>
      <c r="W193" s="20"/>
      <c r="X193" s="156"/>
      <c r="Y193" s="156"/>
      <c r="Z193" s="156"/>
    </row>
    <row r="194" spans="1:26" ht="15" customHeight="1" x14ac:dyDescent="0.25">
      <c r="A194" s="59"/>
      <c r="B194" s="59"/>
      <c r="C194" s="156"/>
      <c r="D194" s="60"/>
      <c r="E194" s="156"/>
      <c r="F194" s="156"/>
      <c r="G194" s="156"/>
      <c r="H194" s="156"/>
      <c r="I194" s="156"/>
      <c r="J194" s="156"/>
      <c r="K194" s="156"/>
      <c r="L194" s="156"/>
      <c r="M194" s="157">
        <f t="shared" si="4"/>
        <v>0</v>
      </c>
      <c r="N194" s="154"/>
      <c r="O194" s="20"/>
      <c r="P194" s="154"/>
      <c r="Q194" s="20"/>
      <c r="R194" s="154"/>
      <c r="S194" s="20"/>
      <c r="T194" s="154"/>
      <c r="U194" s="20"/>
      <c r="V194" s="154"/>
      <c r="W194" s="20"/>
      <c r="X194" s="156"/>
      <c r="Y194" s="156"/>
      <c r="Z194" s="156"/>
    </row>
    <row r="195" spans="1:26" ht="15" customHeight="1" x14ac:dyDescent="0.25">
      <c r="A195" s="59"/>
      <c r="B195" s="59"/>
      <c r="C195" s="156"/>
      <c r="D195" s="60"/>
      <c r="E195" s="156"/>
      <c r="F195" s="156"/>
      <c r="G195" s="156"/>
      <c r="H195" s="156"/>
      <c r="I195" s="156"/>
      <c r="J195" s="156"/>
      <c r="K195" s="156"/>
      <c r="L195" s="156"/>
      <c r="M195" s="157">
        <f t="shared" si="4"/>
        <v>0</v>
      </c>
      <c r="N195" s="154"/>
      <c r="O195" s="20"/>
      <c r="P195" s="154"/>
      <c r="Q195" s="20"/>
      <c r="R195" s="154"/>
      <c r="S195" s="20"/>
      <c r="T195" s="154"/>
      <c r="U195" s="20"/>
      <c r="V195" s="154"/>
      <c r="W195" s="20"/>
      <c r="X195" s="156"/>
      <c r="Y195" s="156"/>
      <c r="Z195" s="156"/>
    </row>
    <row r="196" spans="1:26" ht="15" customHeight="1" x14ac:dyDescent="0.25">
      <c r="A196" s="59"/>
      <c r="B196" s="59"/>
      <c r="C196" s="156"/>
      <c r="D196" s="60"/>
      <c r="E196" s="156"/>
      <c r="F196" s="156"/>
      <c r="G196" s="156"/>
      <c r="H196" s="156"/>
      <c r="I196" s="156"/>
      <c r="J196" s="156"/>
      <c r="K196" s="156"/>
      <c r="L196" s="156"/>
      <c r="M196" s="157">
        <f t="shared" si="4"/>
        <v>0</v>
      </c>
      <c r="N196" s="154"/>
      <c r="O196" s="20"/>
      <c r="P196" s="154"/>
      <c r="Q196" s="20"/>
      <c r="R196" s="154"/>
      <c r="S196" s="20"/>
      <c r="T196" s="154"/>
      <c r="U196" s="20"/>
      <c r="V196" s="154"/>
      <c r="W196" s="20"/>
      <c r="X196" s="156"/>
      <c r="Y196" s="156"/>
      <c r="Z196" s="156"/>
    </row>
    <row r="197" spans="1:26" ht="15" customHeight="1" x14ac:dyDescent="0.25">
      <c r="A197" s="59"/>
      <c r="B197" s="59"/>
      <c r="C197" s="156"/>
      <c r="D197" s="60"/>
      <c r="E197" s="156"/>
      <c r="F197" s="156"/>
      <c r="G197" s="156"/>
      <c r="H197" s="156"/>
      <c r="I197" s="156"/>
      <c r="J197" s="156"/>
      <c r="K197" s="156"/>
      <c r="L197" s="156"/>
      <c r="M197" s="157">
        <f t="shared" ref="M197:M260" si="5">SUM(N197:W197)</f>
        <v>0</v>
      </c>
      <c r="N197" s="154"/>
      <c r="O197" s="20"/>
      <c r="P197" s="154"/>
      <c r="Q197" s="20"/>
      <c r="R197" s="154"/>
      <c r="S197" s="20"/>
      <c r="T197" s="154"/>
      <c r="U197" s="20"/>
      <c r="V197" s="154"/>
      <c r="W197" s="20"/>
      <c r="X197" s="156"/>
      <c r="Y197" s="156"/>
      <c r="Z197" s="156"/>
    </row>
    <row r="198" spans="1:26" ht="15" customHeight="1" x14ac:dyDescent="0.25">
      <c r="A198" s="59"/>
      <c r="B198" s="59"/>
      <c r="C198" s="156"/>
      <c r="D198" s="60"/>
      <c r="E198" s="156"/>
      <c r="F198" s="156"/>
      <c r="G198" s="156"/>
      <c r="H198" s="156"/>
      <c r="I198" s="156"/>
      <c r="J198" s="156"/>
      <c r="K198" s="156"/>
      <c r="L198" s="156"/>
      <c r="M198" s="157">
        <f t="shared" si="5"/>
        <v>0</v>
      </c>
      <c r="N198" s="154"/>
      <c r="O198" s="20"/>
      <c r="P198" s="154"/>
      <c r="Q198" s="20"/>
      <c r="R198" s="154"/>
      <c r="S198" s="20"/>
      <c r="T198" s="154"/>
      <c r="U198" s="20"/>
      <c r="V198" s="154"/>
      <c r="W198" s="20"/>
      <c r="X198" s="156"/>
      <c r="Y198" s="156"/>
      <c r="Z198" s="156"/>
    </row>
    <row r="199" spans="1:26" ht="15" customHeight="1" x14ac:dyDescent="0.25">
      <c r="A199" s="59"/>
      <c r="B199" s="59"/>
      <c r="C199" s="156"/>
      <c r="D199" s="60"/>
      <c r="E199" s="156"/>
      <c r="F199" s="156"/>
      <c r="G199" s="156"/>
      <c r="H199" s="156"/>
      <c r="I199" s="156"/>
      <c r="J199" s="156"/>
      <c r="K199" s="156"/>
      <c r="L199" s="156"/>
      <c r="M199" s="157">
        <f t="shared" si="5"/>
        <v>0</v>
      </c>
      <c r="N199" s="154"/>
      <c r="O199" s="20"/>
      <c r="P199" s="154"/>
      <c r="Q199" s="20"/>
      <c r="R199" s="154"/>
      <c r="S199" s="20"/>
      <c r="T199" s="154"/>
      <c r="U199" s="20"/>
      <c r="V199" s="154"/>
      <c r="W199" s="20"/>
      <c r="X199" s="156"/>
      <c r="Y199" s="156"/>
      <c r="Z199" s="156"/>
    </row>
    <row r="200" spans="1:26" ht="15" customHeight="1" x14ac:dyDescent="0.25">
      <c r="A200" s="59"/>
      <c r="B200" s="59"/>
      <c r="C200" s="156"/>
      <c r="D200" s="60"/>
      <c r="E200" s="156"/>
      <c r="F200" s="156"/>
      <c r="G200" s="156"/>
      <c r="H200" s="156"/>
      <c r="I200" s="156"/>
      <c r="J200" s="156"/>
      <c r="K200" s="156"/>
      <c r="L200" s="156"/>
      <c r="M200" s="157">
        <f t="shared" si="5"/>
        <v>0</v>
      </c>
      <c r="N200" s="154"/>
      <c r="O200" s="20"/>
      <c r="P200" s="154"/>
      <c r="Q200" s="20"/>
      <c r="R200" s="154"/>
      <c r="S200" s="20"/>
      <c r="T200" s="154"/>
      <c r="U200" s="20"/>
      <c r="V200" s="154"/>
      <c r="W200" s="20"/>
      <c r="X200" s="156"/>
      <c r="Y200" s="156"/>
      <c r="Z200" s="156"/>
    </row>
    <row r="201" spans="1:26" ht="15" customHeight="1" x14ac:dyDescent="0.25">
      <c r="A201" s="59"/>
      <c r="B201" s="59"/>
      <c r="C201" s="156"/>
      <c r="D201" s="60"/>
      <c r="E201" s="156"/>
      <c r="F201" s="156"/>
      <c r="G201" s="156"/>
      <c r="H201" s="156"/>
      <c r="I201" s="156"/>
      <c r="J201" s="156"/>
      <c r="K201" s="156"/>
      <c r="L201" s="156"/>
      <c r="M201" s="157">
        <f t="shared" si="5"/>
        <v>0</v>
      </c>
      <c r="N201" s="154"/>
      <c r="O201" s="20"/>
      <c r="P201" s="154"/>
      <c r="Q201" s="20"/>
      <c r="R201" s="154"/>
      <c r="S201" s="20"/>
      <c r="T201" s="154"/>
      <c r="U201" s="20"/>
      <c r="V201" s="154"/>
      <c r="W201" s="20"/>
      <c r="X201" s="156"/>
      <c r="Y201" s="156"/>
      <c r="Z201" s="156"/>
    </row>
    <row r="202" spans="1:26" ht="15" customHeight="1" x14ac:dyDescent="0.25">
      <c r="A202" s="59"/>
      <c r="B202" s="59"/>
      <c r="C202" s="156"/>
      <c r="D202" s="60"/>
      <c r="E202" s="156"/>
      <c r="F202" s="156"/>
      <c r="G202" s="156"/>
      <c r="H202" s="156"/>
      <c r="I202" s="156"/>
      <c r="J202" s="156"/>
      <c r="K202" s="156"/>
      <c r="L202" s="156"/>
      <c r="M202" s="157">
        <f t="shared" si="5"/>
        <v>0</v>
      </c>
      <c r="N202" s="154"/>
      <c r="O202" s="20"/>
      <c r="P202" s="154"/>
      <c r="Q202" s="20"/>
      <c r="R202" s="154"/>
      <c r="S202" s="20"/>
      <c r="T202" s="154"/>
      <c r="U202" s="20"/>
      <c r="V202" s="154"/>
      <c r="W202" s="20"/>
      <c r="X202" s="156"/>
      <c r="Y202" s="156"/>
      <c r="Z202" s="156"/>
    </row>
    <row r="203" spans="1:26" ht="15" customHeight="1" x14ac:dyDescent="0.25">
      <c r="A203" s="59"/>
      <c r="B203" s="59"/>
      <c r="C203" s="156"/>
      <c r="D203" s="60"/>
      <c r="E203" s="156"/>
      <c r="F203" s="156"/>
      <c r="G203" s="156"/>
      <c r="H203" s="156"/>
      <c r="I203" s="156"/>
      <c r="J203" s="156"/>
      <c r="K203" s="156"/>
      <c r="L203" s="156"/>
      <c r="M203" s="157">
        <f t="shared" si="5"/>
        <v>0</v>
      </c>
      <c r="N203" s="154"/>
      <c r="O203" s="20"/>
      <c r="P203" s="154"/>
      <c r="Q203" s="20"/>
      <c r="R203" s="154"/>
      <c r="S203" s="20"/>
      <c r="T203" s="154"/>
      <c r="U203" s="20"/>
      <c r="V203" s="154"/>
      <c r="W203" s="20"/>
      <c r="X203" s="156"/>
      <c r="Y203" s="156"/>
      <c r="Z203" s="156"/>
    </row>
    <row r="204" spans="1:26" ht="15" customHeight="1" x14ac:dyDescent="0.25">
      <c r="A204" s="59"/>
      <c r="B204" s="59"/>
      <c r="C204" s="156"/>
      <c r="D204" s="60"/>
      <c r="E204" s="156"/>
      <c r="F204" s="156"/>
      <c r="G204" s="156"/>
      <c r="H204" s="156"/>
      <c r="I204" s="156"/>
      <c r="J204" s="156"/>
      <c r="K204" s="156"/>
      <c r="L204" s="156"/>
      <c r="M204" s="157">
        <f t="shared" si="5"/>
        <v>0</v>
      </c>
      <c r="N204" s="154"/>
      <c r="O204" s="20"/>
      <c r="P204" s="154"/>
      <c r="Q204" s="20"/>
      <c r="R204" s="154"/>
      <c r="S204" s="20"/>
      <c r="T204" s="154"/>
      <c r="U204" s="20"/>
      <c r="V204" s="154"/>
      <c r="W204" s="20"/>
      <c r="X204" s="156"/>
      <c r="Y204" s="156"/>
      <c r="Z204" s="156"/>
    </row>
    <row r="205" spans="1:26" ht="15" customHeight="1" x14ac:dyDescent="0.25">
      <c r="A205" s="59"/>
      <c r="B205" s="59"/>
      <c r="C205" s="156"/>
      <c r="D205" s="60"/>
      <c r="E205" s="156"/>
      <c r="F205" s="156"/>
      <c r="G205" s="156"/>
      <c r="H205" s="156"/>
      <c r="I205" s="156"/>
      <c r="J205" s="156"/>
      <c r="K205" s="156"/>
      <c r="L205" s="156"/>
      <c r="M205" s="157">
        <f t="shared" si="5"/>
        <v>0</v>
      </c>
      <c r="N205" s="154"/>
      <c r="O205" s="20"/>
      <c r="P205" s="154"/>
      <c r="Q205" s="20"/>
      <c r="R205" s="154"/>
      <c r="S205" s="20"/>
      <c r="T205" s="154"/>
      <c r="U205" s="20"/>
      <c r="V205" s="154"/>
      <c r="W205" s="20"/>
      <c r="X205" s="156"/>
      <c r="Y205" s="156"/>
      <c r="Z205" s="156"/>
    </row>
    <row r="206" spans="1:26" ht="15" customHeight="1" x14ac:dyDescent="0.25">
      <c r="A206" s="59"/>
      <c r="B206" s="59"/>
      <c r="C206" s="156"/>
      <c r="D206" s="60"/>
      <c r="E206" s="156"/>
      <c r="F206" s="156"/>
      <c r="G206" s="156"/>
      <c r="H206" s="156"/>
      <c r="I206" s="156"/>
      <c r="J206" s="156"/>
      <c r="K206" s="156"/>
      <c r="L206" s="156"/>
      <c r="M206" s="157">
        <f t="shared" si="5"/>
        <v>0</v>
      </c>
      <c r="N206" s="154"/>
      <c r="O206" s="20"/>
      <c r="P206" s="154"/>
      <c r="Q206" s="20"/>
      <c r="R206" s="154"/>
      <c r="S206" s="20"/>
      <c r="T206" s="154"/>
      <c r="U206" s="20"/>
      <c r="V206" s="154"/>
      <c r="W206" s="20"/>
      <c r="X206" s="156"/>
      <c r="Y206" s="156"/>
      <c r="Z206" s="156"/>
    </row>
    <row r="207" spans="1:26" ht="15" customHeight="1" x14ac:dyDescent="0.25">
      <c r="A207" s="59"/>
      <c r="B207" s="59"/>
      <c r="C207" s="156"/>
      <c r="D207" s="60"/>
      <c r="E207" s="156"/>
      <c r="F207" s="156"/>
      <c r="G207" s="156"/>
      <c r="H207" s="156"/>
      <c r="I207" s="156"/>
      <c r="J207" s="156"/>
      <c r="K207" s="156"/>
      <c r="L207" s="156"/>
      <c r="M207" s="157">
        <f t="shared" si="5"/>
        <v>0</v>
      </c>
      <c r="N207" s="154"/>
      <c r="O207" s="20"/>
      <c r="P207" s="154"/>
      <c r="Q207" s="20"/>
      <c r="R207" s="154"/>
      <c r="S207" s="20"/>
      <c r="T207" s="154"/>
      <c r="U207" s="20"/>
      <c r="V207" s="154"/>
      <c r="W207" s="20"/>
      <c r="X207" s="156"/>
      <c r="Y207" s="156"/>
      <c r="Z207" s="156"/>
    </row>
    <row r="208" spans="1:26" ht="15" customHeight="1" x14ac:dyDescent="0.25">
      <c r="A208" s="59"/>
      <c r="B208" s="59"/>
      <c r="C208" s="156"/>
      <c r="D208" s="60"/>
      <c r="E208" s="156"/>
      <c r="F208" s="156"/>
      <c r="G208" s="156"/>
      <c r="H208" s="156"/>
      <c r="I208" s="156"/>
      <c r="J208" s="156"/>
      <c r="K208" s="156"/>
      <c r="L208" s="156"/>
      <c r="M208" s="157">
        <f t="shared" si="5"/>
        <v>0</v>
      </c>
      <c r="N208" s="154"/>
      <c r="O208" s="20"/>
      <c r="P208" s="154"/>
      <c r="Q208" s="20"/>
      <c r="R208" s="154"/>
      <c r="S208" s="20"/>
      <c r="T208" s="154"/>
      <c r="U208" s="20"/>
      <c r="V208" s="154"/>
      <c r="W208" s="20"/>
      <c r="X208" s="156"/>
      <c r="Y208" s="156"/>
      <c r="Z208" s="156"/>
    </row>
    <row r="209" spans="1:26" ht="15" customHeight="1" x14ac:dyDescent="0.25">
      <c r="A209" s="59"/>
      <c r="B209" s="59"/>
      <c r="C209" s="156"/>
      <c r="D209" s="60"/>
      <c r="E209" s="156"/>
      <c r="F209" s="156"/>
      <c r="G209" s="156"/>
      <c r="H209" s="156"/>
      <c r="I209" s="156"/>
      <c r="J209" s="156"/>
      <c r="K209" s="156"/>
      <c r="L209" s="156"/>
      <c r="M209" s="157">
        <f t="shared" si="5"/>
        <v>0</v>
      </c>
      <c r="N209" s="154"/>
      <c r="O209" s="20"/>
      <c r="P209" s="154"/>
      <c r="Q209" s="20"/>
      <c r="R209" s="154"/>
      <c r="S209" s="20"/>
      <c r="T209" s="154"/>
      <c r="U209" s="20"/>
      <c r="V209" s="154"/>
      <c r="W209" s="20"/>
      <c r="X209" s="156"/>
      <c r="Y209" s="156"/>
      <c r="Z209" s="156"/>
    </row>
    <row r="210" spans="1:26" ht="15" customHeight="1" x14ac:dyDescent="0.25">
      <c r="A210" s="59"/>
      <c r="B210" s="59"/>
      <c r="C210" s="156"/>
      <c r="D210" s="60"/>
      <c r="E210" s="156"/>
      <c r="F210" s="156"/>
      <c r="G210" s="156"/>
      <c r="H210" s="156"/>
      <c r="I210" s="156"/>
      <c r="J210" s="156"/>
      <c r="K210" s="156"/>
      <c r="L210" s="156"/>
      <c r="M210" s="157">
        <f t="shared" si="5"/>
        <v>0</v>
      </c>
      <c r="N210" s="154"/>
      <c r="O210" s="20"/>
      <c r="P210" s="154"/>
      <c r="Q210" s="20"/>
      <c r="R210" s="154"/>
      <c r="S210" s="20"/>
      <c r="T210" s="154"/>
      <c r="U210" s="20"/>
      <c r="V210" s="154"/>
      <c r="W210" s="20"/>
      <c r="X210" s="156"/>
      <c r="Y210" s="156"/>
      <c r="Z210" s="156"/>
    </row>
    <row r="211" spans="1:26" ht="15" customHeight="1" x14ac:dyDescent="0.25">
      <c r="A211" s="59"/>
      <c r="B211" s="59"/>
      <c r="C211" s="156"/>
      <c r="D211" s="60"/>
      <c r="E211" s="156"/>
      <c r="F211" s="156"/>
      <c r="G211" s="156"/>
      <c r="H211" s="156"/>
      <c r="I211" s="156"/>
      <c r="J211" s="156"/>
      <c r="K211" s="156"/>
      <c r="L211" s="156"/>
      <c r="M211" s="157">
        <f t="shared" si="5"/>
        <v>0</v>
      </c>
      <c r="N211" s="154"/>
      <c r="O211" s="20"/>
      <c r="P211" s="154"/>
      <c r="Q211" s="20"/>
      <c r="R211" s="154"/>
      <c r="S211" s="20"/>
      <c r="T211" s="154"/>
      <c r="U211" s="20"/>
      <c r="V211" s="154"/>
      <c r="W211" s="20"/>
      <c r="X211" s="156"/>
      <c r="Y211" s="156"/>
      <c r="Z211" s="156"/>
    </row>
    <row r="212" spans="1:26" ht="15" customHeight="1" x14ac:dyDescent="0.25">
      <c r="A212" s="59"/>
      <c r="B212" s="59"/>
      <c r="C212" s="156"/>
      <c r="D212" s="60"/>
      <c r="E212" s="156"/>
      <c r="F212" s="156"/>
      <c r="G212" s="156"/>
      <c r="H212" s="156"/>
      <c r="I212" s="156"/>
      <c r="J212" s="156"/>
      <c r="K212" s="156"/>
      <c r="L212" s="156"/>
      <c r="M212" s="157">
        <f t="shared" si="5"/>
        <v>0</v>
      </c>
      <c r="N212" s="154"/>
      <c r="O212" s="20"/>
      <c r="P212" s="154"/>
      <c r="Q212" s="20"/>
      <c r="R212" s="154"/>
      <c r="S212" s="20"/>
      <c r="T212" s="154"/>
      <c r="U212" s="20"/>
      <c r="V212" s="154"/>
      <c r="W212" s="20"/>
      <c r="X212" s="156"/>
      <c r="Y212" s="156"/>
      <c r="Z212" s="156"/>
    </row>
    <row r="213" spans="1:26" ht="15" customHeight="1" x14ac:dyDescent="0.25">
      <c r="A213" s="59"/>
      <c r="B213" s="59"/>
      <c r="C213" s="156"/>
      <c r="D213" s="60"/>
      <c r="E213" s="156"/>
      <c r="F213" s="156"/>
      <c r="G213" s="156"/>
      <c r="H213" s="156"/>
      <c r="I213" s="156"/>
      <c r="J213" s="156"/>
      <c r="K213" s="156"/>
      <c r="L213" s="156"/>
      <c r="M213" s="157">
        <f t="shared" si="5"/>
        <v>0</v>
      </c>
      <c r="N213" s="154"/>
      <c r="O213" s="20"/>
      <c r="P213" s="154"/>
      <c r="Q213" s="20"/>
      <c r="R213" s="154"/>
      <c r="S213" s="20"/>
      <c r="T213" s="154"/>
      <c r="U213" s="20"/>
      <c r="V213" s="154"/>
      <c r="W213" s="20"/>
      <c r="X213" s="156"/>
      <c r="Y213" s="156"/>
      <c r="Z213" s="156"/>
    </row>
    <row r="214" spans="1:26" ht="15" customHeight="1" x14ac:dyDescent="0.25">
      <c r="A214" s="59"/>
      <c r="B214" s="59"/>
      <c r="C214" s="156"/>
      <c r="D214" s="60"/>
      <c r="E214" s="156"/>
      <c r="F214" s="156"/>
      <c r="G214" s="156"/>
      <c r="H214" s="156"/>
      <c r="I214" s="156"/>
      <c r="J214" s="156"/>
      <c r="K214" s="156"/>
      <c r="L214" s="156"/>
      <c r="M214" s="157">
        <f t="shared" si="5"/>
        <v>0</v>
      </c>
      <c r="N214" s="154"/>
      <c r="O214" s="20"/>
      <c r="P214" s="154"/>
      <c r="Q214" s="20"/>
      <c r="R214" s="154"/>
      <c r="S214" s="20"/>
      <c r="T214" s="154"/>
      <c r="U214" s="20"/>
      <c r="V214" s="154"/>
      <c r="W214" s="20"/>
      <c r="X214" s="156"/>
      <c r="Y214" s="156"/>
      <c r="Z214" s="156"/>
    </row>
    <row r="215" spans="1:26" ht="15" customHeight="1" x14ac:dyDescent="0.25">
      <c r="A215" s="59"/>
      <c r="B215" s="59"/>
      <c r="C215" s="156"/>
      <c r="D215" s="60"/>
      <c r="E215" s="156"/>
      <c r="F215" s="156"/>
      <c r="G215" s="156"/>
      <c r="H215" s="156"/>
      <c r="I215" s="156"/>
      <c r="J215" s="156"/>
      <c r="K215" s="156"/>
      <c r="L215" s="156"/>
      <c r="M215" s="157">
        <f t="shared" si="5"/>
        <v>0</v>
      </c>
      <c r="N215" s="154"/>
      <c r="O215" s="20"/>
      <c r="P215" s="154"/>
      <c r="Q215" s="20"/>
      <c r="R215" s="154"/>
      <c r="S215" s="20"/>
      <c r="T215" s="154"/>
      <c r="U215" s="20"/>
      <c r="V215" s="154"/>
      <c r="W215" s="20"/>
      <c r="X215" s="156"/>
      <c r="Y215" s="156"/>
      <c r="Z215" s="156"/>
    </row>
    <row r="216" spans="1:26" ht="15" customHeight="1" x14ac:dyDescent="0.25">
      <c r="A216" s="59"/>
      <c r="B216" s="59"/>
      <c r="C216" s="156"/>
      <c r="D216" s="60"/>
      <c r="E216" s="156"/>
      <c r="F216" s="156"/>
      <c r="G216" s="156"/>
      <c r="H216" s="156"/>
      <c r="I216" s="156"/>
      <c r="J216" s="156"/>
      <c r="K216" s="156"/>
      <c r="L216" s="156"/>
      <c r="M216" s="157">
        <f t="shared" si="5"/>
        <v>0</v>
      </c>
      <c r="N216" s="154"/>
      <c r="O216" s="20"/>
      <c r="P216" s="154"/>
      <c r="Q216" s="20"/>
      <c r="R216" s="154"/>
      <c r="S216" s="20"/>
      <c r="T216" s="154"/>
      <c r="U216" s="20"/>
      <c r="V216" s="154"/>
      <c r="W216" s="20"/>
      <c r="X216" s="156"/>
      <c r="Y216" s="156"/>
      <c r="Z216" s="156"/>
    </row>
    <row r="217" spans="1:26" ht="15" customHeight="1" x14ac:dyDescent="0.25">
      <c r="A217" s="59"/>
      <c r="B217" s="59"/>
      <c r="C217" s="156"/>
      <c r="D217" s="60"/>
      <c r="E217" s="156"/>
      <c r="F217" s="156"/>
      <c r="G217" s="156"/>
      <c r="H217" s="156"/>
      <c r="I217" s="156"/>
      <c r="J217" s="156"/>
      <c r="K217" s="156"/>
      <c r="L217" s="156"/>
      <c r="M217" s="157">
        <f t="shared" si="5"/>
        <v>0</v>
      </c>
      <c r="N217" s="154"/>
      <c r="O217" s="20"/>
      <c r="P217" s="154"/>
      <c r="Q217" s="20"/>
      <c r="R217" s="154"/>
      <c r="S217" s="20"/>
      <c r="T217" s="154"/>
      <c r="U217" s="20"/>
      <c r="V217" s="154"/>
      <c r="W217" s="20"/>
      <c r="X217" s="156"/>
      <c r="Y217" s="156"/>
      <c r="Z217" s="156"/>
    </row>
    <row r="218" spans="1:26" ht="15" customHeight="1" x14ac:dyDescent="0.25">
      <c r="A218" s="59"/>
      <c r="B218" s="59"/>
      <c r="C218" s="156"/>
      <c r="D218" s="60"/>
      <c r="E218" s="156"/>
      <c r="F218" s="156"/>
      <c r="G218" s="156"/>
      <c r="H218" s="156"/>
      <c r="I218" s="156"/>
      <c r="J218" s="156"/>
      <c r="K218" s="156"/>
      <c r="L218" s="156"/>
      <c r="M218" s="157">
        <f t="shared" si="5"/>
        <v>0</v>
      </c>
      <c r="N218" s="154"/>
      <c r="O218" s="20"/>
      <c r="P218" s="154"/>
      <c r="Q218" s="20"/>
      <c r="R218" s="154"/>
      <c r="S218" s="20"/>
      <c r="T218" s="154"/>
      <c r="U218" s="20"/>
      <c r="V218" s="154"/>
      <c r="W218" s="20"/>
      <c r="X218" s="156"/>
      <c r="Y218" s="156"/>
      <c r="Z218" s="156"/>
    </row>
    <row r="219" spans="1:26" ht="15" customHeight="1" x14ac:dyDescent="0.25">
      <c r="A219" s="59"/>
      <c r="B219" s="59"/>
      <c r="C219" s="156"/>
      <c r="D219" s="60"/>
      <c r="E219" s="156"/>
      <c r="F219" s="156"/>
      <c r="G219" s="156"/>
      <c r="H219" s="156"/>
      <c r="I219" s="156"/>
      <c r="J219" s="156"/>
      <c r="K219" s="156"/>
      <c r="L219" s="156"/>
      <c r="M219" s="157">
        <f t="shared" si="5"/>
        <v>0</v>
      </c>
      <c r="N219" s="154"/>
      <c r="O219" s="20"/>
      <c r="P219" s="154"/>
      <c r="Q219" s="20"/>
      <c r="R219" s="154"/>
      <c r="S219" s="20"/>
      <c r="T219" s="154"/>
      <c r="U219" s="20"/>
      <c r="V219" s="154"/>
      <c r="W219" s="20"/>
      <c r="X219" s="156"/>
      <c r="Y219" s="156"/>
      <c r="Z219" s="156"/>
    </row>
    <row r="220" spans="1:26" ht="15" customHeight="1" x14ac:dyDescent="0.25">
      <c r="A220" s="59"/>
      <c r="B220" s="59"/>
      <c r="C220" s="156"/>
      <c r="D220" s="60"/>
      <c r="E220" s="156"/>
      <c r="F220" s="156"/>
      <c r="G220" s="156"/>
      <c r="H220" s="156"/>
      <c r="I220" s="156"/>
      <c r="J220" s="156"/>
      <c r="K220" s="156"/>
      <c r="L220" s="156"/>
      <c r="M220" s="157">
        <f t="shared" si="5"/>
        <v>0</v>
      </c>
      <c r="N220" s="154"/>
      <c r="O220" s="20"/>
      <c r="P220" s="154"/>
      <c r="Q220" s="20"/>
      <c r="R220" s="154"/>
      <c r="S220" s="20"/>
      <c r="T220" s="154"/>
      <c r="U220" s="20"/>
      <c r="V220" s="154"/>
      <c r="W220" s="20"/>
      <c r="X220" s="156"/>
      <c r="Y220" s="156"/>
      <c r="Z220" s="156"/>
    </row>
    <row r="221" spans="1:26" ht="15" customHeight="1" x14ac:dyDescent="0.25">
      <c r="A221" s="59"/>
      <c r="B221" s="59"/>
      <c r="C221" s="156"/>
      <c r="D221" s="60"/>
      <c r="E221" s="156"/>
      <c r="F221" s="156"/>
      <c r="G221" s="156"/>
      <c r="H221" s="156"/>
      <c r="I221" s="156"/>
      <c r="J221" s="156"/>
      <c r="K221" s="156"/>
      <c r="L221" s="156"/>
      <c r="M221" s="157">
        <f t="shared" si="5"/>
        <v>0</v>
      </c>
      <c r="N221" s="154"/>
      <c r="O221" s="20"/>
      <c r="P221" s="154"/>
      <c r="Q221" s="20"/>
      <c r="R221" s="154"/>
      <c r="S221" s="20"/>
      <c r="T221" s="154"/>
      <c r="U221" s="20"/>
      <c r="V221" s="154"/>
      <c r="W221" s="20"/>
      <c r="X221" s="156"/>
      <c r="Y221" s="156"/>
      <c r="Z221" s="156"/>
    </row>
    <row r="222" spans="1:26" ht="15" customHeight="1" x14ac:dyDescent="0.25">
      <c r="A222" s="59"/>
      <c r="B222" s="59"/>
      <c r="C222" s="156"/>
      <c r="D222" s="60"/>
      <c r="E222" s="156"/>
      <c r="F222" s="156"/>
      <c r="G222" s="156"/>
      <c r="H222" s="156"/>
      <c r="I222" s="156"/>
      <c r="J222" s="156"/>
      <c r="K222" s="156"/>
      <c r="L222" s="156"/>
      <c r="M222" s="157">
        <f t="shared" si="5"/>
        <v>0</v>
      </c>
      <c r="N222" s="154"/>
      <c r="O222" s="20"/>
      <c r="P222" s="154"/>
      <c r="Q222" s="20"/>
      <c r="R222" s="154"/>
      <c r="S222" s="20"/>
      <c r="T222" s="154"/>
      <c r="U222" s="20"/>
      <c r="V222" s="154"/>
      <c r="W222" s="20"/>
      <c r="X222" s="156"/>
      <c r="Y222" s="156"/>
      <c r="Z222" s="156"/>
    </row>
    <row r="223" spans="1:26" ht="15" customHeight="1" x14ac:dyDescent="0.25">
      <c r="A223" s="59"/>
      <c r="B223" s="59"/>
      <c r="C223" s="156"/>
      <c r="D223" s="60"/>
      <c r="E223" s="156"/>
      <c r="F223" s="156"/>
      <c r="G223" s="156"/>
      <c r="H223" s="156"/>
      <c r="I223" s="156"/>
      <c r="J223" s="156"/>
      <c r="K223" s="156"/>
      <c r="L223" s="156"/>
      <c r="M223" s="157">
        <f t="shared" si="5"/>
        <v>0</v>
      </c>
      <c r="N223" s="154"/>
      <c r="O223" s="20"/>
      <c r="P223" s="154"/>
      <c r="Q223" s="20"/>
      <c r="R223" s="154"/>
      <c r="S223" s="20"/>
      <c r="T223" s="154"/>
      <c r="U223" s="20"/>
      <c r="V223" s="154"/>
      <c r="W223" s="20"/>
      <c r="X223" s="156"/>
      <c r="Y223" s="156"/>
      <c r="Z223" s="156"/>
    </row>
    <row r="224" spans="1:26" ht="15" customHeight="1" x14ac:dyDescent="0.25">
      <c r="A224" s="59"/>
      <c r="B224" s="59"/>
      <c r="C224" s="156"/>
      <c r="D224" s="60"/>
      <c r="E224" s="156"/>
      <c r="F224" s="156"/>
      <c r="G224" s="156"/>
      <c r="H224" s="156"/>
      <c r="I224" s="156"/>
      <c r="J224" s="156"/>
      <c r="K224" s="156"/>
      <c r="L224" s="156"/>
      <c r="M224" s="157">
        <f t="shared" si="5"/>
        <v>0</v>
      </c>
      <c r="N224" s="154"/>
      <c r="O224" s="20"/>
      <c r="P224" s="154"/>
      <c r="Q224" s="20"/>
      <c r="R224" s="154"/>
      <c r="S224" s="20"/>
      <c r="T224" s="154"/>
      <c r="U224" s="20"/>
      <c r="V224" s="154"/>
      <c r="W224" s="20"/>
      <c r="X224" s="156"/>
      <c r="Y224" s="156"/>
      <c r="Z224" s="156"/>
    </row>
    <row r="225" spans="1:26" ht="15" customHeight="1" x14ac:dyDescent="0.25">
      <c r="A225" s="59"/>
      <c r="B225" s="59"/>
      <c r="C225" s="156"/>
      <c r="D225" s="60"/>
      <c r="E225" s="156"/>
      <c r="F225" s="156"/>
      <c r="G225" s="156"/>
      <c r="H225" s="156"/>
      <c r="I225" s="156"/>
      <c r="J225" s="156"/>
      <c r="K225" s="156"/>
      <c r="L225" s="156"/>
      <c r="M225" s="157">
        <f t="shared" si="5"/>
        <v>0</v>
      </c>
      <c r="N225" s="154"/>
      <c r="O225" s="20"/>
      <c r="P225" s="154"/>
      <c r="Q225" s="20"/>
      <c r="R225" s="154"/>
      <c r="S225" s="20"/>
      <c r="T225" s="154"/>
      <c r="U225" s="20"/>
      <c r="V225" s="154"/>
      <c r="W225" s="20"/>
      <c r="X225" s="156"/>
      <c r="Y225" s="156"/>
      <c r="Z225" s="156"/>
    </row>
    <row r="226" spans="1:26" ht="15" customHeight="1" x14ac:dyDescent="0.25">
      <c r="A226" s="59"/>
      <c r="B226" s="59"/>
      <c r="C226" s="156"/>
      <c r="D226" s="60"/>
      <c r="E226" s="156"/>
      <c r="F226" s="156"/>
      <c r="G226" s="156"/>
      <c r="H226" s="156"/>
      <c r="I226" s="156"/>
      <c r="J226" s="156"/>
      <c r="K226" s="156"/>
      <c r="L226" s="156"/>
      <c r="M226" s="157">
        <f t="shared" si="5"/>
        <v>0</v>
      </c>
      <c r="N226" s="154"/>
      <c r="O226" s="20"/>
      <c r="P226" s="154"/>
      <c r="Q226" s="20"/>
      <c r="R226" s="154"/>
      <c r="S226" s="20"/>
      <c r="T226" s="154"/>
      <c r="U226" s="20"/>
      <c r="V226" s="154"/>
      <c r="W226" s="20"/>
      <c r="X226" s="156"/>
      <c r="Y226" s="156"/>
      <c r="Z226" s="156"/>
    </row>
    <row r="227" spans="1:26" ht="15" customHeight="1" x14ac:dyDescent="0.25">
      <c r="A227" s="59"/>
      <c r="B227" s="59"/>
      <c r="C227" s="156"/>
      <c r="D227" s="60"/>
      <c r="E227" s="156"/>
      <c r="F227" s="156"/>
      <c r="G227" s="156"/>
      <c r="H227" s="156"/>
      <c r="I227" s="156"/>
      <c r="J227" s="156"/>
      <c r="K227" s="156"/>
      <c r="L227" s="156"/>
      <c r="M227" s="157">
        <f t="shared" si="5"/>
        <v>0</v>
      </c>
      <c r="N227" s="154"/>
      <c r="O227" s="20"/>
      <c r="P227" s="154"/>
      <c r="Q227" s="20"/>
      <c r="R227" s="154"/>
      <c r="S227" s="20"/>
      <c r="T227" s="154"/>
      <c r="U227" s="20"/>
      <c r="V227" s="154"/>
      <c r="W227" s="20"/>
      <c r="X227" s="156"/>
      <c r="Y227" s="156"/>
      <c r="Z227" s="156"/>
    </row>
    <row r="228" spans="1:26" ht="15" customHeight="1" x14ac:dyDescent="0.25">
      <c r="A228" s="59"/>
      <c r="B228" s="59"/>
      <c r="C228" s="156"/>
      <c r="D228" s="60"/>
      <c r="E228" s="156"/>
      <c r="F228" s="156"/>
      <c r="G228" s="156"/>
      <c r="H228" s="156"/>
      <c r="I228" s="156"/>
      <c r="J228" s="156"/>
      <c r="K228" s="156"/>
      <c r="L228" s="156"/>
      <c r="M228" s="157">
        <f t="shared" si="5"/>
        <v>0</v>
      </c>
      <c r="N228" s="154"/>
      <c r="O228" s="20"/>
      <c r="P228" s="154"/>
      <c r="Q228" s="20"/>
      <c r="R228" s="154"/>
      <c r="S228" s="20"/>
      <c r="T228" s="154"/>
      <c r="U228" s="20"/>
      <c r="V228" s="154"/>
      <c r="W228" s="20"/>
      <c r="X228" s="156"/>
      <c r="Y228" s="156"/>
      <c r="Z228" s="156"/>
    </row>
    <row r="229" spans="1:26" ht="15" customHeight="1" x14ac:dyDescent="0.25">
      <c r="A229" s="59"/>
      <c r="B229" s="59"/>
      <c r="C229" s="156"/>
      <c r="D229" s="60"/>
      <c r="E229" s="156"/>
      <c r="F229" s="156"/>
      <c r="G229" s="156"/>
      <c r="H229" s="156"/>
      <c r="I229" s="156"/>
      <c r="J229" s="156"/>
      <c r="K229" s="156"/>
      <c r="L229" s="156"/>
      <c r="M229" s="157">
        <f t="shared" si="5"/>
        <v>0</v>
      </c>
      <c r="N229" s="154"/>
      <c r="O229" s="20"/>
      <c r="P229" s="154"/>
      <c r="Q229" s="20"/>
      <c r="R229" s="154"/>
      <c r="S229" s="20"/>
      <c r="T229" s="154"/>
      <c r="U229" s="20"/>
      <c r="V229" s="154"/>
      <c r="W229" s="20"/>
      <c r="X229" s="156"/>
      <c r="Y229" s="156"/>
      <c r="Z229" s="156"/>
    </row>
    <row r="230" spans="1:26" ht="15" customHeight="1" x14ac:dyDescent="0.25">
      <c r="A230" s="59"/>
      <c r="B230" s="59"/>
      <c r="C230" s="156"/>
      <c r="D230" s="60"/>
      <c r="E230" s="156"/>
      <c r="F230" s="156"/>
      <c r="G230" s="156"/>
      <c r="H230" s="156"/>
      <c r="I230" s="156"/>
      <c r="J230" s="156"/>
      <c r="K230" s="156"/>
      <c r="L230" s="156"/>
      <c r="M230" s="157">
        <f t="shared" si="5"/>
        <v>0</v>
      </c>
      <c r="N230" s="154"/>
      <c r="O230" s="20"/>
      <c r="P230" s="154"/>
      <c r="Q230" s="20"/>
      <c r="R230" s="154"/>
      <c r="S230" s="20"/>
      <c r="T230" s="154"/>
      <c r="U230" s="20"/>
      <c r="V230" s="154"/>
      <c r="W230" s="20"/>
      <c r="X230" s="156"/>
      <c r="Y230" s="156"/>
      <c r="Z230" s="156"/>
    </row>
    <row r="231" spans="1:26" ht="15" customHeight="1" x14ac:dyDescent="0.25">
      <c r="A231" s="59"/>
      <c r="B231" s="59"/>
      <c r="C231" s="156"/>
      <c r="D231" s="60"/>
      <c r="E231" s="156"/>
      <c r="F231" s="156"/>
      <c r="G231" s="156"/>
      <c r="H231" s="156"/>
      <c r="I231" s="156"/>
      <c r="J231" s="156"/>
      <c r="K231" s="156"/>
      <c r="L231" s="156"/>
      <c r="M231" s="157">
        <f t="shared" si="5"/>
        <v>0</v>
      </c>
      <c r="N231" s="154"/>
      <c r="O231" s="20"/>
      <c r="P231" s="154"/>
      <c r="Q231" s="20"/>
      <c r="R231" s="154"/>
      <c r="S231" s="20"/>
      <c r="T231" s="154"/>
      <c r="U231" s="20"/>
      <c r="V231" s="154"/>
      <c r="W231" s="20"/>
      <c r="X231" s="156"/>
      <c r="Y231" s="156"/>
      <c r="Z231" s="156"/>
    </row>
    <row r="232" spans="1:26" ht="15" customHeight="1" x14ac:dyDescent="0.25">
      <c r="A232" s="59"/>
      <c r="B232" s="59"/>
      <c r="C232" s="156"/>
      <c r="D232" s="60"/>
      <c r="E232" s="156"/>
      <c r="F232" s="156"/>
      <c r="G232" s="156"/>
      <c r="H232" s="156"/>
      <c r="I232" s="156"/>
      <c r="J232" s="156"/>
      <c r="K232" s="156"/>
      <c r="L232" s="156"/>
      <c r="M232" s="157">
        <f t="shared" si="5"/>
        <v>0</v>
      </c>
      <c r="N232" s="154"/>
      <c r="O232" s="20"/>
      <c r="P232" s="154"/>
      <c r="Q232" s="20"/>
      <c r="R232" s="154"/>
      <c r="S232" s="20"/>
      <c r="T232" s="154"/>
      <c r="U232" s="20"/>
      <c r="V232" s="154"/>
      <c r="W232" s="20"/>
      <c r="X232" s="156"/>
      <c r="Y232" s="156"/>
      <c r="Z232" s="156"/>
    </row>
    <row r="233" spans="1:26" ht="15" customHeight="1" x14ac:dyDescent="0.25">
      <c r="A233" s="59"/>
      <c r="B233" s="59"/>
      <c r="C233" s="156"/>
      <c r="D233" s="60"/>
      <c r="E233" s="156"/>
      <c r="F233" s="156"/>
      <c r="G233" s="156"/>
      <c r="H233" s="156"/>
      <c r="I233" s="156"/>
      <c r="J233" s="156"/>
      <c r="K233" s="156"/>
      <c r="L233" s="156"/>
      <c r="M233" s="157">
        <f t="shared" si="5"/>
        <v>0</v>
      </c>
      <c r="N233" s="154"/>
      <c r="O233" s="20"/>
      <c r="P233" s="154"/>
      <c r="Q233" s="20"/>
      <c r="R233" s="154"/>
      <c r="S233" s="20"/>
      <c r="T233" s="154"/>
      <c r="U233" s="20"/>
      <c r="V233" s="154"/>
      <c r="W233" s="20"/>
      <c r="X233" s="156"/>
      <c r="Y233" s="156"/>
      <c r="Z233" s="156"/>
    </row>
    <row r="234" spans="1:26" ht="15" customHeight="1" x14ac:dyDescent="0.25">
      <c r="A234" s="59"/>
      <c r="B234" s="59"/>
      <c r="C234" s="156"/>
      <c r="D234" s="60"/>
      <c r="E234" s="156"/>
      <c r="F234" s="156"/>
      <c r="G234" s="156"/>
      <c r="H234" s="156"/>
      <c r="I234" s="156"/>
      <c r="J234" s="156"/>
      <c r="K234" s="156"/>
      <c r="L234" s="156"/>
      <c r="M234" s="157">
        <f t="shared" si="5"/>
        <v>0</v>
      </c>
      <c r="N234" s="154"/>
      <c r="O234" s="20"/>
      <c r="P234" s="154"/>
      <c r="Q234" s="20"/>
      <c r="R234" s="154"/>
      <c r="S234" s="20"/>
      <c r="T234" s="154"/>
      <c r="U234" s="20"/>
      <c r="V234" s="154"/>
      <c r="W234" s="20"/>
      <c r="X234" s="156"/>
      <c r="Y234" s="156"/>
      <c r="Z234" s="156"/>
    </row>
    <row r="235" spans="1:26" ht="15" customHeight="1" x14ac:dyDescent="0.25">
      <c r="A235" s="59"/>
      <c r="B235" s="59"/>
      <c r="C235" s="156"/>
      <c r="D235" s="60"/>
      <c r="E235" s="156"/>
      <c r="F235" s="156"/>
      <c r="G235" s="156"/>
      <c r="H235" s="156"/>
      <c r="I235" s="156"/>
      <c r="J235" s="156"/>
      <c r="K235" s="156"/>
      <c r="L235" s="156"/>
      <c r="M235" s="157">
        <f t="shared" si="5"/>
        <v>0</v>
      </c>
      <c r="N235" s="154"/>
      <c r="O235" s="20"/>
      <c r="P235" s="154"/>
      <c r="Q235" s="20"/>
      <c r="R235" s="154"/>
      <c r="S235" s="20"/>
      <c r="T235" s="154"/>
      <c r="U235" s="20"/>
      <c r="V235" s="154"/>
      <c r="W235" s="20"/>
      <c r="X235" s="156"/>
      <c r="Y235" s="156"/>
      <c r="Z235" s="156"/>
    </row>
    <row r="236" spans="1:26" ht="15" customHeight="1" x14ac:dyDescent="0.25">
      <c r="A236" s="59"/>
      <c r="B236" s="59"/>
      <c r="C236" s="156"/>
      <c r="D236" s="60"/>
      <c r="E236" s="156"/>
      <c r="F236" s="156"/>
      <c r="G236" s="156"/>
      <c r="H236" s="156"/>
      <c r="I236" s="156"/>
      <c r="J236" s="156"/>
      <c r="K236" s="156"/>
      <c r="L236" s="156"/>
      <c r="M236" s="157">
        <f t="shared" si="5"/>
        <v>0</v>
      </c>
      <c r="N236" s="154"/>
      <c r="O236" s="20"/>
      <c r="P236" s="154"/>
      <c r="Q236" s="20"/>
      <c r="R236" s="154"/>
      <c r="S236" s="20"/>
      <c r="T236" s="154"/>
      <c r="U236" s="20"/>
      <c r="V236" s="154"/>
      <c r="W236" s="20"/>
      <c r="X236" s="156"/>
      <c r="Y236" s="156"/>
      <c r="Z236" s="156"/>
    </row>
    <row r="237" spans="1:26" ht="15" customHeight="1" x14ac:dyDescent="0.25">
      <c r="A237" s="59"/>
      <c r="B237" s="59"/>
      <c r="C237" s="156"/>
      <c r="D237" s="60"/>
      <c r="E237" s="156"/>
      <c r="F237" s="156"/>
      <c r="G237" s="156"/>
      <c r="H237" s="156"/>
      <c r="I237" s="156"/>
      <c r="J237" s="156"/>
      <c r="K237" s="156"/>
      <c r="L237" s="156"/>
      <c r="M237" s="157">
        <f t="shared" si="5"/>
        <v>0</v>
      </c>
      <c r="N237" s="154"/>
      <c r="O237" s="20"/>
      <c r="P237" s="154"/>
      <c r="Q237" s="20"/>
      <c r="R237" s="154"/>
      <c r="S237" s="20"/>
      <c r="T237" s="154"/>
      <c r="U237" s="20"/>
      <c r="V237" s="154"/>
      <c r="W237" s="20"/>
      <c r="X237" s="156"/>
      <c r="Y237" s="156"/>
      <c r="Z237" s="156"/>
    </row>
    <row r="238" spans="1:26" ht="15" customHeight="1" x14ac:dyDescent="0.25">
      <c r="A238" s="59"/>
      <c r="B238" s="59"/>
      <c r="C238" s="156"/>
      <c r="D238" s="60"/>
      <c r="E238" s="156"/>
      <c r="F238" s="156"/>
      <c r="G238" s="156"/>
      <c r="H238" s="156"/>
      <c r="I238" s="156"/>
      <c r="J238" s="156"/>
      <c r="K238" s="156"/>
      <c r="L238" s="156"/>
      <c r="M238" s="157">
        <f t="shared" si="5"/>
        <v>0</v>
      </c>
      <c r="N238" s="154"/>
      <c r="O238" s="20"/>
      <c r="P238" s="154"/>
      <c r="Q238" s="20"/>
      <c r="R238" s="154"/>
      <c r="S238" s="20"/>
      <c r="T238" s="154"/>
      <c r="U238" s="20"/>
      <c r="V238" s="154"/>
      <c r="W238" s="20"/>
      <c r="X238" s="156"/>
      <c r="Y238" s="156"/>
      <c r="Z238" s="156"/>
    </row>
    <row r="239" spans="1:26" ht="15" customHeight="1" x14ac:dyDescent="0.25">
      <c r="A239" s="59"/>
      <c r="B239" s="59"/>
      <c r="C239" s="156"/>
      <c r="D239" s="60"/>
      <c r="E239" s="156"/>
      <c r="F239" s="156"/>
      <c r="G239" s="156"/>
      <c r="H239" s="156"/>
      <c r="I239" s="156"/>
      <c r="J239" s="156"/>
      <c r="K239" s="156"/>
      <c r="L239" s="156"/>
      <c r="M239" s="157">
        <f t="shared" si="5"/>
        <v>0</v>
      </c>
      <c r="N239" s="154"/>
      <c r="O239" s="20"/>
      <c r="P239" s="154"/>
      <c r="Q239" s="20"/>
      <c r="R239" s="154"/>
      <c r="S239" s="20"/>
      <c r="T239" s="154"/>
      <c r="U239" s="20"/>
      <c r="V239" s="154"/>
      <c r="W239" s="20"/>
      <c r="X239" s="156"/>
      <c r="Y239" s="156"/>
      <c r="Z239" s="156"/>
    </row>
    <row r="240" spans="1:26" ht="15" customHeight="1" x14ac:dyDescent="0.25">
      <c r="A240" s="59"/>
      <c r="B240" s="59"/>
      <c r="C240" s="156"/>
      <c r="D240" s="60"/>
      <c r="E240" s="156"/>
      <c r="F240" s="156"/>
      <c r="G240" s="156"/>
      <c r="H240" s="156"/>
      <c r="I240" s="156"/>
      <c r="J240" s="156"/>
      <c r="K240" s="156"/>
      <c r="L240" s="156"/>
      <c r="M240" s="157">
        <f t="shared" si="5"/>
        <v>0</v>
      </c>
      <c r="N240" s="154"/>
      <c r="O240" s="20"/>
      <c r="P240" s="154"/>
      <c r="Q240" s="20"/>
      <c r="R240" s="154"/>
      <c r="S240" s="20"/>
      <c r="T240" s="154"/>
      <c r="U240" s="20"/>
      <c r="V240" s="154"/>
      <c r="W240" s="20"/>
      <c r="X240" s="156"/>
      <c r="Y240" s="156"/>
      <c r="Z240" s="156"/>
    </row>
    <row r="241" spans="1:26" ht="15" customHeight="1" x14ac:dyDescent="0.25">
      <c r="A241" s="59"/>
      <c r="B241" s="59"/>
      <c r="C241" s="156"/>
      <c r="D241" s="60"/>
      <c r="E241" s="156"/>
      <c r="F241" s="156"/>
      <c r="G241" s="156"/>
      <c r="H241" s="156"/>
      <c r="I241" s="156"/>
      <c r="J241" s="156"/>
      <c r="K241" s="156"/>
      <c r="L241" s="156"/>
      <c r="M241" s="157">
        <f t="shared" si="5"/>
        <v>0</v>
      </c>
      <c r="N241" s="154"/>
      <c r="O241" s="20"/>
      <c r="P241" s="154"/>
      <c r="Q241" s="20"/>
      <c r="R241" s="154"/>
      <c r="S241" s="20"/>
      <c r="T241" s="154"/>
      <c r="U241" s="20"/>
      <c r="V241" s="154"/>
      <c r="W241" s="20"/>
      <c r="X241" s="156"/>
      <c r="Y241" s="156"/>
      <c r="Z241" s="156"/>
    </row>
    <row r="242" spans="1:26" ht="15" customHeight="1" x14ac:dyDescent="0.25">
      <c r="A242" s="59"/>
      <c r="B242" s="59"/>
      <c r="C242" s="156"/>
      <c r="D242" s="60"/>
      <c r="E242" s="156"/>
      <c r="F242" s="156"/>
      <c r="G242" s="156"/>
      <c r="H242" s="156"/>
      <c r="I242" s="156"/>
      <c r="J242" s="156"/>
      <c r="K242" s="156"/>
      <c r="L242" s="156"/>
      <c r="M242" s="157">
        <f t="shared" si="5"/>
        <v>0</v>
      </c>
      <c r="N242" s="154"/>
      <c r="O242" s="20"/>
      <c r="P242" s="154"/>
      <c r="Q242" s="20"/>
      <c r="R242" s="154"/>
      <c r="S242" s="20"/>
      <c r="T242" s="154"/>
      <c r="U242" s="20"/>
      <c r="V242" s="154"/>
      <c r="W242" s="20"/>
      <c r="X242" s="156"/>
      <c r="Y242" s="156"/>
      <c r="Z242" s="156"/>
    </row>
    <row r="243" spans="1:26" ht="15" customHeight="1" x14ac:dyDescent="0.25">
      <c r="A243" s="59"/>
      <c r="B243" s="59"/>
      <c r="C243" s="156"/>
      <c r="D243" s="60"/>
      <c r="E243" s="156"/>
      <c r="F243" s="156"/>
      <c r="G243" s="156"/>
      <c r="H243" s="156"/>
      <c r="I243" s="156"/>
      <c r="J243" s="156"/>
      <c r="K243" s="156"/>
      <c r="L243" s="156"/>
      <c r="M243" s="157">
        <f t="shared" si="5"/>
        <v>0</v>
      </c>
      <c r="N243" s="154"/>
      <c r="O243" s="20"/>
      <c r="P243" s="154"/>
      <c r="Q243" s="20"/>
      <c r="R243" s="154"/>
      <c r="S243" s="20"/>
      <c r="T243" s="154"/>
      <c r="U243" s="20"/>
      <c r="V243" s="154"/>
      <c r="W243" s="20"/>
      <c r="X243" s="156"/>
      <c r="Y243" s="156"/>
      <c r="Z243" s="156"/>
    </row>
    <row r="244" spans="1:26" ht="15" customHeight="1" x14ac:dyDescent="0.25">
      <c r="A244" s="59"/>
      <c r="B244" s="59"/>
      <c r="C244" s="156"/>
      <c r="D244" s="60"/>
      <c r="E244" s="156"/>
      <c r="F244" s="156"/>
      <c r="G244" s="156"/>
      <c r="H244" s="156"/>
      <c r="I244" s="156"/>
      <c r="J244" s="156"/>
      <c r="K244" s="156"/>
      <c r="L244" s="156"/>
      <c r="M244" s="157">
        <f t="shared" si="5"/>
        <v>0</v>
      </c>
      <c r="N244" s="154"/>
      <c r="O244" s="20"/>
      <c r="P244" s="154"/>
      <c r="Q244" s="20"/>
      <c r="R244" s="154"/>
      <c r="S244" s="20"/>
      <c r="T244" s="154"/>
      <c r="U244" s="20"/>
      <c r="V244" s="154"/>
      <c r="W244" s="20"/>
      <c r="X244" s="156"/>
      <c r="Y244" s="156"/>
      <c r="Z244" s="156"/>
    </row>
    <row r="245" spans="1:26" ht="15" customHeight="1" x14ac:dyDescent="0.25">
      <c r="A245" s="59"/>
      <c r="B245" s="59"/>
      <c r="C245" s="156"/>
      <c r="D245" s="60"/>
      <c r="E245" s="156"/>
      <c r="F245" s="156"/>
      <c r="G245" s="156"/>
      <c r="H245" s="156"/>
      <c r="I245" s="156"/>
      <c r="J245" s="156"/>
      <c r="K245" s="156"/>
      <c r="L245" s="156"/>
      <c r="M245" s="157">
        <f t="shared" si="5"/>
        <v>0</v>
      </c>
      <c r="N245" s="154"/>
      <c r="O245" s="20"/>
      <c r="P245" s="154"/>
      <c r="Q245" s="20"/>
      <c r="R245" s="154"/>
      <c r="S245" s="20"/>
      <c r="T245" s="154"/>
      <c r="U245" s="20"/>
      <c r="V245" s="154"/>
      <c r="W245" s="20"/>
      <c r="X245" s="156"/>
      <c r="Y245" s="156"/>
      <c r="Z245" s="156"/>
    </row>
    <row r="246" spans="1:26" ht="15" customHeight="1" x14ac:dyDescent="0.25">
      <c r="A246" s="59"/>
      <c r="B246" s="59"/>
      <c r="C246" s="156"/>
      <c r="D246" s="60"/>
      <c r="E246" s="156"/>
      <c r="F246" s="156"/>
      <c r="G246" s="156"/>
      <c r="H246" s="156"/>
      <c r="I246" s="156"/>
      <c r="J246" s="156"/>
      <c r="K246" s="156"/>
      <c r="L246" s="156"/>
      <c r="M246" s="157">
        <f t="shared" si="5"/>
        <v>0</v>
      </c>
      <c r="N246" s="154"/>
      <c r="O246" s="20"/>
      <c r="P246" s="154"/>
      <c r="Q246" s="20"/>
      <c r="R246" s="154"/>
      <c r="S246" s="20"/>
      <c r="T246" s="154"/>
      <c r="U246" s="20"/>
      <c r="V246" s="154"/>
      <c r="W246" s="20"/>
      <c r="X246" s="156"/>
      <c r="Y246" s="156"/>
      <c r="Z246" s="156"/>
    </row>
    <row r="247" spans="1:26" ht="15" customHeight="1" x14ac:dyDescent="0.25">
      <c r="A247" s="59"/>
      <c r="B247" s="59"/>
      <c r="C247" s="156"/>
      <c r="D247" s="60"/>
      <c r="E247" s="156"/>
      <c r="F247" s="156"/>
      <c r="G247" s="156"/>
      <c r="H247" s="156"/>
      <c r="I247" s="156"/>
      <c r="J247" s="156"/>
      <c r="K247" s="156"/>
      <c r="L247" s="156"/>
      <c r="M247" s="157">
        <f t="shared" si="5"/>
        <v>0</v>
      </c>
      <c r="N247" s="154"/>
      <c r="O247" s="20"/>
      <c r="P247" s="154"/>
      <c r="Q247" s="20"/>
      <c r="R247" s="154"/>
      <c r="S247" s="20"/>
      <c r="T247" s="154"/>
      <c r="U247" s="20"/>
      <c r="V247" s="154"/>
      <c r="W247" s="20"/>
      <c r="X247" s="156"/>
      <c r="Y247" s="156"/>
      <c r="Z247" s="156"/>
    </row>
    <row r="248" spans="1:26" ht="15" customHeight="1" x14ac:dyDescent="0.25">
      <c r="A248" s="59"/>
      <c r="B248" s="59"/>
      <c r="C248" s="156"/>
      <c r="D248" s="60"/>
      <c r="E248" s="156"/>
      <c r="F248" s="156"/>
      <c r="G248" s="156"/>
      <c r="H248" s="156"/>
      <c r="I248" s="156"/>
      <c r="J248" s="156"/>
      <c r="K248" s="156"/>
      <c r="L248" s="156"/>
      <c r="M248" s="157">
        <f t="shared" si="5"/>
        <v>0</v>
      </c>
      <c r="N248" s="154"/>
      <c r="O248" s="20"/>
      <c r="P248" s="154"/>
      <c r="Q248" s="20"/>
      <c r="R248" s="154"/>
      <c r="S248" s="20"/>
      <c r="T248" s="154"/>
      <c r="U248" s="20"/>
      <c r="V248" s="154"/>
      <c r="W248" s="20"/>
      <c r="X248" s="156"/>
      <c r="Y248" s="156"/>
      <c r="Z248" s="156"/>
    </row>
    <row r="249" spans="1:26" ht="15" customHeight="1" x14ac:dyDescent="0.25">
      <c r="A249" s="59"/>
      <c r="B249" s="59"/>
      <c r="C249" s="156"/>
      <c r="D249" s="60"/>
      <c r="E249" s="156"/>
      <c r="F249" s="156"/>
      <c r="G249" s="156"/>
      <c r="H249" s="156"/>
      <c r="I249" s="156"/>
      <c r="J249" s="156"/>
      <c r="K249" s="156"/>
      <c r="L249" s="156"/>
      <c r="M249" s="157">
        <f t="shared" si="5"/>
        <v>0</v>
      </c>
      <c r="N249" s="154"/>
      <c r="O249" s="20"/>
      <c r="P249" s="154"/>
      <c r="Q249" s="20"/>
      <c r="R249" s="154"/>
      <c r="S249" s="20"/>
      <c r="T249" s="154"/>
      <c r="U249" s="20"/>
      <c r="V249" s="154"/>
      <c r="W249" s="20"/>
      <c r="X249" s="156"/>
      <c r="Y249" s="156"/>
      <c r="Z249" s="156"/>
    </row>
    <row r="250" spans="1:26" ht="15" customHeight="1" x14ac:dyDescent="0.25">
      <c r="A250" s="59"/>
      <c r="B250" s="59"/>
      <c r="C250" s="156"/>
      <c r="D250" s="60"/>
      <c r="E250" s="156"/>
      <c r="F250" s="156"/>
      <c r="G250" s="156"/>
      <c r="H250" s="156"/>
      <c r="I250" s="156"/>
      <c r="J250" s="156"/>
      <c r="K250" s="156"/>
      <c r="L250" s="156"/>
      <c r="M250" s="157">
        <f t="shared" si="5"/>
        <v>0</v>
      </c>
      <c r="N250" s="154"/>
      <c r="O250" s="20"/>
      <c r="P250" s="154"/>
      <c r="Q250" s="20"/>
      <c r="R250" s="154"/>
      <c r="S250" s="20"/>
      <c r="T250" s="154"/>
      <c r="U250" s="20"/>
      <c r="V250" s="154"/>
      <c r="W250" s="20"/>
      <c r="X250" s="156"/>
      <c r="Y250" s="156"/>
      <c r="Z250" s="156"/>
    </row>
    <row r="251" spans="1:26" ht="15" customHeight="1" x14ac:dyDescent="0.25">
      <c r="A251" s="59"/>
      <c r="B251" s="59"/>
      <c r="C251" s="156"/>
      <c r="D251" s="60"/>
      <c r="E251" s="156"/>
      <c r="F251" s="156"/>
      <c r="G251" s="156"/>
      <c r="H251" s="156"/>
      <c r="I251" s="156"/>
      <c r="J251" s="156"/>
      <c r="K251" s="156"/>
      <c r="L251" s="156"/>
      <c r="M251" s="157">
        <f t="shared" si="5"/>
        <v>0</v>
      </c>
      <c r="N251" s="154"/>
      <c r="O251" s="20"/>
      <c r="P251" s="154"/>
      <c r="Q251" s="20"/>
      <c r="R251" s="154"/>
      <c r="S251" s="20"/>
      <c r="T251" s="154"/>
      <c r="U251" s="20"/>
      <c r="V251" s="154"/>
      <c r="W251" s="20"/>
      <c r="X251" s="156"/>
      <c r="Y251" s="156"/>
      <c r="Z251" s="156"/>
    </row>
    <row r="252" spans="1:26" ht="15" customHeight="1" x14ac:dyDescent="0.25">
      <c r="A252" s="59"/>
      <c r="B252" s="59"/>
      <c r="C252" s="156"/>
      <c r="D252" s="60"/>
      <c r="E252" s="156"/>
      <c r="F252" s="156"/>
      <c r="G252" s="156"/>
      <c r="H252" s="156"/>
      <c r="I252" s="156"/>
      <c r="J252" s="156"/>
      <c r="K252" s="156"/>
      <c r="L252" s="156"/>
      <c r="M252" s="157">
        <f t="shared" si="5"/>
        <v>0</v>
      </c>
      <c r="N252" s="154"/>
      <c r="O252" s="20"/>
      <c r="P252" s="154"/>
      <c r="Q252" s="20"/>
      <c r="R252" s="154"/>
      <c r="S252" s="20"/>
      <c r="T252" s="154"/>
      <c r="U252" s="20"/>
      <c r="V252" s="154"/>
      <c r="W252" s="20"/>
      <c r="X252" s="156"/>
      <c r="Y252" s="156"/>
      <c r="Z252" s="156"/>
    </row>
    <row r="253" spans="1:26" ht="15" customHeight="1" x14ac:dyDescent="0.25">
      <c r="A253" s="59"/>
      <c r="B253" s="59"/>
      <c r="C253" s="156"/>
      <c r="D253" s="60"/>
      <c r="E253" s="156"/>
      <c r="F253" s="156"/>
      <c r="G253" s="156"/>
      <c r="H253" s="156"/>
      <c r="I253" s="156"/>
      <c r="J253" s="156"/>
      <c r="K253" s="156"/>
      <c r="L253" s="156"/>
      <c r="M253" s="157">
        <f t="shared" si="5"/>
        <v>0</v>
      </c>
      <c r="N253" s="154"/>
      <c r="O253" s="20"/>
      <c r="P253" s="154"/>
      <c r="Q253" s="20"/>
      <c r="R253" s="154"/>
      <c r="S253" s="20"/>
      <c r="T253" s="154"/>
      <c r="U253" s="20"/>
      <c r="V253" s="154"/>
      <c r="W253" s="20"/>
      <c r="X253" s="156"/>
      <c r="Y253" s="156"/>
      <c r="Z253" s="156"/>
    </row>
    <row r="254" spans="1:26" ht="15" customHeight="1" x14ac:dyDescent="0.25">
      <c r="A254" s="59"/>
      <c r="B254" s="59"/>
      <c r="C254" s="156"/>
      <c r="D254" s="60"/>
      <c r="E254" s="156"/>
      <c r="F254" s="156"/>
      <c r="G254" s="156"/>
      <c r="H254" s="156"/>
      <c r="I254" s="156"/>
      <c r="J254" s="156"/>
      <c r="K254" s="156"/>
      <c r="L254" s="156"/>
      <c r="M254" s="157">
        <f t="shared" si="5"/>
        <v>0</v>
      </c>
      <c r="N254" s="154"/>
      <c r="O254" s="20"/>
      <c r="P254" s="154"/>
      <c r="Q254" s="20"/>
      <c r="R254" s="154"/>
      <c r="S254" s="20"/>
      <c r="T254" s="154"/>
      <c r="U254" s="20"/>
      <c r="V254" s="154"/>
      <c r="W254" s="20"/>
      <c r="X254" s="156"/>
      <c r="Y254" s="156"/>
      <c r="Z254" s="156"/>
    </row>
    <row r="255" spans="1:26" ht="15" customHeight="1" x14ac:dyDescent="0.25">
      <c r="A255" s="59"/>
      <c r="B255" s="59"/>
      <c r="C255" s="156"/>
      <c r="D255" s="60"/>
      <c r="E255" s="156"/>
      <c r="F255" s="156"/>
      <c r="G255" s="156"/>
      <c r="H255" s="156"/>
      <c r="I255" s="156"/>
      <c r="J255" s="156"/>
      <c r="K255" s="156"/>
      <c r="L255" s="156"/>
      <c r="M255" s="157">
        <f t="shared" si="5"/>
        <v>0</v>
      </c>
      <c r="N255" s="154"/>
      <c r="O255" s="20"/>
      <c r="P255" s="154"/>
      <c r="Q255" s="20"/>
      <c r="R255" s="154"/>
      <c r="S255" s="20"/>
      <c r="T255" s="154"/>
      <c r="U255" s="20"/>
      <c r="V255" s="154"/>
      <c r="W255" s="20"/>
      <c r="X255" s="156"/>
      <c r="Y255" s="156"/>
      <c r="Z255" s="156"/>
    </row>
    <row r="256" spans="1:26" ht="15" customHeight="1" x14ac:dyDescent="0.25">
      <c r="A256" s="59"/>
      <c r="B256" s="59"/>
      <c r="C256" s="156"/>
      <c r="D256" s="60"/>
      <c r="E256" s="156"/>
      <c r="F256" s="156"/>
      <c r="G256" s="156"/>
      <c r="H256" s="156"/>
      <c r="I256" s="156"/>
      <c r="J256" s="156"/>
      <c r="K256" s="156"/>
      <c r="L256" s="156"/>
      <c r="M256" s="157">
        <f t="shared" si="5"/>
        <v>0</v>
      </c>
      <c r="N256" s="154"/>
      <c r="O256" s="20"/>
      <c r="P256" s="154"/>
      <c r="Q256" s="20"/>
      <c r="R256" s="154"/>
      <c r="S256" s="20"/>
      <c r="T256" s="154"/>
      <c r="U256" s="20"/>
      <c r="V256" s="154"/>
      <c r="W256" s="20"/>
      <c r="X256" s="156"/>
      <c r="Y256" s="156"/>
      <c r="Z256" s="156"/>
    </row>
    <row r="257" spans="1:26" ht="15" customHeight="1" x14ac:dyDescent="0.25">
      <c r="A257" s="59"/>
      <c r="B257" s="59"/>
      <c r="C257" s="156"/>
      <c r="D257" s="60"/>
      <c r="E257" s="156"/>
      <c r="F257" s="156"/>
      <c r="G257" s="156"/>
      <c r="H257" s="156"/>
      <c r="I257" s="156"/>
      <c r="J257" s="156"/>
      <c r="K257" s="156"/>
      <c r="L257" s="156"/>
      <c r="M257" s="157">
        <f t="shared" si="5"/>
        <v>0</v>
      </c>
      <c r="N257" s="154"/>
      <c r="O257" s="20"/>
      <c r="P257" s="154"/>
      <c r="Q257" s="20"/>
      <c r="R257" s="154"/>
      <c r="S257" s="20"/>
      <c r="T257" s="154"/>
      <c r="U257" s="20"/>
      <c r="V257" s="154"/>
      <c r="W257" s="20"/>
      <c r="X257" s="156"/>
      <c r="Y257" s="156"/>
      <c r="Z257" s="156"/>
    </row>
    <row r="258" spans="1:26" ht="15" customHeight="1" x14ac:dyDescent="0.25">
      <c r="A258" s="59"/>
      <c r="B258" s="59"/>
      <c r="C258" s="156"/>
      <c r="D258" s="60"/>
      <c r="E258" s="156"/>
      <c r="F258" s="156"/>
      <c r="G258" s="156"/>
      <c r="H258" s="156"/>
      <c r="I258" s="156"/>
      <c r="J258" s="156"/>
      <c r="K258" s="156"/>
      <c r="L258" s="156"/>
      <c r="M258" s="157">
        <f t="shared" si="5"/>
        <v>0</v>
      </c>
      <c r="N258" s="154"/>
      <c r="O258" s="20"/>
      <c r="P258" s="154"/>
      <c r="Q258" s="20"/>
      <c r="R258" s="154"/>
      <c r="S258" s="20"/>
      <c r="T258" s="154"/>
      <c r="U258" s="20"/>
      <c r="V258" s="154"/>
      <c r="W258" s="20"/>
      <c r="X258" s="156"/>
      <c r="Y258" s="156"/>
      <c r="Z258" s="156"/>
    </row>
    <row r="259" spans="1:26" ht="15" customHeight="1" x14ac:dyDescent="0.25">
      <c r="A259" s="59"/>
      <c r="B259" s="59"/>
      <c r="C259" s="156"/>
      <c r="D259" s="60"/>
      <c r="E259" s="156"/>
      <c r="F259" s="156"/>
      <c r="G259" s="156"/>
      <c r="H259" s="156"/>
      <c r="I259" s="156"/>
      <c r="J259" s="156"/>
      <c r="K259" s="156"/>
      <c r="L259" s="156"/>
      <c r="M259" s="157">
        <f t="shared" si="5"/>
        <v>0</v>
      </c>
      <c r="N259" s="154"/>
      <c r="O259" s="20"/>
      <c r="P259" s="154"/>
      <c r="Q259" s="20"/>
      <c r="R259" s="154"/>
      <c r="S259" s="20"/>
      <c r="T259" s="154"/>
      <c r="U259" s="20"/>
      <c r="V259" s="154"/>
      <c r="W259" s="20"/>
      <c r="X259" s="156"/>
      <c r="Y259" s="156"/>
      <c r="Z259" s="156"/>
    </row>
    <row r="260" spans="1:26" ht="15" customHeight="1" x14ac:dyDescent="0.25">
      <c r="A260" s="59"/>
      <c r="B260" s="59"/>
      <c r="C260" s="156"/>
      <c r="D260" s="60"/>
      <c r="E260" s="156"/>
      <c r="F260" s="156"/>
      <c r="G260" s="156"/>
      <c r="H260" s="156"/>
      <c r="I260" s="156"/>
      <c r="J260" s="156"/>
      <c r="K260" s="156"/>
      <c r="L260" s="156"/>
      <c r="M260" s="157">
        <f t="shared" si="5"/>
        <v>0</v>
      </c>
      <c r="N260" s="154"/>
      <c r="O260" s="20"/>
      <c r="P260" s="154"/>
      <c r="Q260" s="20"/>
      <c r="R260" s="154"/>
      <c r="S260" s="20"/>
      <c r="T260" s="154"/>
      <c r="U260" s="20"/>
      <c r="V260" s="154"/>
      <c r="W260" s="20"/>
      <c r="X260" s="156"/>
      <c r="Y260" s="156"/>
      <c r="Z260" s="156"/>
    </row>
    <row r="261" spans="1:26" ht="15" customHeight="1" x14ac:dyDescent="0.25">
      <c r="A261" s="59"/>
      <c r="B261" s="59"/>
      <c r="C261" s="156"/>
      <c r="D261" s="60"/>
      <c r="E261" s="156"/>
      <c r="F261" s="156"/>
      <c r="G261" s="156"/>
      <c r="H261" s="156"/>
      <c r="I261" s="156"/>
      <c r="J261" s="156"/>
      <c r="K261" s="156"/>
      <c r="L261" s="156"/>
      <c r="M261" s="157">
        <f t="shared" ref="M261:M263" si="6">SUM(N261:W261)</f>
        <v>0</v>
      </c>
      <c r="N261" s="154"/>
      <c r="O261" s="20"/>
      <c r="P261" s="154"/>
      <c r="Q261" s="20"/>
      <c r="R261" s="154"/>
      <c r="S261" s="20"/>
      <c r="T261" s="154"/>
      <c r="U261" s="20"/>
      <c r="V261" s="154"/>
      <c r="W261" s="20"/>
      <c r="X261" s="156"/>
      <c r="Y261" s="156"/>
      <c r="Z261" s="156"/>
    </row>
    <row r="262" spans="1:26" ht="15" customHeight="1" x14ac:dyDescent="0.25">
      <c r="A262" s="59"/>
      <c r="B262" s="59"/>
      <c r="C262" s="156"/>
      <c r="D262" s="60"/>
      <c r="E262" s="156"/>
      <c r="F262" s="156"/>
      <c r="G262" s="156"/>
      <c r="H262" s="156"/>
      <c r="I262" s="156"/>
      <c r="J262" s="156"/>
      <c r="K262" s="156"/>
      <c r="L262" s="156"/>
      <c r="M262" s="157">
        <f t="shared" si="6"/>
        <v>0</v>
      </c>
      <c r="N262" s="154"/>
      <c r="O262" s="20"/>
      <c r="P262" s="154"/>
      <c r="Q262" s="20"/>
      <c r="R262" s="154"/>
      <c r="S262" s="20"/>
      <c r="T262" s="154"/>
      <c r="U262" s="20"/>
      <c r="V262" s="154"/>
      <c r="W262" s="20"/>
      <c r="X262" s="156"/>
      <c r="Y262" s="156"/>
      <c r="Z262" s="156"/>
    </row>
    <row r="263" spans="1:26" ht="15" customHeight="1" x14ac:dyDescent="0.25">
      <c r="A263" s="59"/>
      <c r="B263" s="59"/>
      <c r="C263" s="156"/>
      <c r="D263" s="60"/>
      <c r="E263" s="156" t="s">
        <v>98</v>
      </c>
      <c r="F263" s="156"/>
      <c r="G263" s="156"/>
      <c r="H263" s="156"/>
      <c r="I263" s="156"/>
      <c r="J263" s="156"/>
      <c r="K263" s="156"/>
      <c r="L263" s="156"/>
      <c r="M263" s="157">
        <f t="shared" si="6"/>
        <v>0</v>
      </c>
      <c r="N263" s="154"/>
      <c r="O263" s="20"/>
      <c r="P263" s="154"/>
      <c r="Q263" s="20"/>
      <c r="R263" s="154"/>
      <c r="S263" s="20"/>
      <c r="T263" s="154"/>
      <c r="U263" s="20"/>
      <c r="V263" s="154"/>
      <c r="W263" s="20"/>
      <c r="X263" s="156"/>
      <c r="Y263" s="156"/>
      <c r="Z263" s="156"/>
    </row>
    <row r="264" spans="1:26" ht="15" customHeight="1" x14ac:dyDescent="0.25">
      <c r="A264" s="76" t="s">
        <v>5</v>
      </c>
      <c r="B264" s="76"/>
      <c r="C264" s="76"/>
      <c r="E264" s="62" t="s">
        <v>5</v>
      </c>
      <c r="G264" s="62" t="s">
        <v>5</v>
      </c>
    </row>
    <row r="265" spans="1:26" ht="15" customHeight="1" x14ac:dyDescent="0.25">
      <c r="A265" s="76"/>
      <c r="B265" s="76"/>
      <c r="C265" s="76"/>
    </row>
    <row r="266" spans="1:26" ht="15" customHeight="1" x14ac:dyDescent="0.25">
      <c r="A266" s="76"/>
      <c r="B266" s="76"/>
      <c r="C266" s="76"/>
    </row>
    <row r="267" spans="1:26" ht="15" customHeight="1" x14ac:dyDescent="0.25">
      <c r="A267" s="76"/>
      <c r="B267" s="76"/>
      <c r="C267" s="76"/>
    </row>
    <row r="268" spans="1:26" ht="15" customHeight="1" x14ac:dyDescent="0.25">
      <c r="A268" s="76"/>
      <c r="B268" s="76"/>
      <c r="C268" s="76"/>
    </row>
    <row r="269" spans="1:26" ht="15" customHeight="1" x14ac:dyDescent="0.25">
      <c r="A269" s="76"/>
      <c r="B269" s="76"/>
      <c r="C269" s="76"/>
    </row>
    <row r="270" spans="1:26" ht="15" customHeight="1" x14ac:dyDescent="0.25">
      <c r="A270" s="76"/>
      <c r="B270" s="76"/>
      <c r="C270" s="76"/>
    </row>
    <row r="271" spans="1:26" ht="15" customHeight="1" x14ac:dyDescent="0.25">
      <c r="A271" s="76"/>
      <c r="B271" s="76"/>
      <c r="C271" s="76"/>
    </row>
    <row r="272" spans="1:26" ht="15" customHeight="1" x14ac:dyDescent="0.25">
      <c r="A272" s="76"/>
      <c r="B272" s="76"/>
      <c r="C272" s="76"/>
    </row>
    <row r="273" spans="1:3" ht="15" customHeight="1" x14ac:dyDescent="0.25">
      <c r="A273" s="76"/>
      <c r="B273" s="76"/>
      <c r="C273" s="76"/>
    </row>
    <row r="274" spans="1:3" ht="15" customHeight="1" x14ac:dyDescent="0.25">
      <c r="A274" s="76"/>
      <c r="B274" s="76"/>
      <c r="C274" s="76"/>
    </row>
    <row r="275" spans="1:3" ht="15" customHeight="1" x14ac:dyDescent="0.25">
      <c r="A275" s="76"/>
      <c r="B275" s="76"/>
      <c r="C275" s="76"/>
    </row>
    <row r="276" spans="1:3" ht="15" customHeight="1" x14ac:dyDescent="0.25">
      <c r="A276" s="76"/>
      <c r="B276" s="76"/>
      <c r="C276" s="76"/>
    </row>
    <row r="277" spans="1:3" ht="15" customHeight="1" x14ac:dyDescent="0.25">
      <c r="A277" s="76"/>
      <c r="B277" s="76"/>
      <c r="C277" s="76"/>
    </row>
    <row r="278" spans="1:3" ht="15" customHeight="1" x14ac:dyDescent="0.25">
      <c r="A278" s="76"/>
      <c r="B278" s="76"/>
      <c r="C278" s="76"/>
    </row>
    <row r="279" spans="1:3" ht="15" customHeight="1" x14ac:dyDescent="0.25">
      <c r="A279" s="76"/>
      <c r="B279" s="76"/>
      <c r="C279" s="76"/>
    </row>
    <row r="280" spans="1:3" ht="15" customHeight="1" x14ac:dyDescent="0.25">
      <c r="A280" s="76"/>
      <c r="B280" s="76"/>
      <c r="C280" s="76"/>
    </row>
    <row r="281" spans="1:3" ht="15" customHeight="1" x14ac:dyDescent="0.25">
      <c r="A281" s="76"/>
      <c r="B281" s="76"/>
      <c r="C281" s="76"/>
    </row>
    <row r="282" spans="1:3" ht="15" customHeight="1" x14ac:dyDescent="0.25">
      <c r="A282" s="76"/>
      <c r="B282" s="76"/>
      <c r="C282" s="76"/>
    </row>
    <row r="283" spans="1:3" ht="15" customHeight="1" x14ac:dyDescent="0.25">
      <c r="A283" s="76"/>
      <c r="B283" s="76"/>
      <c r="C283" s="76"/>
    </row>
    <row r="284" spans="1:3" ht="15" customHeight="1" x14ac:dyDescent="0.25">
      <c r="A284" s="76"/>
      <c r="B284" s="76"/>
      <c r="C284" s="76"/>
    </row>
    <row r="285" spans="1:3" ht="15" customHeight="1" x14ac:dyDescent="0.25">
      <c r="A285" s="76"/>
      <c r="B285" s="76"/>
      <c r="C285" s="76"/>
    </row>
    <row r="286" spans="1:3" ht="15" customHeight="1" x14ac:dyDescent="0.25">
      <c r="A286" s="76"/>
      <c r="B286" s="76"/>
      <c r="C286" s="76"/>
    </row>
    <row r="287" spans="1:3" ht="15" customHeight="1" x14ac:dyDescent="0.25">
      <c r="A287" s="76"/>
      <c r="B287" s="76"/>
      <c r="C287" s="76"/>
    </row>
    <row r="288" spans="1:3" ht="15" customHeight="1" x14ac:dyDescent="0.25">
      <c r="A288" s="76"/>
      <c r="B288" s="76"/>
      <c r="C288" s="76"/>
    </row>
    <row r="289" spans="1:3" ht="15" customHeight="1" x14ac:dyDescent="0.25">
      <c r="A289" s="76"/>
      <c r="B289" s="76"/>
      <c r="C289" s="76"/>
    </row>
    <row r="290" spans="1:3" ht="15" customHeight="1" x14ac:dyDescent="0.25">
      <c r="A290" s="76"/>
      <c r="B290" s="76"/>
      <c r="C290" s="76"/>
    </row>
    <row r="291" spans="1:3" ht="15" customHeight="1" x14ac:dyDescent="0.25">
      <c r="A291" s="76"/>
      <c r="B291" s="76"/>
      <c r="C291" s="76"/>
    </row>
    <row r="292" spans="1:3" ht="15" customHeight="1" x14ac:dyDescent="0.25">
      <c r="A292" s="76"/>
      <c r="B292" s="76"/>
      <c r="C292" s="76"/>
    </row>
    <row r="293" spans="1:3" ht="15" customHeight="1" x14ac:dyDescent="0.25">
      <c r="A293" s="76"/>
      <c r="B293" s="76"/>
      <c r="C293" s="76"/>
    </row>
    <row r="294" spans="1:3" ht="15" customHeight="1" x14ac:dyDescent="0.25">
      <c r="A294" s="76"/>
      <c r="B294" s="76"/>
      <c r="C294" s="76"/>
    </row>
    <row r="295" spans="1:3" ht="15" customHeight="1" x14ac:dyDescent="0.25">
      <c r="A295" s="76"/>
      <c r="B295" s="76"/>
      <c r="C295" s="76"/>
    </row>
    <row r="296" spans="1:3" ht="15" customHeight="1" x14ac:dyDescent="0.25">
      <c r="A296" s="76"/>
      <c r="B296" s="76"/>
      <c r="C296" s="76"/>
    </row>
    <row r="297" spans="1:3" ht="15" customHeight="1" x14ac:dyDescent="0.25">
      <c r="A297" s="76"/>
      <c r="B297" s="76"/>
      <c r="C297" s="76"/>
    </row>
    <row r="298" spans="1:3" ht="15" customHeight="1" x14ac:dyDescent="0.25">
      <c r="A298" s="76"/>
      <c r="B298" s="76"/>
      <c r="C298" s="76"/>
    </row>
    <row r="299" spans="1:3" ht="15" customHeight="1" x14ac:dyDescent="0.25">
      <c r="A299" s="76"/>
      <c r="B299" s="76"/>
      <c r="C299" s="76"/>
    </row>
    <row r="300" spans="1:3" ht="15" customHeight="1" x14ac:dyDescent="0.25">
      <c r="A300" s="76"/>
      <c r="B300" s="76"/>
      <c r="C300" s="76"/>
    </row>
    <row r="301" spans="1:3" ht="15" customHeight="1" x14ac:dyDescent="0.25">
      <c r="A301" s="76"/>
      <c r="B301" s="76"/>
      <c r="C301" s="76"/>
    </row>
    <row r="302" spans="1:3" ht="15" customHeight="1" x14ac:dyDescent="0.25">
      <c r="A302" s="76"/>
      <c r="B302" s="76"/>
      <c r="C302" s="76"/>
    </row>
    <row r="303" spans="1:3" ht="15" customHeight="1" x14ac:dyDescent="0.25">
      <c r="A303" s="76"/>
      <c r="B303" s="76"/>
      <c r="C303" s="76"/>
    </row>
    <row r="304" spans="1:3" ht="15" customHeight="1" x14ac:dyDescent="0.25">
      <c r="A304" s="76"/>
      <c r="B304" s="76"/>
      <c r="C304" s="76"/>
    </row>
    <row r="305" spans="1:3" ht="15" customHeight="1" x14ac:dyDescent="0.25">
      <c r="A305" s="76"/>
      <c r="B305" s="76"/>
      <c r="C305" s="76"/>
    </row>
    <row r="306" spans="1:3" ht="15" customHeight="1" x14ac:dyDescent="0.25">
      <c r="A306" s="76"/>
      <c r="B306" s="76"/>
      <c r="C306" s="76"/>
    </row>
    <row r="307" spans="1:3" ht="15" customHeight="1" x14ac:dyDescent="0.25">
      <c r="A307" s="76"/>
      <c r="B307" s="76"/>
      <c r="C307" s="76"/>
    </row>
    <row r="308" spans="1:3" ht="15" customHeight="1" x14ac:dyDescent="0.25">
      <c r="A308" s="76"/>
      <c r="B308" s="76"/>
      <c r="C308" s="76"/>
    </row>
    <row r="309" spans="1:3" ht="15" customHeight="1" x14ac:dyDescent="0.25">
      <c r="A309" s="76"/>
      <c r="B309" s="76"/>
      <c r="C309" s="76"/>
    </row>
    <row r="310" spans="1:3" ht="15" customHeight="1" x14ac:dyDescent="0.25">
      <c r="A310" s="76"/>
      <c r="B310" s="76"/>
      <c r="C310" s="76"/>
    </row>
    <row r="311" spans="1:3" ht="15" customHeight="1" x14ac:dyDescent="0.25">
      <c r="A311" s="76"/>
      <c r="B311" s="76"/>
      <c r="C311" s="76"/>
    </row>
    <row r="312" spans="1:3" ht="15" customHeight="1" x14ac:dyDescent="0.25">
      <c r="A312" s="76"/>
      <c r="B312" s="76"/>
      <c r="C312" s="76"/>
    </row>
    <row r="313" spans="1:3" ht="15" customHeight="1" x14ac:dyDescent="0.25">
      <c r="A313" s="76"/>
      <c r="B313" s="76"/>
      <c r="C313" s="76"/>
    </row>
    <row r="314" spans="1:3" ht="15" customHeight="1" x14ac:dyDescent="0.25">
      <c r="A314" s="76"/>
      <c r="B314" s="76"/>
      <c r="C314" s="76"/>
    </row>
    <row r="315" spans="1:3" ht="15" customHeight="1" x14ac:dyDescent="0.25">
      <c r="A315" s="76"/>
      <c r="B315" s="76"/>
      <c r="C315" s="76"/>
    </row>
    <row r="316" spans="1:3" ht="15" customHeight="1" x14ac:dyDescent="0.25">
      <c r="A316" s="76"/>
      <c r="B316" s="76"/>
      <c r="C316" s="76"/>
    </row>
    <row r="317" spans="1:3" ht="15" customHeight="1" x14ac:dyDescent="0.25">
      <c r="A317" s="76"/>
      <c r="B317" s="76"/>
      <c r="C317" s="76"/>
    </row>
    <row r="318" spans="1:3" ht="15" customHeight="1" x14ac:dyDescent="0.25">
      <c r="A318" s="76"/>
      <c r="B318" s="76"/>
      <c r="C318" s="76"/>
    </row>
    <row r="319" spans="1:3" ht="15" customHeight="1" x14ac:dyDescent="0.25">
      <c r="A319" s="76"/>
      <c r="B319" s="76"/>
      <c r="C319" s="76"/>
    </row>
    <row r="320" spans="1:3" ht="15" customHeight="1" x14ac:dyDescent="0.25">
      <c r="A320" s="76"/>
      <c r="B320" s="76"/>
      <c r="C320" s="76"/>
    </row>
    <row r="321" spans="1:3" ht="15" customHeight="1" x14ac:dyDescent="0.25">
      <c r="A321" s="76"/>
      <c r="B321" s="76"/>
      <c r="C321" s="76"/>
    </row>
    <row r="322" spans="1:3" ht="15" customHeight="1" x14ac:dyDescent="0.25">
      <c r="A322" s="76"/>
      <c r="B322" s="76"/>
      <c r="C322" s="76"/>
    </row>
    <row r="323" spans="1:3" ht="15" customHeight="1" x14ac:dyDescent="0.25">
      <c r="A323" s="76"/>
      <c r="B323" s="76"/>
      <c r="C323" s="76"/>
    </row>
    <row r="324" spans="1:3" ht="15" customHeight="1" x14ac:dyDescent="0.25">
      <c r="A324" s="76"/>
      <c r="B324" s="76"/>
      <c r="C324" s="76"/>
    </row>
    <row r="325" spans="1:3" ht="15" customHeight="1" x14ac:dyDescent="0.25">
      <c r="A325" s="76"/>
      <c r="B325" s="76"/>
      <c r="C325" s="76"/>
    </row>
    <row r="326" spans="1:3" ht="15" customHeight="1" x14ac:dyDescent="0.25">
      <c r="A326" s="76"/>
      <c r="B326" s="76"/>
      <c r="C326" s="76"/>
    </row>
    <row r="327" spans="1:3" ht="15" customHeight="1" x14ac:dyDescent="0.25">
      <c r="A327" s="76"/>
      <c r="B327" s="76"/>
      <c r="C327" s="76"/>
    </row>
    <row r="328" spans="1:3" ht="15" customHeight="1" x14ac:dyDescent="0.25">
      <c r="A328" s="76"/>
      <c r="B328" s="76"/>
      <c r="C328" s="76"/>
    </row>
    <row r="329" spans="1:3" ht="15" customHeight="1" x14ac:dyDescent="0.25">
      <c r="A329" s="76"/>
      <c r="B329" s="76"/>
      <c r="C329" s="76"/>
    </row>
    <row r="330" spans="1:3" ht="15" customHeight="1" x14ac:dyDescent="0.25">
      <c r="A330" s="76"/>
      <c r="B330" s="76"/>
      <c r="C330" s="76"/>
    </row>
    <row r="331" spans="1:3" ht="15" customHeight="1" x14ac:dyDescent="0.25">
      <c r="A331" s="76"/>
      <c r="B331" s="76"/>
      <c r="C331" s="76"/>
    </row>
    <row r="332" spans="1:3" ht="15" customHeight="1" x14ac:dyDescent="0.25">
      <c r="A332" s="76"/>
      <c r="B332" s="76"/>
      <c r="C332" s="76"/>
    </row>
    <row r="333" spans="1:3" ht="15" customHeight="1" x14ac:dyDescent="0.25">
      <c r="A333" s="76"/>
      <c r="B333" s="76"/>
      <c r="C333" s="76"/>
    </row>
    <row r="334" spans="1:3" ht="15" customHeight="1" x14ac:dyDescent="0.25">
      <c r="A334" s="76"/>
      <c r="B334" s="76"/>
      <c r="C334" s="76"/>
    </row>
    <row r="335" spans="1:3" ht="15" customHeight="1" x14ac:dyDescent="0.25">
      <c r="A335" s="76"/>
      <c r="B335" s="76"/>
      <c r="C335" s="76"/>
    </row>
    <row r="336" spans="1:3" ht="15" customHeight="1" x14ac:dyDescent="0.25">
      <c r="A336" s="76"/>
      <c r="B336" s="76"/>
      <c r="C336" s="76"/>
    </row>
    <row r="337" spans="1:3" ht="15" customHeight="1" x14ac:dyDescent="0.25">
      <c r="A337" s="76"/>
      <c r="B337" s="76"/>
      <c r="C337" s="76"/>
    </row>
    <row r="338" spans="1:3" ht="15" customHeight="1" x14ac:dyDescent="0.25">
      <c r="A338" s="76"/>
      <c r="B338" s="76"/>
      <c r="C338" s="76"/>
    </row>
    <row r="339" spans="1:3" ht="15" customHeight="1" x14ac:dyDescent="0.25">
      <c r="A339" s="76"/>
      <c r="B339" s="76"/>
      <c r="C339" s="76"/>
    </row>
    <row r="340" spans="1:3" ht="15" customHeight="1" x14ac:dyDescent="0.25">
      <c r="A340" s="76"/>
      <c r="B340" s="76"/>
      <c r="C340" s="76"/>
    </row>
    <row r="341" spans="1:3" ht="15" customHeight="1" x14ac:dyDescent="0.25">
      <c r="A341" s="76"/>
      <c r="B341" s="76"/>
      <c r="C341" s="76"/>
    </row>
    <row r="342" spans="1:3" ht="15" customHeight="1" x14ac:dyDescent="0.25">
      <c r="A342" s="76"/>
      <c r="B342" s="76"/>
      <c r="C342" s="76"/>
    </row>
    <row r="343" spans="1:3" ht="15" customHeight="1" x14ac:dyDescent="0.25">
      <c r="A343" s="76"/>
      <c r="B343" s="76"/>
      <c r="C343" s="76"/>
    </row>
    <row r="344" spans="1:3" ht="15" customHeight="1" x14ac:dyDescent="0.25">
      <c r="A344" s="76"/>
      <c r="B344" s="76"/>
      <c r="C344" s="76"/>
    </row>
    <row r="345" spans="1:3" ht="15" customHeight="1" x14ac:dyDescent="0.25">
      <c r="A345" s="76"/>
      <c r="B345" s="76"/>
      <c r="C345" s="76"/>
    </row>
    <row r="346" spans="1:3" ht="15" customHeight="1" x14ac:dyDescent="0.25">
      <c r="A346" s="76"/>
      <c r="B346" s="76"/>
      <c r="C346" s="76"/>
    </row>
    <row r="347" spans="1:3" ht="15" customHeight="1" x14ac:dyDescent="0.25">
      <c r="A347" s="76"/>
      <c r="B347" s="76"/>
      <c r="C347" s="76"/>
    </row>
    <row r="348" spans="1:3" ht="15" customHeight="1" x14ac:dyDescent="0.25">
      <c r="A348" s="76"/>
      <c r="B348" s="76"/>
      <c r="C348" s="76"/>
    </row>
    <row r="349" spans="1:3" ht="15" customHeight="1" x14ac:dyDescent="0.25">
      <c r="A349" s="76"/>
      <c r="B349" s="76"/>
      <c r="C349" s="76"/>
    </row>
    <row r="350" spans="1:3" ht="15" customHeight="1" x14ac:dyDescent="0.25">
      <c r="A350" s="76"/>
      <c r="B350" s="76"/>
      <c r="C350" s="76"/>
    </row>
    <row r="351" spans="1:3" ht="15" customHeight="1" x14ac:dyDescent="0.25">
      <c r="A351" s="76"/>
      <c r="B351" s="76"/>
      <c r="C351" s="76"/>
    </row>
    <row r="352" spans="1:3" ht="15" customHeight="1" x14ac:dyDescent="0.25">
      <c r="A352" s="76"/>
      <c r="B352" s="76"/>
      <c r="C352" s="76"/>
    </row>
    <row r="353" spans="1:3" ht="15" customHeight="1" x14ac:dyDescent="0.25">
      <c r="A353" s="76"/>
      <c r="B353" s="76"/>
      <c r="C353" s="76"/>
    </row>
    <row r="354" spans="1:3" ht="15" customHeight="1" x14ac:dyDescent="0.25">
      <c r="A354" s="76"/>
      <c r="B354" s="76"/>
      <c r="C354" s="76"/>
    </row>
    <row r="355" spans="1:3" ht="15" customHeight="1" x14ac:dyDescent="0.25">
      <c r="A355" s="76"/>
      <c r="B355" s="76"/>
      <c r="C355" s="76"/>
    </row>
    <row r="356" spans="1:3" ht="15" customHeight="1" x14ac:dyDescent="0.25">
      <c r="A356" s="76"/>
      <c r="B356" s="76"/>
      <c r="C356" s="76"/>
    </row>
    <row r="357" spans="1:3" ht="15" customHeight="1" x14ac:dyDescent="0.25">
      <c r="A357" s="76"/>
      <c r="B357" s="76"/>
      <c r="C357" s="76"/>
    </row>
    <row r="358" spans="1:3" ht="15" customHeight="1" x14ac:dyDescent="0.25">
      <c r="A358" s="76"/>
      <c r="B358" s="76"/>
      <c r="C358" s="76"/>
    </row>
    <row r="359" spans="1:3" ht="15" customHeight="1" x14ac:dyDescent="0.25">
      <c r="A359" s="76"/>
      <c r="B359" s="76"/>
      <c r="C359" s="76"/>
    </row>
    <row r="360" spans="1:3" ht="15" customHeight="1" x14ac:dyDescent="0.25">
      <c r="A360" s="76"/>
      <c r="B360" s="76"/>
      <c r="C360" s="76"/>
    </row>
    <row r="361" spans="1:3" ht="15" customHeight="1" x14ac:dyDescent="0.25">
      <c r="A361" s="76"/>
      <c r="B361" s="76"/>
      <c r="C361" s="76"/>
    </row>
    <row r="362" spans="1:3" ht="15" customHeight="1" x14ac:dyDescent="0.25">
      <c r="A362" s="76"/>
      <c r="B362" s="76"/>
      <c r="C362" s="76"/>
    </row>
    <row r="363" spans="1:3" ht="15" customHeight="1" x14ac:dyDescent="0.25">
      <c r="A363" s="76"/>
      <c r="B363" s="76"/>
      <c r="C363" s="76"/>
    </row>
    <row r="364" spans="1:3" ht="15" customHeight="1" x14ac:dyDescent="0.25">
      <c r="A364" s="76"/>
      <c r="B364" s="76"/>
      <c r="C364" s="76"/>
    </row>
    <row r="365" spans="1:3" ht="15" customHeight="1" x14ac:dyDescent="0.25">
      <c r="A365" s="76"/>
      <c r="B365" s="76"/>
      <c r="C365" s="76"/>
    </row>
    <row r="366" spans="1:3" ht="15" customHeight="1" x14ac:dyDescent="0.25">
      <c r="A366" s="76"/>
      <c r="B366" s="76"/>
      <c r="C366" s="76"/>
    </row>
    <row r="367" spans="1:3" ht="15" customHeight="1" x14ac:dyDescent="0.25">
      <c r="A367" s="76"/>
      <c r="B367" s="76"/>
      <c r="C367" s="76"/>
    </row>
    <row r="368" spans="1:3" ht="15" customHeight="1" x14ac:dyDescent="0.25">
      <c r="A368" s="76"/>
      <c r="B368" s="76"/>
      <c r="C368" s="76"/>
    </row>
    <row r="369" spans="1:3" ht="15" customHeight="1" x14ac:dyDescent="0.25">
      <c r="A369" s="76"/>
      <c r="B369" s="76"/>
      <c r="C369" s="76"/>
    </row>
    <row r="370" spans="1:3" ht="15" customHeight="1" x14ac:dyDescent="0.25">
      <c r="A370" s="76"/>
      <c r="B370" s="76"/>
      <c r="C370" s="76"/>
    </row>
    <row r="371" spans="1:3" ht="15" customHeight="1" x14ac:dyDescent="0.25">
      <c r="A371" s="76"/>
      <c r="B371" s="76"/>
      <c r="C371" s="76"/>
    </row>
    <row r="372" spans="1:3" ht="15" customHeight="1" x14ac:dyDescent="0.25">
      <c r="A372" s="76"/>
      <c r="B372" s="76"/>
      <c r="C372" s="76"/>
    </row>
    <row r="373" spans="1:3" ht="15" customHeight="1" x14ac:dyDescent="0.25">
      <c r="A373" s="76"/>
      <c r="B373" s="76"/>
      <c r="C373" s="76"/>
    </row>
    <row r="374" spans="1:3" ht="15" customHeight="1" x14ac:dyDescent="0.25">
      <c r="A374" s="76"/>
      <c r="B374" s="76"/>
      <c r="C374" s="76"/>
    </row>
    <row r="375" spans="1:3" ht="15" customHeight="1" x14ac:dyDescent="0.25">
      <c r="A375" s="76"/>
      <c r="B375" s="76"/>
      <c r="C375" s="76"/>
    </row>
    <row r="376" spans="1:3" ht="15" customHeight="1" x14ac:dyDescent="0.25">
      <c r="A376" s="76"/>
      <c r="B376" s="76"/>
      <c r="C376" s="76"/>
    </row>
    <row r="377" spans="1:3" ht="15" customHeight="1" x14ac:dyDescent="0.25">
      <c r="A377" s="76"/>
      <c r="B377" s="76"/>
      <c r="C377" s="76"/>
    </row>
    <row r="378" spans="1:3" ht="15" customHeight="1" x14ac:dyDescent="0.25">
      <c r="A378" s="76"/>
      <c r="B378" s="76"/>
      <c r="C378" s="76"/>
    </row>
    <row r="379" spans="1:3" ht="15" customHeight="1" x14ac:dyDescent="0.25">
      <c r="A379" s="76"/>
      <c r="B379" s="76"/>
      <c r="C379" s="76"/>
    </row>
    <row r="380" spans="1:3" ht="15" customHeight="1" x14ac:dyDescent="0.25">
      <c r="A380" s="76"/>
      <c r="B380" s="76"/>
      <c r="C380" s="76"/>
    </row>
    <row r="381" spans="1:3" ht="15" customHeight="1" x14ac:dyDescent="0.25">
      <c r="A381" s="76"/>
      <c r="B381" s="76"/>
      <c r="C381" s="76"/>
    </row>
    <row r="382" spans="1:3" ht="15" customHeight="1" x14ac:dyDescent="0.25">
      <c r="A382" s="76"/>
      <c r="B382" s="76"/>
      <c r="C382" s="76"/>
    </row>
    <row r="383" spans="1:3" ht="15" customHeight="1" x14ac:dyDescent="0.25">
      <c r="A383" s="76"/>
      <c r="B383" s="76"/>
      <c r="C383" s="76"/>
    </row>
    <row r="384" spans="1:3" ht="15" customHeight="1" x14ac:dyDescent="0.25">
      <c r="A384" s="76"/>
      <c r="B384" s="76"/>
      <c r="C384" s="76"/>
    </row>
    <row r="385" spans="1:3" ht="15" customHeight="1" x14ac:dyDescent="0.25">
      <c r="A385" s="76"/>
      <c r="B385" s="76"/>
      <c r="C385" s="76"/>
    </row>
    <row r="386" spans="1:3" ht="15" customHeight="1" x14ac:dyDescent="0.25">
      <c r="A386" s="76"/>
      <c r="B386" s="76"/>
      <c r="C386" s="76"/>
    </row>
    <row r="387" spans="1:3" ht="15" customHeight="1" x14ac:dyDescent="0.25">
      <c r="A387" s="76"/>
      <c r="B387" s="76"/>
      <c r="C387" s="76"/>
    </row>
    <row r="388" spans="1:3" ht="15" customHeight="1" x14ac:dyDescent="0.25">
      <c r="A388" s="76"/>
      <c r="B388" s="76"/>
      <c r="C388" s="76"/>
    </row>
    <row r="389" spans="1:3" ht="15" customHeight="1" x14ac:dyDescent="0.25">
      <c r="A389" s="76"/>
      <c r="B389" s="76"/>
      <c r="C389" s="76"/>
    </row>
    <row r="390" spans="1:3" ht="15" customHeight="1" x14ac:dyDescent="0.25">
      <c r="A390" s="76"/>
      <c r="B390" s="76"/>
      <c r="C390" s="76"/>
    </row>
    <row r="391" spans="1:3" ht="15" customHeight="1" x14ac:dyDescent="0.25">
      <c r="A391" s="76"/>
      <c r="B391" s="76"/>
      <c r="C391" s="76"/>
    </row>
    <row r="392" spans="1:3" ht="15" customHeight="1" x14ac:dyDescent="0.25">
      <c r="A392" s="76"/>
      <c r="B392" s="76"/>
      <c r="C392" s="76"/>
    </row>
    <row r="393" spans="1:3" ht="15" customHeight="1" x14ac:dyDescent="0.25">
      <c r="A393" s="76"/>
      <c r="B393" s="76"/>
      <c r="C393" s="76"/>
    </row>
    <row r="394" spans="1:3" ht="15" customHeight="1" x14ac:dyDescent="0.25">
      <c r="A394" s="76"/>
      <c r="B394" s="76"/>
      <c r="C394" s="76"/>
    </row>
    <row r="395" spans="1:3" ht="15" customHeight="1" x14ac:dyDescent="0.25">
      <c r="A395" s="76"/>
      <c r="B395" s="76"/>
      <c r="C395" s="76"/>
    </row>
    <row r="396" spans="1:3" ht="15" customHeight="1" x14ac:dyDescent="0.25">
      <c r="A396" s="76"/>
      <c r="B396" s="76"/>
      <c r="C396" s="76"/>
    </row>
    <row r="397" spans="1:3" ht="15" customHeight="1" x14ac:dyDescent="0.25">
      <c r="A397" s="76"/>
      <c r="B397" s="76"/>
      <c r="C397" s="76"/>
    </row>
    <row r="398" spans="1:3" ht="15" customHeight="1" x14ac:dyDescent="0.25">
      <c r="A398" s="76"/>
      <c r="B398" s="76"/>
      <c r="C398" s="76"/>
    </row>
    <row r="399" spans="1:3" ht="15" customHeight="1" x14ac:dyDescent="0.25">
      <c r="A399" s="76"/>
      <c r="B399" s="76"/>
      <c r="C399" s="76"/>
    </row>
    <row r="400" spans="1:3" ht="15" customHeight="1" x14ac:dyDescent="0.25">
      <c r="A400" s="76"/>
      <c r="B400" s="76"/>
      <c r="C400" s="76"/>
    </row>
    <row r="401" spans="1:3" ht="15" customHeight="1" x14ac:dyDescent="0.25">
      <c r="A401" s="76"/>
      <c r="B401" s="76"/>
      <c r="C401" s="76"/>
    </row>
    <row r="402" spans="1:3" ht="15" customHeight="1" x14ac:dyDescent="0.25">
      <c r="A402" s="76"/>
      <c r="B402" s="76"/>
      <c r="C402" s="76"/>
    </row>
    <row r="403" spans="1:3" ht="15" customHeight="1" x14ac:dyDescent="0.25">
      <c r="A403" s="76"/>
      <c r="B403" s="76"/>
      <c r="C403" s="76"/>
    </row>
    <row r="404" spans="1:3" ht="15" customHeight="1" x14ac:dyDescent="0.25">
      <c r="A404" s="76"/>
      <c r="B404" s="76"/>
      <c r="C404" s="76"/>
    </row>
    <row r="405" spans="1:3" ht="15" customHeight="1" x14ac:dyDescent="0.25">
      <c r="A405" s="76"/>
      <c r="B405" s="76"/>
      <c r="C405" s="76"/>
    </row>
    <row r="406" spans="1:3" ht="15" customHeight="1" x14ac:dyDescent="0.25">
      <c r="A406" s="76"/>
      <c r="B406" s="76"/>
      <c r="C406" s="76"/>
    </row>
    <row r="407" spans="1:3" ht="15" customHeight="1" x14ac:dyDescent="0.25">
      <c r="A407" s="76"/>
      <c r="B407" s="76"/>
      <c r="C407" s="76"/>
    </row>
    <row r="408" spans="1:3" ht="15" customHeight="1" x14ac:dyDescent="0.25">
      <c r="A408" s="76"/>
      <c r="B408" s="76"/>
      <c r="C408" s="76"/>
    </row>
    <row r="409" spans="1:3" ht="15" customHeight="1" x14ac:dyDescent="0.25">
      <c r="A409" s="76"/>
      <c r="B409" s="76"/>
      <c r="C409" s="76"/>
    </row>
    <row r="410" spans="1:3" ht="15" customHeight="1" x14ac:dyDescent="0.25">
      <c r="A410" s="76"/>
      <c r="B410" s="76"/>
      <c r="C410" s="76"/>
    </row>
    <row r="411" spans="1:3" ht="15" customHeight="1" x14ac:dyDescent="0.25">
      <c r="A411" s="76"/>
      <c r="B411" s="76"/>
      <c r="C411" s="76"/>
    </row>
    <row r="412" spans="1:3" ht="15" customHeight="1" x14ac:dyDescent="0.25">
      <c r="A412" s="76"/>
      <c r="B412" s="76"/>
      <c r="C412" s="76"/>
    </row>
    <row r="413" spans="1:3" ht="15" customHeight="1" x14ac:dyDescent="0.25">
      <c r="A413" s="76"/>
      <c r="B413" s="76"/>
      <c r="C413" s="76"/>
    </row>
    <row r="414" spans="1:3" ht="15" customHeight="1" x14ac:dyDescent="0.25">
      <c r="A414" s="76"/>
      <c r="B414" s="76"/>
      <c r="C414" s="76"/>
    </row>
    <row r="415" spans="1:3" ht="15" customHeight="1" x14ac:dyDescent="0.25">
      <c r="A415" s="76"/>
      <c r="B415" s="76"/>
      <c r="C415" s="76"/>
    </row>
    <row r="416" spans="1:3" ht="15" customHeight="1" x14ac:dyDescent="0.25">
      <c r="A416" s="76"/>
      <c r="B416" s="76"/>
      <c r="C416" s="76"/>
    </row>
    <row r="417" spans="1:3" ht="15" customHeight="1" x14ac:dyDescent="0.25">
      <c r="A417" s="76"/>
      <c r="B417" s="76"/>
      <c r="C417" s="76"/>
    </row>
    <row r="418" spans="1:3" ht="15" customHeight="1" x14ac:dyDescent="0.25">
      <c r="A418" s="76"/>
      <c r="B418" s="76"/>
      <c r="C418" s="76"/>
    </row>
    <row r="419" spans="1:3" ht="15" customHeight="1" x14ac:dyDescent="0.25">
      <c r="A419" s="76"/>
      <c r="B419" s="76"/>
      <c r="C419" s="76"/>
    </row>
    <row r="420" spans="1:3" ht="15" customHeight="1" x14ac:dyDescent="0.25">
      <c r="A420" s="76"/>
      <c r="B420" s="76"/>
      <c r="C420" s="76"/>
    </row>
    <row r="421" spans="1:3" ht="15" customHeight="1" x14ac:dyDescent="0.25">
      <c r="A421" s="76"/>
      <c r="B421" s="76"/>
      <c r="C421" s="76"/>
    </row>
    <row r="422" spans="1:3" ht="15" customHeight="1" x14ac:dyDescent="0.25">
      <c r="A422" s="76"/>
      <c r="B422" s="76"/>
      <c r="C422" s="76"/>
    </row>
    <row r="423" spans="1:3" ht="15" customHeight="1" x14ac:dyDescent="0.25">
      <c r="A423" s="76"/>
      <c r="B423" s="76"/>
      <c r="C423" s="76"/>
    </row>
    <row r="424" spans="1:3" ht="15" customHeight="1" x14ac:dyDescent="0.25">
      <c r="A424" s="76"/>
      <c r="B424" s="76"/>
      <c r="C424" s="76"/>
    </row>
    <row r="425" spans="1:3" ht="15" customHeight="1" x14ac:dyDescent="0.25">
      <c r="A425" s="76"/>
      <c r="B425" s="76"/>
      <c r="C425" s="76"/>
    </row>
    <row r="426" spans="1:3" ht="15" customHeight="1" x14ac:dyDescent="0.25">
      <c r="A426" s="76"/>
      <c r="B426" s="76"/>
      <c r="C426" s="76"/>
    </row>
    <row r="427" spans="1:3" ht="15" customHeight="1" x14ac:dyDescent="0.25">
      <c r="A427" s="76"/>
      <c r="B427" s="76"/>
      <c r="C427" s="76"/>
    </row>
    <row r="428" spans="1:3" ht="15" customHeight="1" x14ac:dyDescent="0.25">
      <c r="A428" s="76"/>
      <c r="B428" s="76"/>
      <c r="C428" s="76"/>
    </row>
    <row r="429" spans="1:3" ht="15" customHeight="1" x14ac:dyDescent="0.25">
      <c r="A429" s="76"/>
      <c r="B429" s="76"/>
      <c r="C429" s="76"/>
    </row>
    <row r="430" spans="1:3" ht="15" customHeight="1" x14ac:dyDescent="0.25">
      <c r="A430" s="76"/>
      <c r="B430" s="76"/>
      <c r="C430" s="76"/>
    </row>
    <row r="431" spans="1:3" ht="15" customHeight="1" x14ac:dyDescent="0.25">
      <c r="A431" s="76"/>
      <c r="B431" s="76"/>
      <c r="C431" s="76"/>
    </row>
    <row r="432" spans="1:3" ht="15" customHeight="1" x14ac:dyDescent="0.25">
      <c r="A432" s="76"/>
      <c r="B432" s="76"/>
      <c r="C432" s="76"/>
    </row>
    <row r="433" spans="1:3" ht="15" customHeight="1" x14ac:dyDescent="0.25">
      <c r="A433" s="76"/>
      <c r="B433" s="76"/>
      <c r="C433" s="76"/>
    </row>
    <row r="434" spans="1:3" ht="15" customHeight="1" x14ac:dyDescent="0.25">
      <c r="A434" s="76"/>
      <c r="B434" s="76"/>
      <c r="C434" s="76"/>
    </row>
    <row r="435" spans="1:3" ht="15" customHeight="1" x14ac:dyDescent="0.25">
      <c r="A435" s="76"/>
      <c r="B435" s="76"/>
      <c r="C435" s="76"/>
    </row>
    <row r="436" spans="1:3" ht="15" customHeight="1" x14ac:dyDescent="0.25">
      <c r="A436" s="76"/>
      <c r="B436" s="76"/>
      <c r="C436" s="76"/>
    </row>
    <row r="437" spans="1:3" ht="15" customHeight="1" x14ac:dyDescent="0.25">
      <c r="A437" s="76"/>
      <c r="B437" s="76"/>
      <c r="C437" s="76"/>
    </row>
    <row r="438" spans="1:3" ht="15" customHeight="1" x14ac:dyDescent="0.25">
      <c r="A438" s="76"/>
      <c r="B438" s="76"/>
      <c r="C438" s="76"/>
    </row>
    <row r="439" spans="1:3" ht="15" customHeight="1" x14ac:dyDescent="0.25">
      <c r="A439" s="76"/>
      <c r="B439" s="76"/>
      <c r="C439" s="76"/>
    </row>
    <row r="440" spans="1:3" ht="15" customHeight="1" x14ac:dyDescent="0.25">
      <c r="A440" s="76"/>
      <c r="B440" s="76"/>
      <c r="C440" s="76"/>
    </row>
    <row r="441" spans="1:3" ht="15" customHeight="1" x14ac:dyDescent="0.25">
      <c r="A441" s="76"/>
      <c r="B441" s="76"/>
      <c r="C441" s="76"/>
    </row>
    <row r="442" spans="1:3" ht="15" customHeight="1" x14ac:dyDescent="0.25">
      <c r="A442" s="76"/>
      <c r="B442" s="76"/>
      <c r="C442" s="76"/>
    </row>
    <row r="443" spans="1:3" ht="15" customHeight="1" x14ac:dyDescent="0.25">
      <c r="A443" s="76"/>
      <c r="B443" s="76"/>
      <c r="C443" s="76"/>
    </row>
    <row r="444" spans="1:3" ht="15" customHeight="1" x14ac:dyDescent="0.25">
      <c r="A444" s="76"/>
      <c r="B444" s="76"/>
      <c r="C444" s="76"/>
    </row>
    <row r="445" spans="1:3" ht="15" customHeight="1" x14ac:dyDescent="0.25">
      <c r="A445" s="76"/>
      <c r="B445" s="76"/>
      <c r="C445" s="76"/>
    </row>
    <row r="446" spans="1:3" ht="15" customHeight="1" x14ac:dyDescent="0.25">
      <c r="A446" s="76"/>
      <c r="B446" s="76"/>
      <c r="C446" s="76"/>
    </row>
    <row r="447" spans="1:3" ht="15" customHeight="1" x14ac:dyDescent="0.25">
      <c r="A447" s="76"/>
      <c r="B447" s="76"/>
      <c r="C447" s="76"/>
    </row>
    <row r="448" spans="1:3" ht="15" customHeight="1" x14ac:dyDescent="0.25">
      <c r="A448" s="76"/>
      <c r="B448" s="76"/>
      <c r="C448" s="76"/>
    </row>
    <row r="449" spans="1:3" ht="15" customHeight="1" x14ac:dyDescent="0.25">
      <c r="A449" s="76"/>
      <c r="B449" s="76"/>
      <c r="C449" s="76"/>
    </row>
    <row r="450" spans="1:3" ht="15" customHeight="1" x14ac:dyDescent="0.25">
      <c r="A450" s="76"/>
      <c r="B450" s="76"/>
      <c r="C450" s="76"/>
    </row>
    <row r="451" spans="1:3" ht="15" customHeight="1" x14ac:dyDescent="0.25">
      <c r="A451" s="76"/>
      <c r="B451" s="76"/>
      <c r="C451" s="76"/>
    </row>
    <row r="452" spans="1:3" ht="15" customHeight="1" x14ac:dyDescent="0.25">
      <c r="A452" s="76"/>
      <c r="B452" s="76"/>
      <c r="C452" s="76"/>
    </row>
    <row r="453" spans="1:3" ht="15" customHeight="1" x14ac:dyDescent="0.25">
      <c r="A453" s="76"/>
      <c r="B453" s="76"/>
      <c r="C453" s="76"/>
    </row>
    <row r="454" spans="1:3" ht="15" customHeight="1" x14ac:dyDescent="0.25">
      <c r="A454" s="76"/>
      <c r="B454" s="76"/>
      <c r="C454" s="76"/>
    </row>
    <row r="455" spans="1:3" ht="15" customHeight="1" x14ac:dyDescent="0.25">
      <c r="A455" s="76"/>
      <c r="B455" s="76"/>
      <c r="C455" s="76"/>
    </row>
    <row r="456" spans="1:3" ht="15" customHeight="1" x14ac:dyDescent="0.25">
      <c r="A456" s="76"/>
      <c r="B456" s="76"/>
      <c r="C456" s="76"/>
    </row>
    <row r="457" spans="1:3" ht="15" customHeight="1" x14ac:dyDescent="0.25">
      <c r="A457" s="76"/>
      <c r="B457" s="76"/>
      <c r="C457" s="76"/>
    </row>
    <row r="458" spans="1:3" ht="15" customHeight="1" x14ac:dyDescent="0.25">
      <c r="A458" s="76"/>
      <c r="B458" s="76"/>
      <c r="C458" s="76"/>
    </row>
    <row r="459" spans="1:3" ht="15" customHeight="1" x14ac:dyDescent="0.25">
      <c r="A459" s="76"/>
      <c r="B459" s="76"/>
      <c r="C459" s="76"/>
    </row>
    <row r="460" spans="1:3" ht="15" customHeight="1" x14ac:dyDescent="0.25">
      <c r="A460" s="76"/>
      <c r="B460" s="76"/>
      <c r="C460" s="76"/>
    </row>
    <row r="461" spans="1:3" ht="15" customHeight="1" x14ac:dyDescent="0.25">
      <c r="A461" s="76"/>
      <c r="B461" s="76"/>
      <c r="C461" s="76"/>
    </row>
    <row r="462" spans="1:3" ht="15" customHeight="1" x14ac:dyDescent="0.25">
      <c r="A462" s="76"/>
      <c r="B462" s="76"/>
      <c r="C462" s="76"/>
    </row>
    <row r="463" spans="1:3" ht="15" customHeight="1" x14ac:dyDescent="0.25">
      <c r="A463" s="76"/>
      <c r="B463" s="76"/>
      <c r="C463" s="76"/>
    </row>
    <row r="464" spans="1:3" ht="15" customHeight="1" x14ac:dyDescent="0.25">
      <c r="A464" s="76"/>
      <c r="B464" s="76"/>
      <c r="C464" s="76"/>
    </row>
  </sheetData>
  <autoFilter ref="E1:E465"/>
  <mergeCells count="11">
    <mergeCell ref="A4:L4"/>
    <mergeCell ref="G2:G3"/>
    <mergeCell ref="H2:L2"/>
    <mergeCell ref="M2:Z2"/>
    <mergeCell ref="A1:M1"/>
    <mergeCell ref="A2:A3"/>
    <mergeCell ref="B2:B3"/>
    <mergeCell ref="C2:C3"/>
    <mergeCell ref="D2:D3"/>
    <mergeCell ref="E2:E3"/>
    <mergeCell ref="F2:F3"/>
  </mergeCells>
  <conditionalFormatting sqref="E5:E263">
    <cfRule type="expression" dxfId="7" priority="1">
      <formula>#REF!="OTHER"</formula>
    </cfRule>
    <cfRule type="expression" dxfId="6" priority="2">
      <formula>#REF!="BOF"</formula>
    </cfRule>
    <cfRule type="expression" dxfId="5" priority="3">
      <formula>#REF!="SWS"</formula>
    </cfRule>
    <cfRule type="expression" dxfId="4" priority="4">
      <formula>#REF!="BOD"</formula>
    </cfRule>
  </conditionalFormatting>
  <dataValidations count="2">
    <dataValidation type="list" allowBlank="1" showInputMessage="1" showErrorMessage="1" sqref="C5:C263">
      <formula1>"BOD, BOF, SWS, 1AX, 1GX, 1PX, 1VX, 1WX, 2CX, 6BX, ADX, ELX, OWX, MHQ, DFR, LPE, SRL"</formula1>
    </dataValidation>
    <dataValidation type="list" allowBlank="1" showInputMessage="1" showErrorMessage="1" sqref="G5:G263">
      <formula1>"H, L, A, FA, RFD, O"</formula1>
    </dataValidation>
  </dataValidations>
  <pageMargins left="0.25" right="0.25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464"/>
  <sheetViews>
    <sheetView zoomScale="90" zoomScaleNormal="90" workbookViewId="0">
      <selection activeCell="E32" sqref="E32"/>
    </sheetView>
  </sheetViews>
  <sheetFormatPr defaultColWidth="8.5703125" defaultRowHeight="15" customHeight="1" x14ac:dyDescent="0.25"/>
  <cols>
    <col min="1" max="3" width="7.7109375" style="62" customWidth="1"/>
    <col min="4" max="4" width="7.7109375" style="63" customWidth="1"/>
    <col min="5" max="5" width="35.42578125" style="62" customWidth="1"/>
    <col min="6" max="6" width="9" style="62" customWidth="1"/>
    <col min="7" max="7" width="7.7109375" style="62" customWidth="1"/>
    <col min="8" max="8" width="8.42578125" style="62" customWidth="1"/>
    <col min="9" max="9" width="8.28515625" style="62" customWidth="1"/>
    <col min="10" max="10" width="9.140625" style="62" customWidth="1"/>
    <col min="11" max="16384" width="8.5703125" style="42"/>
  </cols>
  <sheetData>
    <row r="1" spans="1:10" ht="15" customHeight="1" x14ac:dyDescent="0.25">
      <c r="A1" s="283" t="s">
        <v>89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6.5" customHeight="1" x14ac:dyDescent="0.25">
      <c r="A2" s="284" t="s">
        <v>0</v>
      </c>
      <c r="B2" s="284" t="s">
        <v>10</v>
      </c>
      <c r="C2" s="295" t="s">
        <v>90</v>
      </c>
      <c r="D2" s="292" t="s">
        <v>1</v>
      </c>
      <c r="E2" s="284" t="s">
        <v>6</v>
      </c>
      <c r="F2" s="286" t="s">
        <v>9</v>
      </c>
      <c r="G2" s="286"/>
      <c r="H2" s="286"/>
      <c r="I2" s="286"/>
      <c r="J2" s="286"/>
    </row>
    <row r="3" spans="1:10" s="3" customFormat="1" ht="35.25" customHeight="1" x14ac:dyDescent="0.25">
      <c r="A3" s="285"/>
      <c r="B3" s="285"/>
      <c r="C3" s="296"/>
      <c r="D3" s="293"/>
      <c r="E3" s="285"/>
      <c r="F3" s="155" t="s">
        <v>11</v>
      </c>
      <c r="G3" s="155" t="s">
        <v>17</v>
      </c>
      <c r="H3" s="155" t="s">
        <v>18</v>
      </c>
      <c r="I3" s="155" t="s">
        <v>19</v>
      </c>
      <c r="J3" s="155" t="s">
        <v>20</v>
      </c>
    </row>
    <row r="4" spans="1:10" s="3" customFormat="1" ht="15" customHeight="1" x14ac:dyDescent="0.25">
      <c r="A4" s="308"/>
      <c r="B4" s="309"/>
      <c r="C4" s="309"/>
      <c r="D4" s="309"/>
      <c r="E4" s="309"/>
      <c r="F4" s="309"/>
      <c r="G4" s="309"/>
      <c r="H4" s="309"/>
      <c r="I4" s="309"/>
      <c r="J4" s="310"/>
    </row>
    <row r="5" spans="1:10" ht="15" customHeight="1" x14ac:dyDescent="0.25">
      <c r="A5" s="59">
        <v>43554</v>
      </c>
      <c r="B5" s="59" t="s">
        <v>200</v>
      </c>
      <c r="C5" s="59" t="s">
        <v>27</v>
      </c>
      <c r="D5" s="60">
        <v>40</v>
      </c>
      <c r="E5" s="156" t="s">
        <v>201</v>
      </c>
      <c r="F5" s="156" t="s">
        <v>202</v>
      </c>
      <c r="G5" s="156" t="s">
        <v>417</v>
      </c>
      <c r="H5" s="156" t="s">
        <v>418</v>
      </c>
      <c r="I5" s="156">
        <v>600967</v>
      </c>
      <c r="J5" s="156">
        <v>4760745</v>
      </c>
    </row>
    <row r="6" spans="1:10" ht="15" customHeight="1" x14ac:dyDescent="0.25">
      <c r="A6" s="59">
        <v>43629</v>
      </c>
      <c r="B6" s="59" t="s">
        <v>256</v>
      </c>
      <c r="C6" s="59" t="s">
        <v>28</v>
      </c>
      <c r="D6" s="60">
        <v>257</v>
      </c>
      <c r="E6" s="156" t="s">
        <v>322</v>
      </c>
      <c r="F6" s="156" t="s">
        <v>293</v>
      </c>
      <c r="G6" s="156" t="s">
        <v>419</v>
      </c>
      <c r="H6" s="156" t="s">
        <v>420</v>
      </c>
      <c r="I6" s="208"/>
      <c r="J6" s="208"/>
    </row>
    <row r="7" spans="1:10" ht="15" customHeight="1" x14ac:dyDescent="0.25">
      <c r="A7" s="59">
        <v>43634</v>
      </c>
      <c r="B7" s="59" t="s">
        <v>256</v>
      </c>
      <c r="C7" s="59" t="s">
        <v>28</v>
      </c>
      <c r="D7" s="60">
        <v>281</v>
      </c>
      <c r="E7" s="156" t="s">
        <v>323</v>
      </c>
      <c r="F7" s="156" t="s">
        <v>307</v>
      </c>
      <c r="G7" s="156" t="s">
        <v>421</v>
      </c>
      <c r="H7" s="156" t="s">
        <v>422</v>
      </c>
      <c r="I7" s="208"/>
      <c r="J7" s="208"/>
    </row>
    <row r="8" spans="1:10" ht="15" customHeight="1" x14ac:dyDescent="0.25">
      <c r="A8" s="59">
        <v>43638</v>
      </c>
      <c r="B8" s="59" t="s">
        <v>256</v>
      </c>
      <c r="C8" s="59" t="s">
        <v>28</v>
      </c>
      <c r="D8" s="60">
        <v>303</v>
      </c>
      <c r="E8" s="156" t="s">
        <v>324</v>
      </c>
      <c r="F8" s="156" t="s">
        <v>321</v>
      </c>
      <c r="G8" s="156" t="s">
        <v>423</v>
      </c>
      <c r="H8" s="156" t="s">
        <v>424</v>
      </c>
      <c r="I8" s="208"/>
      <c r="J8" s="208"/>
    </row>
    <row r="9" spans="1:10" ht="15" customHeight="1" x14ac:dyDescent="0.25">
      <c r="A9" s="59">
        <v>43639</v>
      </c>
      <c r="B9" s="59" t="s">
        <v>333</v>
      </c>
      <c r="C9" s="59" t="s">
        <v>27</v>
      </c>
      <c r="D9" s="60">
        <v>306</v>
      </c>
      <c r="E9" s="156" t="s">
        <v>334</v>
      </c>
      <c r="F9" s="156" t="s">
        <v>335</v>
      </c>
      <c r="G9" s="156" t="s">
        <v>425</v>
      </c>
      <c r="H9" s="156" t="s">
        <v>426</v>
      </c>
      <c r="I9" s="156">
        <v>607548</v>
      </c>
      <c r="J9" s="156">
        <v>4778475</v>
      </c>
    </row>
    <row r="10" spans="1:10" ht="15" customHeight="1" x14ac:dyDescent="0.25">
      <c r="A10" s="59">
        <v>43641</v>
      </c>
      <c r="B10" s="59" t="s">
        <v>256</v>
      </c>
      <c r="C10" s="59" t="s">
        <v>28</v>
      </c>
      <c r="D10" s="60">
        <v>317</v>
      </c>
      <c r="E10" s="156" t="s">
        <v>340</v>
      </c>
      <c r="F10" s="156" t="s">
        <v>341</v>
      </c>
      <c r="G10" s="156" t="s">
        <v>427</v>
      </c>
      <c r="H10" s="156" t="s">
        <v>428</v>
      </c>
      <c r="I10" s="208"/>
      <c r="J10" s="208"/>
    </row>
    <row r="11" spans="1:10" ht="15" customHeight="1" x14ac:dyDescent="0.25">
      <c r="A11" s="59">
        <v>43641</v>
      </c>
      <c r="B11" s="59" t="s">
        <v>256</v>
      </c>
      <c r="C11" s="59" t="s">
        <v>28</v>
      </c>
      <c r="D11" s="60">
        <v>323</v>
      </c>
      <c r="E11" s="156" t="s">
        <v>342</v>
      </c>
      <c r="F11" s="156" t="s">
        <v>343</v>
      </c>
      <c r="G11" s="156" t="s">
        <v>429</v>
      </c>
      <c r="H11" s="156" t="s">
        <v>430</v>
      </c>
      <c r="I11" s="208"/>
      <c r="J11" s="208"/>
    </row>
    <row r="12" spans="1:10" ht="15" customHeight="1" x14ac:dyDescent="0.25">
      <c r="A12" s="59">
        <v>43645</v>
      </c>
      <c r="B12" s="59" t="s">
        <v>354</v>
      </c>
      <c r="C12" s="59" t="s">
        <v>27</v>
      </c>
      <c r="D12" s="60">
        <v>342</v>
      </c>
      <c r="E12" s="156" t="s">
        <v>352</v>
      </c>
      <c r="F12" s="156" t="s">
        <v>353</v>
      </c>
      <c r="G12" s="156" t="s">
        <v>431</v>
      </c>
      <c r="H12" s="156" t="s">
        <v>432</v>
      </c>
      <c r="I12" s="156">
        <v>571804</v>
      </c>
      <c r="J12" s="156">
        <v>4814019</v>
      </c>
    </row>
    <row r="13" spans="1:10" ht="15" customHeight="1" x14ac:dyDescent="0.25">
      <c r="A13" s="59">
        <v>43647</v>
      </c>
      <c r="B13" s="59" t="s">
        <v>366</v>
      </c>
      <c r="C13" s="59" t="s">
        <v>30</v>
      </c>
      <c r="D13" s="60">
        <v>348</v>
      </c>
      <c r="E13" s="156" t="s">
        <v>367</v>
      </c>
      <c r="F13" s="156" t="s">
        <v>368</v>
      </c>
      <c r="G13" s="156" t="s">
        <v>433</v>
      </c>
      <c r="H13" s="156" t="s">
        <v>434</v>
      </c>
      <c r="I13" s="208"/>
      <c r="J13" s="208"/>
    </row>
    <row r="14" spans="1:10" ht="15" customHeight="1" x14ac:dyDescent="0.25">
      <c r="A14" s="59">
        <v>43650</v>
      </c>
      <c r="B14" s="59" t="s">
        <v>385</v>
      </c>
      <c r="C14" s="59" t="s">
        <v>27</v>
      </c>
      <c r="D14" s="60">
        <v>368</v>
      </c>
      <c r="E14" s="156" t="s">
        <v>386</v>
      </c>
      <c r="F14" s="156" t="s">
        <v>387</v>
      </c>
      <c r="G14" s="156" t="s">
        <v>435</v>
      </c>
      <c r="H14" s="156" t="s">
        <v>436</v>
      </c>
      <c r="I14" s="156">
        <v>568050</v>
      </c>
      <c r="J14" s="156">
        <v>4820487</v>
      </c>
    </row>
    <row r="15" spans="1:10" ht="15" customHeight="1" x14ac:dyDescent="0.25">
      <c r="A15" s="59">
        <v>43653</v>
      </c>
      <c r="B15" s="59" t="s">
        <v>413</v>
      </c>
      <c r="C15" s="59" t="s">
        <v>27</v>
      </c>
      <c r="D15" s="60">
        <v>391</v>
      </c>
      <c r="E15" s="156" t="s">
        <v>412</v>
      </c>
      <c r="F15" s="156" t="s">
        <v>414</v>
      </c>
      <c r="G15" s="156" t="s">
        <v>437</v>
      </c>
      <c r="H15" s="156" t="s">
        <v>438</v>
      </c>
      <c r="I15" s="156">
        <v>619581</v>
      </c>
      <c r="J15" s="156">
        <v>4790696</v>
      </c>
    </row>
    <row r="16" spans="1:10" ht="15" customHeight="1" x14ac:dyDescent="0.25">
      <c r="A16" s="59">
        <v>43654</v>
      </c>
      <c r="B16" s="59" t="s">
        <v>450</v>
      </c>
      <c r="C16" s="59" t="s">
        <v>27</v>
      </c>
      <c r="D16" s="60">
        <v>395</v>
      </c>
      <c r="E16" s="156" t="s">
        <v>449</v>
      </c>
      <c r="F16" s="156" t="s">
        <v>451</v>
      </c>
      <c r="G16" s="156" t="s">
        <v>456</v>
      </c>
      <c r="H16" s="156" t="s">
        <v>457</v>
      </c>
      <c r="I16" s="208"/>
      <c r="J16" s="208"/>
    </row>
    <row r="17" spans="1:11" ht="15" customHeight="1" x14ac:dyDescent="0.25">
      <c r="A17" s="59">
        <v>43656</v>
      </c>
      <c r="B17" s="59" t="s">
        <v>256</v>
      </c>
      <c r="C17" s="59" t="s">
        <v>28</v>
      </c>
      <c r="D17" s="60">
        <v>402</v>
      </c>
      <c r="E17" s="156" t="s">
        <v>459</v>
      </c>
      <c r="F17" s="156" t="s">
        <v>460</v>
      </c>
      <c r="G17" s="156" t="s">
        <v>461</v>
      </c>
      <c r="H17" s="156" t="s">
        <v>462</v>
      </c>
      <c r="I17" s="208"/>
      <c r="J17" s="208"/>
      <c r="K17" s="42" t="s">
        <v>5</v>
      </c>
    </row>
    <row r="18" spans="1:11" ht="15" customHeight="1" x14ac:dyDescent="0.25">
      <c r="A18" s="59">
        <v>43659</v>
      </c>
      <c r="B18" s="59" t="s">
        <v>256</v>
      </c>
      <c r="C18" s="59" t="s">
        <v>28</v>
      </c>
      <c r="D18" s="60">
        <v>417</v>
      </c>
      <c r="E18" s="156" t="s">
        <v>482</v>
      </c>
      <c r="F18" s="156" t="s">
        <v>483</v>
      </c>
      <c r="G18" s="156" t="s">
        <v>484</v>
      </c>
      <c r="H18" s="156" t="s">
        <v>485</v>
      </c>
      <c r="I18" s="208"/>
      <c r="J18" s="208"/>
    </row>
    <row r="19" spans="1:11" ht="15" customHeight="1" x14ac:dyDescent="0.25">
      <c r="A19" s="59">
        <v>43669</v>
      </c>
      <c r="B19" s="59" t="s">
        <v>588</v>
      </c>
      <c r="C19" s="59" t="s">
        <v>27</v>
      </c>
      <c r="D19" s="60">
        <v>470</v>
      </c>
      <c r="E19" s="156" t="s">
        <v>586</v>
      </c>
      <c r="F19" s="156" t="s">
        <v>587</v>
      </c>
      <c r="G19" s="156" t="s">
        <v>589</v>
      </c>
      <c r="H19" s="156" t="s">
        <v>590</v>
      </c>
      <c r="I19" s="208"/>
      <c r="J19" s="208"/>
    </row>
    <row r="20" spans="1:11" ht="15" customHeight="1" x14ac:dyDescent="0.25">
      <c r="A20" s="59">
        <v>43671</v>
      </c>
      <c r="B20" s="59" t="s">
        <v>256</v>
      </c>
      <c r="C20" s="59" t="s">
        <v>28</v>
      </c>
      <c r="D20" s="60">
        <v>503</v>
      </c>
      <c r="E20" s="156" t="s">
        <v>617</v>
      </c>
      <c r="F20" s="156" t="s">
        <v>737</v>
      </c>
      <c r="G20" s="156" t="s">
        <v>618</v>
      </c>
      <c r="H20" s="156" t="s">
        <v>619</v>
      </c>
      <c r="I20" s="208"/>
      <c r="J20" s="208"/>
    </row>
    <row r="21" spans="1:11" ht="15" customHeight="1" x14ac:dyDescent="0.25">
      <c r="A21" s="59">
        <v>43683</v>
      </c>
      <c r="B21" s="59" t="s">
        <v>791</v>
      </c>
      <c r="C21" s="59" t="s">
        <v>30</v>
      </c>
      <c r="D21" s="60">
        <v>606</v>
      </c>
      <c r="E21" s="156" t="s">
        <v>788</v>
      </c>
      <c r="F21" s="156" t="s">
        <v>787</v>
      </c>
      <c r="G21" s="156" t="s">
        <v>789</v>
      </c>
      <c r="H21" s="156" t="s">
        <v>790</v>
      </c>
      <c r="I21" s="208"/>
      <c r="J21" s="208"/>
    </row>
    <row r="22" spans="1:11" ht="15" customHeight="1" x14ac:dyDescent="0.25">
      <c r="A22" s="59">
        <v>43680</v>
      </c>
      <c r="B22" s="59" t="s">
        <v>813</v>
      </c>
      <c r="C22" s="59" t="s">
        <v>30</v>
      </c>
      <c r="D22" s="60">
        <v>575</v>
      </c>
      <c r="E22" s="156" t="s">
        <v>814</v>
      </c>
      <c r="F22" s="156" t="s">
        <v>815</v>
      </c>
      <c r="G22" s="156" t="s">
        <v>816</v>
      </c>
      <c r="H22" s="156" t="s">
        <v>817</v>
      </c>
      <c r="I22" s="208"/>
      <c r="J22" s="208"/>
    </row>
    <row r="23" spans="1:11" ht="15" customHeight="1" x14ac:dyDescent="0.25">
      <c r="A23" s="59">
        <v>43686</v>
      </c>
      <c r="B23" s="59" t="s">
        <v>256</v>
      </c>
      <c r="C23" s="59" t="s">
        <v>28</v>
      </c>
      <c r="D23" s="60">
        <v>626</v>
      </c>
      <c r="E23" s="156" t="s">
        <v>842</v>
      </c>
      <c r="F23" s="156" t="s">
        <v>843</v>
      </c>
      <c r="G23" s="156" t="s">
        <v>844</v>
      </c>
      <c r="H23" s="156" t="s">
        <v>845</v>
      </c>
      <c r="I23" s="208"/>
      <c r="J23" s="208"/>
    </row>
    <row r="24" spans="1:11" ht="15" customHeight="1" x14ac:dyDescent="0.25">
      <c r="A24" s="59">
        <v>43687</v>
      </c>
      <c r="B24" s="59" t="s">
        <v>256</v>
      </c>
      <c r="C24" s="59" t="s">
        <v>28</v>
      </c>
      <c r="D24" s="60">
        <v>640</v>
      </c>
      <c r="E24" s="156" t="s">
        <v>873</v>
      </c>
      <c r="F24" s="156" t="s">
        <v>870</v>
      </c>
      <c r="G24" s="156" t="s">
        <v>874</v>
      </c>
      <c r="H24" s="156" t="s">
        <v>875</v>
      </c>
      <c r="I24" s="208"/>
      <c r="J24" s="208"/>
    </row>
    <row r="25" spans="1:11" ht="15" customHeight="1" x14ac:dyDescent="0.25">
      <c r="A25" s="59">
        <v>43694</v>
      </c>
      <c r="B25" s="156" t="s">
        <v>987</v>
      </c>
      <c r="C25" s="156" t="s">
        <v>30</v>
      </c>
      <c r="D25" s="156">
        <v>683</v>
      </c>
      <c r="E25" s="156" t="s">
        <v>986</v>
      </c>
      <c r="F25" s="156" t="s">
        <v>983</v>
      </c>
      <c r="G25" s="156" t="s">
        <v>984</v>
      </c>
      <c r="H25" s="156" t="s">
        <v>985</v>
      </c>
      <c r="I25" s="208"/>
      <c r="J25" s="208"/>
    </row>
    <row r="26" spans="1:11" ht="15" customHeight="1" x14ac:dyDescent="0.25">
      <c r="A26" s="59">
        <v>43699</v>
      </c>
      <c r="B26" s="59" t="s">
        <v>256</v>
      </c>
      <c r="C26" s="59" t="s">
        <v>28</v>
      </c>
      <c r="D26" s="60">
        <v>714</v>
      </c>
      <c r="E26" s="156" t="s">
        <v>1165</v>
      </c>
      <c r="F26" s="156" t="s">
        <v>1166</v>
      </c>
      <c r="G26" s="156" t="s">
        <v>1167</v>
      </c>
      <c r="H26" s="156" t="s">
        <v>1168</v>
      </c>
      <c r="I26" s="208"/>
      <c r="J26" s="208"/>
    </row>
    <row r="27" spans="1:11" ht="15" customHeight="1" x14ac:dyDescent="0.25">
      <c r="A27" s="59">
        <v>43710</v>
      </c>
      <c r="B27" s="156" t="s">
        <v>256</v>
      </c>
      <c r="C27" s="156" t="s">
        <v>28</v>
      </c>
      <c r="D27" s="156">
        <v>768</v>
      </c>
      <c r="E27" s="156" t="s">
        <v>1263</v>
      </c>
      <c r="F27" s="156" t="s">
        <v>1169</v>
      </c>
      <c r="G27" s="156" t="s">
        <v>1170</v>
      </c>
      <c r="H27" s="156" t="s">
        <v>1171</v>
      </c>
      <c r="I27" s="208"/>
      <c r="J27" s="208"/>
    </row>
    <row r="28" spans="1:11" ht="15" customHeight="1" x14ac:dyDescent="0.25">
      <c r="A28" s="59">
        <v>43715</v>
      </c>
      <c r="B28" s="59" t="s">
        <v>256</v>
      </c>
      <c r="C28" s="59" t="s">
        <v>28</v>
      </c>
      <c r="D28" s="60">
        <v>817</v>
      </c>
      <c r="E28" s="156" t="s">
        <v>1272</v>
      </c>
      <c r="F28" s="37" t="s">
        <v>1264</v>
      </c>
      <c r="G28" s="37" t="s">
        <v>1265</v>
      </c>
      <c r="H28" s="37" t="s">
        <v>1266</v>
      </c>
      <c r="I28" s="208"/>
      <c r="J28" s="208"/>
    </row>
    <row r="29" spans="1:11" ht="15" customHeight="1" x14ac:dyDescent="0.25">
      <c r="A29" s="59">
        <v>43716</v>
      </c>
      <c r="B29" s="59" t="s">
        <v>1276</v>
      </c>
      <c r="C29" s="59" t="s">
        <v>27</v>
      </c>
      <c r="D29" s="60">
        <v>822</v>
      </c>
      <c r="E29" s="156" t="s">
        <v>1271</v>
      </c>
      <c r="F29" s="37" t="s">
        <v>1273</v>
      </c>
      <c r="G29" s="37" t="s">
        <v>1274</v>
      </c>
      <c r="H29" s="37" t="s">
        <v>1275</v>
      </c>
      <c r="I29" s="208"/>
      <c r="J29" s="208"/>
    </row>
    <row r="30" spans="1:11" ht="15" customHeight="1" x14ac:dyDescent="0.25">
      <c r="A30" s="59">
        <v>43770</v>
      </c>
      <c r="B30" s="156" t="s">
        <v>1536</v>
      </c>
      <c r="C30" s="156" t="s">
        <v>30</v>
      </c>
      <c r="D30" s="156">
        <v>977</v>
      </c>
      <c r="E30" s="156" t="s">
        <v>1535</v>
      </c>
      <c r="F30" s="156" t="s">
        <v>1542</v>
      </c>
      <c r="G30" s="156" t="s">
        <v>1543</v>
      </c>
      <c r="H30" s="156" t="s">
        <v>1544</v>
      </c>
      <c r="I30" s="208"/>
      <c r="J30" s="208"/>
    </row>
    <row r="31" spans="1:11" ht="15" customHeight="1" x14ac:dyDescent="0.25">
      <c r="A31" s="59"/>
      <c r="B31" s="59"/>
      <c r="C31" s="59"/>
      <c r="D31" s="60"/>
      <c r="E31" s="156"/>
      <c r="F31" s="156"/>
      <c r="G31" s="156"/>
      <c r="H31" s="156"/>
      <c r="I31" s="156"/>
      <c r="J31" s="156"/>
    </row>
    <row r="32" spans="1:11" ht="15" customHeight="1" x14ac:dyDescent="0.25">
      <c r="A32" s="59"/>
      <c r="B32" s="59"/>
      <c r="C32" s="59"/>
      <c r="D32" s="60"/>
      <c r="E32" s="156"/>
      <c r="F32" s="156"/>
      <c r="G32" s="156"/>
      <c r="H32" s="156"/>
      <c r="I32" s="156"/>
      <c r="J32" s="156"/>
    </row>
    <row r="33" spans="1:10" ht="15" customHeight="1" x14ac:dyDescent="0.25">
      <c r="A33" s="59"/>
      <c r="B33" s="59"/>
      <c r="C33" s="59"/>
      <c r="D33" s="60"/>
      <c r="E33" s="156"/>
      <c r="F33" s="156"/>
      <c r="G33" s="156"/>
      <c r="H33" s="156"/>
      <c r="I33" s="156"/>
      <c r="J33" s="156"/>
    </row>
    <row r="34" spans="1:10" ht="15" customHeight="1" x14ac:dyDescent="0.25">
      <c r="A34" s="59"/>
      <c r="B34" s="59"/>
      <c r="C34" s="59"/>
      <c r="D34" s="60"/>
      <c r="E34" s="156"/>
      <c r="F34" s="156"/>
      <c r="G34" s="156"/>
      <c r="H34" s="156"/>
      <c r="I34" s="156"/>
      <c r="J34" s="156"/>
    </row>
    <row r="35" spans="1:10" ht="13.5" customHeight="1" x14ac:dyDescent="0.25">
      <c r="A35" s="59"/>
      <c r="B35" s="156"/>
      <c r="C35" s="156"/>
      <c r="D35" s="156"/>
      <c r="E35" s="156"/>
      <c r="F35" s="156"/>
      <c r="G35" s="156"/>
      <c r="H35" s="156"/>
      <c r="I35" s="156"/>
      <c r="J35" s="156"/>
    </row>
    <row r="36" spans="1:10" ht="15" customHeight="1" x14ac:dyDescent="0.25">
      <c r="A36" s="59"/>
      <c r="B36" s="156"/>
      <c r="C36" s="156"/>
      <c r="D36" s="156"/>
      <c r="E36" s="156"/>
      <c r="F36" s="156"/>
      <c r="G36" s="156"/>
      <c r="H36" s="156"/>
      <c r="I36" s="156"/>
      <c r="J36" s="156"/>
    </row>
    <row r="37" spans="1:10" ht="15" customHeight="1" x14ac:dyDescent="0.25">
      <c r="A37" s="59"/>
      <c r="B37" s="156"/>
      <c r="C37" s="156"/>
      <c r="D37" s="156"/>
      <c r="E37" s="156"/>
      <c r="F37" s="156"/>
      <c r="G37" s="156"/>
      <c r="H37" s="156"/>
      <c r="I37" s="156"/>
      <c r="J37" s="156"/>
    </row>
    <row r="38" spans="1:10" ht="15" customHeight="1" x14ac:dyDescent="0.25">
      <c r="A38" s="59"/>
      <c r="B38" s="59"/>
      <c r="C38" s="59"/>
      <c r="D38" s="60"/>
      <c r="E38" s="156"/>
      <c r="F38" s="156"/>
      <c r="G38" s="156"/>
      <c r="H38" s="156"/>
      <c r="I38" s="156"/>
      <c r="J38" s="156"/>
    </row>
    <row r="39" spans="1:10" ht="15" customHeight="1" x14ac:dyDescent="0.25">
      <c r="A39" s="59"/>
      <c r="D39" s="60"/>
      <c r="E39" s="156"/>
      <c r="F39" s="156"/>
      <c r="G39" s="156"/>
      <c r="H39" s="156"/>
      <c r="I39" s="156"/>
      <c r="J39" s="156"/>
    </row>
    <row r="40" spans="1:10" ht="15" customHeight="1" x14ac:dyDescent="0.25">
      <c r="A40" s="59"/>
      <c r="B40" s="59"/>
      <c r="C40" s="59"/>
      <c r="D40" s="60"/>
      <c r="E40" s="156"/>
      <c r="F40" s="156"/>
      <c r="G40" s="156"/>
      <c r="H40" s="156"/>
      <c r="I40" s="156"/>
      <c r="J40" s="156"/>
    </row>
    <row r="41" spans="1:10" ht="15" customHeight="1" x14ac:dyDescent="0.25">
      <c r="A41" s="59"/>
      <c r="B41" s="59"/>
      <c r="C41" s="59"/>
      <c r="D41" s="60"/>
      <c r="E41" s="156"/>
      <c r="F41" s="156"/>
      <c r="G41" s="156"/>
      <c r="H41" s="156"/>
      <c r="I41" s="156"/>
      <c r="J41" s="156"/>
    </row>
    <row r="42" spans="1:10" ht="15" customHeight="1" x14ac:dyDescent="0.25">
      <c r="A42" s="59"/>
      <c r="B42" s="59"/>
      <c r="C42" s="59"/>
      <c r="D42" s="60"/>
      <c r="E42" s="156"/>
      <c r="F42" s="156"/>
      <c r="G42" s="156"/>
      <c r="H42" s="156"/>
      <c r="I42" s="156"/>
      <c r="J42" s="156"/>
    </row>
    <row r="43" spans="1:10" ht="15" customHeight="1" x14ac:dyDescent="0.25">
      <c r="A43" s="59"/>
      <c r="B43" s="59"/>
      <c r="C43" s="59"/>
      <c r="D43" s="60"/>
      <c r="E43" s="156"/>
      <c r="F43" s="156"/>
      <c r="G43" s="156"/>
      <c r="H43" s="156"/>
      <c r="I43" s="156"/>
      <c r="J43" s="156"/>
    </row>
    <row r="44" spans="1:10" ht="15" customHeight="1" x14ac:dyDescent="0.25">
      <c r="A44" s="59"/>
      <c r="B44" s="59"/>
      <c r="C44" s="59"/>
      <c r="D44" s="60"/>
      <c r="E44" s="156"/>
      <c r="F44" s="156"/>
      <c r="G44" s="156"/>
      <c r="H44" s="156"/>
      <c r="I44" s="156"/>
      <c r="J44" s="156"/>
    </row>
    <row r="45" spans="1:10" ht="15" customHeight="1" x14ac:dyDescent="0.25">
      <c r="A45" s="59"/>
      <c r="B45" s="59"/>
      <c r="C45" s="59"/>
      <c r="D45" s="60"/>
      <c r="E45" s="156"/>
      <c r="F45" s="156"/>
      <c r="G45" s="156"/>
      <c r="H45" s="156"/>
      <c r="I45" s="156"/>
      <c r="J45" s="156"/>
    </row>
    <row r="46" spans="1:10" ht="15" customHeight="1" x14ac:dyDescent="0.25">
      <c r="A46" s="59"/>
      <c r="B46" s="59"/>
      <c r="C46" s="59"/>
      <c r="D46" s="60"/>
      <c r="E46" s="156"/>
      <c r="F46" s="156"/>
      <c r="G46" s="156"/>
      <c r="H46" s="156"/>
      <c r="I46" s="156"/>
      <c r="J46" s="156"/>
    </row>
    <row r="47" spans="1:10" ht="15" customHeight="1" x14ac:dyDescent="0.25">
      <c r="A47" s="59"/>
      <c r="B47" s="59"/>
      <c r="C47" s="59"/>
      <c r="D47" s="60"/>
      <c r="E47" s="156"/>
      <c r="F47" s="156"/>
      <c r="G47" s="156"/>
      <c r="H47" s="156"/>
      <c r="I47" s="156"/>
      <c r="J47" s="156"/>
    </row>
    <row r="48" spans="1:10" ht="15" customHeight="1" x14ac:dyDescent="0.25">
      <c r="A48" s="59"/>
      <c r="B48" s="59"/>
      <c r="C48" s="59"/>
      <c r="D48" s="60"/>
      <c r="E48" s="156"/>
      <c r="F48" s="156"/>
      <c r="G48" s="156"/>
      <c r="H48" s="156"/>
      <c r="I48" s="156"/>
      <c r="J48" s="156"/>
    </row>
    <row r="49" spans="1:10" ht="15" customHeight="1" x14ac:dyDescent="0.25">
      <c r="A49" s="59"/>
      <c r="B49" s="59"/>
      <c r="C49" s="59"/>
      <c r="D49" s="60"/>
      <c r="E49" s="156"/>
      <c r="F49" s="156"/>
      <c r="G49" s="156"/>
      <c r="H49" s="156"/>
      <c r="I49" s="156"/>
      <c r="J49" s="156"/>
    </row>
    <row r="50" spans="1:10" ht="15" customHeight="1" x14ac:dyDescent="0.25">
      <c r="A50" s="59"/>
      <c r="B50" s="59"/>
      <c r="C50" s="59"/>
      <c r="D50" s="60"/>
      <c r="E50" s="156"/>
      <c r="F50" s="156"/>
      <c r="G50" s="156"/>
      <c r="H50" s="156"/>
      <c r="I50" s="156"/>
      <c r="J50" s="156"/>
    </row>
    <row r="51" spans="1:10" ht="15" customHeight="1" x14ac:dyDescent="0.25">
      <c r="A51" s="59"/>
      <c r="B51" s="156"/>
      <c r="C51" s="156"/>
      <c r="D51" s="156"/>
      <c r="E51" s="156"/>
      <c r="F51" s="156"/>
      <c r="G51" s="156"/>
      <c r="H51" s="156"/>
      <c r="I51" s="156"/>
      <c r="J51" s="156"/>
    </row>
    <row r="52" spans="1:10" ht="15" customHeight="1" x14ac:dyDescent="0.25">
      <c r="A52" s="59"/>
      <c r="B52" s="156"/>
      <c r="C52" s="156"/>
      <c r="D52" s="156"/>
      <c r="E52" s="156"/>
      <c r="F52" s="156"/>
      <c r="G52" s="156"/>
      <c r="H52" s="156"/>
      <c r="I52" s="156"/>
      <c r="J52" s="156"/>
    </row>
    <row r="53" spans="1:10" ht="15" customHeight="1" x14ac:dyDescent="0.25">
      <c r="A53" s="59"/>
      <c r="B53" s="59"/>
      <c r="C53" s="59"/>
      <c r="D53" s="60"/>
      <c r="E53" s="156"/>
      <c r="F53" s="156"/>
      <c r="G53" s="156"/>
      <c r="H53" s="156"/>
      <c r="I53" s="156"/>
      <c r="J53" s="156"/>
    </row>
    <row r="54" spans="1:10" ht="15" customHeight="1" x14ac:dyDescent="0.25">
      <c r="A54" s="59"/>
      <c r="B54" s="59"/>
      <c r="C54" s="59"/>
      <c r="D54" s="60"/>
      <c r="E54" s="156"/>
      <c r="F54" s="156"/>
      <c r="G54" s="156"/>
      <c r="H54" s="156"/>
      <c r="I54" s="156"/>
      <c r="J54" s="156"/>
    </row>
    <row r="55" spans="1:10" ht="15" customHeight="1" x14ac:dyDescent="0.25">
      <c r="A55" s="59"/>
      <c r="B55" s="59"/>
      <c r="C55" s="59"/>
      <c r="D55" s="60"/>
      <c r="E55" s="156"/>
      <c r="F55" s="156"/>
      <c r="G55" s="156"/>
      <c r="H55" s="156"/>
      <c r="I55" s="156"/>
      <c r="J55" s="156"/>
    </row>
    <row r="56" spans="1:10" ht="15" customHeight="1" x14ac:dyDescent="0.25">
      <c r="A56" s="59"/>
      <c r="B56" s="59"/>
      <c r="C56" s="59"/>
      <c r="D56" s="60"/>
      <c r="E56" s="156"/>
      <c r="F56" s="156"/>
      <c r="G56" s="156"/>
      <c r="H56" s="156"/>
      <c r="I56" s="156"/>
      <c r="J56" s="156"/>
    </row>
    <row r="57" spans="1:10" ht="15" customHeight="1" x14ac:dyDescent="0.25">
      <c r="A57" s="59"/>
      <c r="B57" s="59"/>
      <c r="C57" s="59"/>
      <c r="D57" s="60"/>
      <c r="E57" s="156"/>
      <c r="F57" s="156"/>
      <c r="G57" s="156"/>
      <c r="H57" s="156"/>
      <c r="I57" s="156"/>
      <c r="J57" s="156"/>
    </row>
    <row r="58" spans="1:10" ht="15" customHeight="1" x14ac:dyDescent="0.25">
      <c r="A58" s="59"/>
      <c r="B58" s="156"/>
      <c r="C58" s="156"/>
      <c r="D58" s="156"/>
      <c r="E58" s="156"/>
      <c r="F58" s="156"/>
      <c r="G58" s="156"/>
      <c r="H58" s="156"/>
      <c r="I58" s="156"/>
      <c r="J58" s="156"/>
    </row>
    <row r="59" spans="1:10" ht="15" customHeight="1" x14ac:dyDescent="0.25">
      <c r="A59" s="59"/>
      <c r="B59" s="59"/>
      <c r="C59" s="59"/>
      <c r="D59" s="60"/>
      <c r="E59" s="156"/>
      <c r="F59" s="156"/>
      <c r="G59" s="156"/>
      <c r="H59" s="156"/>
      <c r="I59" s="156"/>
      <c r="J59" s="156"/>
    </row>
    <row r="60" spans="1:10" ht="15" customHeight="1" x14ac:dyDescent="0.25">
      <c r="A60" s="59"/>
      <c r="B60" s="59"/>
      <c r="C60" s="59"/>
      <c r="D60" s="60"/>
      <c r="E60" s="156"/>
      <c r="F60" s="156"/>
      <c r="G60" s="156"/>
      <c r="H60" s="156"/>
      <c r="I60" s="156"/>
      <c r="J60" s="156"/>
    </row>
    <row r="61" spans="1:10" ht="15" customHeight="1" x14ac:dyDescent="0.25">
      <c r="A61" s="59"/>
      <c r="B61" s="156"/>
      <c r="C61" s="156"/>
      <c r="D61" s="156"/>
      <c r="E61" s="156"/>
      <c r="F61" s="156"/>
      <c r="G61" s="156"/>
      <c r="H61" s="156"/>
      <c r="I61" s="156"/>
      <c r="J61" s="156"/>
    </row>
    <row r="62" spans="1:10" ht="15" customHeight="1" x14ac:dyDescent="0.25">
      <c r="A62" s="59"/>
      <c r="B62" s="156"/>
      <c r="C62" s="156"/>
      <c r="D62" s="156"/>
      <c r="E62" s="156"/>
      <c r="F62" s="156"/>
      <c r="G62" s="156"/>
      <c r="H62" s="156"/>
      <c r="I62" s="156"/>
      <c r="J62" s="156"/>
    </row>
    <row r="63" spans="1:10" ht="15" customHeight="1" x14ac:dyDescent="0.25">
      <c r="A63" s="59"/>
      <c r="B63" s="156"/>
      <c r="C63" s="156"/>
      <c r="D63" s="156"/>
      <c r="E63" s="156"/>
      <c r="F63" s="156"/>
      <c r="G63" s="156"/>
      <c r="H63" s="156"/>
      <c r="I63" s="156"/>
      <c r="J63" s="156"/>
    </row>
    <row r="64" spans="1:10" ht="15" customHeight="1" x14ac:dyDescent="0.25">
      <c r="A64" s="59"/>
      <c r="B64" s="59"/>
      <c r="C64" s="59"/>
      <c r="D64" s="60"/>
      <c r="E64" s="156"/>
      <c r="F64" s="156"/>
      <c r="G64" s="156"/>
      <c r="H64" s="156"/>
      <c r="I64" s="156"/>
      <c r="J64" s="156"/>
    </row>
    <row r="65" spans="1:10" ht="15" customHeight="1" x14ac:dyDescent="0.25">
      <c r="A65" s="59"/>
      <c r="B65" s="59"/>
      <c r="C65" s="59"/>
      <c r="D65" s="60"/>
      <c r="E65" s="156"/>
      <c r="F65" s="156"/>
      <c r="G65" s="156"/>
      <c r="H65" s="156"/>
      <c r="I65" s="156"/>
      <c r="J65" s="156"/>
    </row>
    <row r="66" spans="1:10" ht="15" customHeight="1" x14ac:dyDescent="0.25">
      <c r="A66" s="59"/>
      <c r="B66" s="59"/>
      <c r="C66" s="59"/>
      <c r="D66" s="60"/>
      <c r="E66" s="156"/>
      <c r="F66" s="156"/>
      <c r="G66" s="156"/>
      <c r="H66" s="156"/>
      <c r="I66" s="156"/>
      <c r="J66" s="156"/>
    </row>
    <row r="67" spans="1:10" ht="15" customHeight="1" x14ac:dyDescent="0.25">
      <c r="A67" s="59"/>
      <c r="B67" s="59"/>
      <c r="C67" s="59"/>
      <c r="D67" s="60"/>
      <c r="E67" s="156"/>
      <c r="F67" s="156"/>
      <c r="G67" s="156"/>
      <c r="H67" s="156"/>
      <c r="I67" s="156"/>
      <c r="J67" s="156"/>
    </row>
    <row r="68" spans="1:10" ht="15" customHeight="1" x14ac:dyDescent="0.25">
      <c r="A68" s="59"/>
      <c r="B68" s="59"/>
      <c r="C68" s="59"/>
      <c r="D68" s="60"/>
      <c r="E68" s="156"/>
      <c r="F68" s="156"/>
      <c r="G68" s="156"/>
      <c r="H68" s="156"/>
      <c r="I68" s="156"/>
      <c r="J68" s="156"/>
    </row>
    <row r="69" spans="1:10" ht="15" customHeight="1" x14ac:dyDescent="0.25">
      <c r="A69" s="59"/>
      <c r="B69" s="59"/>
      <c r="C69" s="59"/>
      <c r="D69" s="60"/>
      <c r="E69" s="156"/>
      <c r="F69" s="156"/>
      <c r="G69" s="156"/>
      <c r="H69" s="156"/>
      <c r="I69" s="156"/>
      <c r="J69" s="156"/>
    </row>
    <row r="70" spans="1:10" ht="15" customHeight="1" x14ac:dyDescent="0.25">
      <c r="A70" s="59"/>
      <c r="B70" s="59"/>
      <c r="C70" s="59"/>
      <c r="D70" s="60"/>
      <c r="E70" s="156"/>
      <c r="F70" s="156"/>
      <c r="G70" s="156"/>
      <c r="H70" s="156"/>
      <c r="I70" s="156"/>
      <c r="J70" s="156"/>
    </row>
    <row r="71" spans="1:10" ht="15" customHeight="1" x14ac:dyDescent="0.25">
      <c r="A71" s="59"/>
      <c r="B71" s="59"/>
      <c r="C71" s="59"/>
      <c r="D71" s="60"/>
      <c r="E71" s="156"/>
      <c r="F71" s="156"/>
      <c r="G71" s="156"/>
      <c r="H71" s="156"/>
      <c r="I71" s="156"/>
      <c r="J71" s="156"/>
    </row>
    <row r="72" spans="1:10" ht="15" customHeight="1" x14ac:dyDescent="0.25">
      <c r="A72" s="59"/>
      <c r="B72" s="59"/>
      <c r="C72" s="59"/>
      <c r="D72" s="60"/>
      <c r="E72" s="156"/>
      <c r="F72" s="156"/>
      <c r="G72" s="156"/>
      <c r="H72" s="156"/>
      <c r="I72" s="156"/>
      <c r="J72" s="156"/>
    </row>
    <row r="73" spans="1:10" ht="15" customHeight="1" x14ac:dyDescent="0.25">
      <c r="A73" s="59"/>
      <c r="B73" s="59"/>
      <c r="C73" s="59"/>
      <c r="D73" s="60"/>
      <c r="E73" s="156"/>
      <c r="F73" s="156"/>
      <c r="G73" s="156"/>
      <c r="H73" s="156"/>
      <c r="I73" s="156"/>
      <c r="J73" s="156"/>
    </row>
    <row r="74" spans="1:10" ht="15" customHeight="1" x14ac:dyDescent="0.25">
      <c r="A74" s="59"/>
      <c r="B74" s="59"/>
      <c r="C74" s="59"/>
      <c r="D74" s="60"/>
      <c r="E74" s="156"/>
      <c r="F74" s="156"/>
      <c r="G74" s="156"/>
      <c r="H74" s="156"/>
      <c r="I74" s="156"/>
      <c r="J74" s="156"/>
    </row>
    <row r="75" spans="1:10" ht="15" customHeight="1" x14ac:dyDescent="0.25">
      <c r="A75" s="59"/>
      <c r="B75" s="59"/>
      <c r="C75" s="59"/>
      <c r="D75" s="60"/>
      <c r="E75" s="156"/>
      <c r="F75" s="156"/>
      <c r="G75" s="156"/>
      <c r="H75" s="156"/>
      <c r="I75" s="156"/>
      <c r="J75" s="156"/>
    </row>
    <row r="76" spans="1:10" ht="15" customHeight="1" x14ac:dyDescent="0.25">
      <c r="A76" s="59"/>
      <c r="B76" s="59"/>
      <c r="C76" s="59"/>
      <c r="D76" s="60"/>
      <c r="E76" s="156"/>
      <c r="F76" s="156"/>
      <c r="G76" s="156"/>
      <c r="H76" s="156"/>
      <c r="I76" s="156"/>
      <c r="J76" s="156"/>
    </row>
    <row r="77" spans="1:10" ht="15" customHeight="1" x14ac:dyDescent="0.25">
      <c r="A77" s="59"/>
      <c r="B77" s="59"/>
      <c r="C77" s="59"/>
      <c r="D77" s="60"/>
      <c r="E77" s="156"/>
      <c r="F77" s="156"/>
      <c r="G77" s="156"/>
      <c r="H77" s="156"/>
      <c r="I77" s="156"/>
      <c r="J77" s="156"/>
    </row>
    <row r="78" spans="1:10" ht="15" customHeight="1" x14ac:dyDescent="0.25">
      <c r="A78" s="59"/>
      <c r="B78" s="59"/>
      <c r="C78" s="59"/>
      <c r="D78" s="60"/>
      <c r="E78" s="156"/>
      <c r="F78" s="156"/>
      <c r="G78" s="156"/>
      <c r="H78" s="156"/>
      <c r="I78" s="156"/>
      <c r="J78" s="156"/>
    </row>
    <row r="79" spans="1:10" ht="15" customHeight="1" x14ac:dyDescent="0.25">
      <c r="A79" s="59"/>
      <c r="B79" s="59"/>
      <c r="C79" s="59"/>
      <c r="D79" s="60"/>
      <c r="E79" s="156"/>
      <c r="F79" s="156"/>
      <c r="G79" s="156"/>
      <c r="H79" s="156"/>
      <c r="I79" s="156"/>
      <c r="J79" s="156"/>
    </row>
    <row r="80" spans="1:10" ht="15" customHeight="1" x14ac:dyDescent="0.25">
      <c r="A80" s="59"/>
      <c r="B80" s="59"/>
      <c r="C80" s="59"/>
      <c r="D80" s="60"/>
      <c r="E80" s="156"/>
      <c r="F80" s="156"/>
      <c r="G80" s="156"/>
      <c r="H80" s="156"/>
      <c r="I80" s="156"/>
      <c r="J80" s="156"/>
    </row>
    <row r="81" spans="1:10" ht="15" customHeight="1" x14ac:dyDescent="0.25">
      <c r="A81" s="59"/>
      <c r="B81" s="59"/>
      <c r="C81" s="59"/>
      <c r="D81" s="60"/>
      <c r="E81" s="156"/>
      <c r="F81" s="156"/>
      <c r="G81" s="156"/>
      <c r="H81" s="156"/>
      <c r="I81" s="156"/>
      <c r="J81" s="156"/>
    </row>
    <row r="82" spans="1:10" ht="15" customHeight="1" x14ac:dyDescent="0.25">
      <c r="A82" s="59"/>
      <c r="B82" s="59"/>
      <c r="C82" s="59"/>
      <c r="D82" s="60"/>
      <c r="E82" s="156"/>
      <c r="F82" s="156"/>
      <c r="G82" s="156"/>
      <c r="H82" s="156"/>
      <c r="I82" s="156"/>
      <c r="J82" s="156"/>
    </row>
    <row r="83" spans="1:10" ht="15" customHeight="1" x14ac:dyDescent="0.25">
      <c r="A83" s="59"/>
      <c r="B83" s="59"/>
      <c r="C83" s="59"/>
      <c r="D83" s="60"/>
      <c r="E83" s="156"/>
      <c r="F83" s="156"/>
      <c r="G83" s="156"/>
      <c r="H83" s="156"/>
      <c r="I83" s="156"/>
      <c r="J83" s="156"/>
    </row>
    <row r="84" spans="1:10" ht="15" customHeight="1" x14ac:dyDescent="0.25">
      <c r="A84" s="59"/>
      <c r="B84" s="59"/>
      <c r="C84" s="59"/>
      <c r="D84" s="60"/>
      <c r="E84" s="156"/>
      <c r="F84" s="156"/>
      <c r="G84" s="156"/>
      <c r="H84" s="156"/>
      <c r="I84" s="156"/>
      <c r="J84" s="156"/>
    </row>
    <row r="85" spans="1:10" ht="15" customHeight="1" x14ac:dyDescent="0.25">
      <c r="A85" s="59"/>
      <c r="B85" s="59"/>
      <c r="C85" s="59"/>
      <c r="D85" s="60"/>
      <c r="E85" s="156"/>
      <c r="F85" s="156"/>
      <c r="G85" s="156"/>
      <c r="H85" s="156"/>
      <c r="I85" s="156"/>
      <c r="J85" s="156"/>
    </row>
    <row r="86" spans="1:10" ht="15" customHeight="1" x14ac:dyDescent="0.25">
      <c r="A86" s="59"/>
      <c r="B86" s="59"/>
      <c r="C86" s="59"/>
      <c r="D86" s="60"/>
      <c r="E86" s="156"/>
      <c r="F86" s="156"/>
      <c r="G86" s="156"/>
      <c r="H86" s="156"/>
      <c r="I86" s="156"/>
      <c r="J86" s="156"/>
    </row>
    <row r="87" spans="1:10" ht="15" customHeight="1" x14ac:dyDescent="0.25">
      <c r="A87" s="59"/>
      <c r="B87" s="59"/>
      <c r="C87" s="59"/>
      <c r="D87" s="60"/>
      <c r="E87" s="156"/>
      <c r="F87" s="37"/>
      <c r="G87" s="37"/>
      <c r="H87" s="37"/>
      <c r="I87" s="37"/>
      <c r="J87" s="37"/>
    </row>
    <row r="88" spans="1:10" ht="15" customHeight="1" x14ac:dyDescent="0.25">
      <c r="A88" s="59"/>
      <c r="B88" s="59"/>
      <c r="C88" s="59"/>
      <c r="D88" s="60"/>
      <c r="E88" s="156"/>
      <c r="F88" s="156"/>
      <c r="G88" s="156"/>
      <c r="H88" s="156"/>
      <c r="I88" s="156"/>
      <c r="J88" s="156"/>
    </row>
    <row r="89" spans="1:10" ht="15" customHeight="1" x14ac:dyDescent="0.25">
      <c r="A89" s="59"/>
      <c r="B89" s="59"/>
      <c r="C89" s="59"/>
      <c r="D89" s="60"/>
      <c r="E89" s="156"/>
      <c r="F89" s="156"/>
      <c r="G89" s="156"/>
      <c r="H89" s="156"/>
      <c r="I89" s="156"/>
      <c r="J89" s="156"/>
    </row>
    <row r="90" spans="1:10" ht="15" customHeight="1" x14ac:dyDescent="0.25">
      <c r="A90" s="59"/>
      <c r="B90" s="59"/>
      <c r="C90" s="59"/>
      <c r="D90" s="60"/>
      <c r="E90" s="156"/>
      <c r="F90" s="156"/>
      <c r="G90" s="156"/>
      <c r="H90" s="156"/>
      <c r="I90" s="156"/>
      <c r="J90" s="156"/>
    </row>
    <row r="91" spans="1:10" ht="15" customHeight="1" x14ac:dyDescent="0.25">
      <c r="A91" s="59"/>
      <c r="B91" s="59"/>
      <c r="C91" s="59"/>
      <c r="D91" s="60"/>
      <c r="E91" s="156"/>
      <c r="F91" s="156"/>
      <c r="G91" s="156"/>
      <c r="H91" s="156"/>
      <c r="I91" s="156"/>
      <c r="J91" s="156"/>
    </row>
    <row r="92" spans="1:10" ht="15" customHeight="1" x14ac:dyDescent="0.25">
      <c r="A92" s="59"/>
      <c r="B92" s="59"/>
      <c r="C92" s="59"/>
      <c r="D92" s="60"/>
      <c r="E92" s="156"/>
      <c r="F92" s="156"/>
      <c r="G92" s="156"/>
      <c r="H92" s="156"/>
      <c r="I92" s="156"/>
      <c r="J92" s="156"/>
    </row>
    <row r="93" spans="1:10" ht="15" customHeight="1" x14ac:dyDescent="0.25">
      <c r="A93" s="59"/>
      <c r="B93" s="59"/>
      <c r="C93" s="59"/>
      <c r="D93" s="60"/>
      <c r="E93" s="156"/>
      <c r="F93" s="156"/>
      <c r="G93" s="156"/>
      <c r="H93" s="156"/>
      <c r="I93" s="156"/>
      <c r="J93" s="156"/>
    </row>
    <row r="94" spans="1:10" ht="15" customHeight="1" x14ac:dyDescent="0.25">
      <c r="A94" s="59"/>
      <c r="B94" s="59"/>
      <c r="C94" s="59"/>
      <c r="D94" s="60"/>
      <c r="E94" s="156"/>
      <c r="F94" s="156"/>
      <c r="G94" s="156"/>
      <c r="H94" s="156"/>
      <c r="I94" s="156"/>
      <c r="J94" s="156"/>
    </row>
    <row r="95" spans="1:10" ht="15" customHeight="1" x14ac:dyDescent="0.25">
      <c r="A95" s="59"/>
      <c r="B95" s="59"/>
      <c r="C95" s="59"/>
      <c r="D95" s="60"/>
      <c r="E95" s="156"/>
      <c r="F95" s="156"/>
      <c r="G95" s="156"/>
      <c r="H95" s="156"/>
      <c r="I95" s="156"/>
      <c r="J95" s="156"/>
    </row>
    <row r="96" spans="1:10" ht="15" customHeight="1" x14ac:dyDescent="0.25">
      <c r="A96" s="59"/>
      <c r="B96" s="59"/>
      <c r="C96" s="59"/>
      <c r="D96" s="60"/>
      <c r="E96" s="156"/>
      <c r="F96" s="156"/>
      <c r="G96" s="156"/>
      <c r="H96" s="156"/>
      <c r="I96" s="156"/>
      <c r="J96" s="156"/>
    </row>
    <row r="97" spans="1:10" ht="15" customHeight="1" x14ac:dyDescent="0.25">
      <c r="A97" s="59"/>
      <c r="B97" s="59"/>
      <c r="C97" s="59"/>
      <c r="D97" s="60"/>
      <c r="E97" s="156"/>
      <c r="F97" s="156"/>
      <c r="G97" s="156"/>
      <c r="H97" s="156"/>
      <c r="I97" s="156"/>
      <c r="J97" s="156"/>
    </row>
    <row r="98" spans="1:10" ht="16.5" customHeight="1" x14ac:dyDescent="0.25">
      <c r="A98" s="59"/>
      <c r="B98" s="59"/>
      <c r="C98" s="59"/>
      <c r="D98" s="60"/>
      <c r="E98" s="156"/>
      <c r="F98" s="156"/>
      <c r="G98" s="156"/>
      <c r="H98" s="156"/>
      <c r="I98" s="156"/>
      <c r="J98" s="156"/>
    </row>
    <row r="99" spans="1:10" ht="16.5" customHeight="1" x14ac:dyDescent="0.25">
      <c r="A99" s="59"/>
      <c r="B99" s="59"/>
      <c r="C99" s="59"/>
      <c r="D99" s="60"/>
      <c r="E99" s="156"/>
      <c r="F99" s="156"/>
      <c r="G99" s="156"/>
      <c r="H99" s="156"/>
      <c r="I99" s="156"/>
      <c r="J99" s="156"/>
    </row>
    <row r="100" spans="1:10" ht="16.5" customHeight="1" x14ac:dyDescent="0.25">
      <c r="A100" s="59"/>
      <c r="B100" s="59"/>
      <c r="C100" s="59"/>
      <c r="D100" s="60"/>
      <c r="E100" s="156"/>
      <c r="F100" s="156"/>
      <c r="G100" s="156"/>
      <c r="H100" s="156"/>
      <c r="I100" s="156"/>
      <c r="J100" s="90"/>
    </row>
    <row r="101" spans="1:10" ht="16.5" customHeight="1" x14ac:dyDescent="0.25">
      <c r="A101" s="59"/>
      <c r="B101" s="59"/>
      <c r="C101" s="59"/>
      <c r="D101" s="60"/>
      <c r="E101" s="156"/>
      <c r="F101" s="156"/>
      <c r="G101" s="156"/>
      <c r="H101" s="156"/>
      <c r="I101" s="156"/>
      <c r="J101" s="156"/>
    </row>
    <row r="102" spans="1:10" ht="16.5" customHeight="1" x14ac:dyDescent="0.25">
      <c r="A102" s="59"/>
      <c r="B102" s="59"/>
      <c r="C102" s="59"/>
      <c r="D102" s="60"/>
      <c r="E102" s="156"/>
      <c r="F102" s="156"/>
      <c r="G102" s="156"/>
      <c r="H102" s="156"/>
      <c r="I102" s="156"/>
      <c r="J102" s="156"/>
    </row>
    <row r="103" spans="1:10" ht="16.5" customHeight="1" x14ac:dyDescent="0.25">
      <c r="A103" s="59"/>
      <c r="B103" s="59"/>
      <c r="C103" s="59"/>
      <c r="D103" s="60"/>
      <c r="E103" s="156"/>
      <c r="F103" s="156"/>
      <c r="G103" s="156"/>
      <c r="H103" s="156"/>
      <c r="I103" s="156"/>
      <c r="J103" s="156"/>
    </row>
    <row r="104" spans="1:10" ht="16.5" customHeight="1" x14ac:dyDescent="0.25">
      <c r="A104" s="59"/>
      <c r="B104" s="59"/>
      <c r="C104" s="59"/>
      <c r="D104" s="60"/>
      <c r="E104" s="156"/>
      <c r="F104" s="156"/>
      <c r="G104" s="156"/>
      <c r="H104" s="156"/>
      <c r="I104" s="156"/>
      <c r="J104" s="156"/>
    </row>
    <row r="105" spans="1:10" ht="16.5" customHeight="1" x14ac:dyDescent="0.25">
      <c r="A105" s="59"/>
      <c r="B105" s="59"/>
      <c r="C105" s="59"/>
      <c r="D105" s="60"/>
      <c r="E105" s="156"/>
      <c r="F105" s="156"/>
      <c r="G105" s="156"/>
      <c r="H105" s="156"/>
      <c r="I105" s="156"/>
      <c r="J105" s="156"/>
    </row>
    <row r="106" spans="1:10" ht="16.5" customHeight="1" x14ac:dyDescent="0.25">
      <c r="A106" s="59"/>
      <c r="B106" s="59"/>
      <c r="C106" s="59"/>
      <c r="D106" s="60"/>
      <c r="E106" s="156"/>
      <c r="F106" s="156"/>
      <c r="G106" s="156"/>
      <c r="H106" s="156"/>
      <c r="I106" s="156"/>
      <c r="J106" s="156"/>
    </row>
    <row r="107" spans="1:10" ht="15" customHeight="1" x14ac:dyDescent="0.25">
      <c r="A107" s="59"/>
      <c r="B107" s="59"/>
      <c r="C107" s="59"/>
      <c r="D107" s="60"/>
      <c r="E107" s="156"/>
      <c r="F107" s="156"/>
      <c r="G107" s="156"/>
      <c r="H107" s="156"/>
      <c r="I107" s="156"/>
      <c r="J107" s="156"/>
    </row>
    <row r="108" spans="1:10" ht="15" customHeight="1" x14ac:dyDescent="0.25">
      <c r="A108" s="59"/>
      <c r="B108" s="59"/>
      <c r="C108" s="59"/>
      <c r="D108" s="60"/>
      <c r="E108" s="156"/>
      <c r="F108" s="156"/>
      <c r="G108" s="156"/>
      <c r="H108" s="156"/>
      <c r="I108" s="156"/>
      <c r="J108" s="156"/>
    </row>
    <row r="109" spans="1:10" ht="15" customHeight="1" x14ac:dyDescent="0.25">
      <c r="A109" s="59"/>
      <c r="B109" s="59"/>
      <c r="C109" s="59"/>
      <c r="D109" s="60"/>
      <c r="E109" s="156"/>
      <c r="F109" s="156"/>
      <c r="G109" s="156"/>
      <c r="H109" s="156"/>
      <c r="I109" s="156"/>
      <c r="J109" s="156"/>
    </row>
    <row r="110" spans="1:10" ht="15" customHeight="1" x14ac:dyDescent="0.25">
      <c r="A110" s="59"/>
      <c r="B110" s="59"/>
      <c r="C110" s="59"/>
      <c r="D110" s="60"/>
      <c r="E110" s="156"/>
      <c r="F110" s="156"/>
      <c r="G110" s="156"/>
      <c r="H110" s="156"/>
      <c r="I110" s="156"/>
      <c r="J110" s="156"/>
    </row>
    <row r="111" spans="1:10" ht="15" customHeight="1" x14ac:dyDescent="0.25">
      <c r="A111" s="59"/>
      <c r="B111" s="59"/>
      <c r="C111" s="59"/>
      <c r="D111" s="60"/>
      <c r="E111" s="156"/>
      <c r="F111" s="156"/>
      <c r="G111" s="156"/>
      <c r="H111" s="156"/>
      <c r="I111" s="156"/>
      <c r="J111" s="156"/>
    </row>
    <row r="112" spans="1:10" ht="15" customHeight="1" x14ac:dyDescent="0.25">
      <c r="A112" s="59"/>
      <c r="B112" s="59"/>
      <c r="C112" s="59"/>
      <c r="D112" s="60"/>
      <c r="E112" s="156"/>
      <c r="F112" s="156"/>
      <c r="G112" s="156"/>
      <c r="H112" s="156"/>
      <c r="I112" s="156"/>
      <c r="J112" s="156"/>
    </row>
    <row r="113" spans="1:10" ht="15" customHeight="1" x14ac:dyDescent="0.25">
      <c r="A113" s="59"/>
      <c r="B113" s="59"/>
      <c r="C113" s="59"/>
      <c r="D113" s="60"/>
      <c r="E113" s="156"/>
      <c r="F113" s="156"/>
      <c r="G113" s="156"/>
      <c r="H113" s="156"/>
      <c r="I113" s="156"/>
      <c r="J113" s="156"/>
    </row>
    <row r="114" spans="1:10" ht="15" customHeight="1" x14ac:dyDescent="0.25">
      <c r="A114" s="59"/>
      <c r="B114" s="59"/>
      <c r="C114" s="59"/>
      <c r="D114" s="60"/>
      <c r="E114" s="156"/>
      <c r="F114" s="156"/>
      <c r="G114" s="156"/>
      <c r="H114" s="156"/>
      <c r="I114" s="156"/>
      <c r="J114" s="156"/>
    </row>
    <row r="115" spans="1:10" ht="15" customHeight="1" x14ac:dyDescent="0.25">
      <c r="A115" s="59"/>
      <c r="B115" s="59"/>
      <c r="C115" s="59"/>
      <c r="D115" s="60"/>
      <c r="E115" s="156"/>
      <c r="F115" s="156"/>
      <c r="G115" s="156"/>
      <c r="H115" s="156"/>
      <c r="I115" s="156"/>
      <c r="J115" s="156"/>
    </row>
    <row r="116" spans="1:10" ht="15" customHeight="1" x14ac:dyDescent="0.25">
      <c r="A116" s="59"/>
      <c r="B116" s="59"/>
      <c r="C116" s="59"/>
      <c r="D116" s="60"/>
      <c r="E116" s="156"/>
      <c r="F116" s="156"/>
      <c r="G116" s="156"/>
      <c r="H116" s="156"/>
      <c r="I116" s="156"/>
      <c r="J116" s="156"/>
    </row>
    <row r="117" spans="1:10" ht="15" customHeight="1" x14ac:dyDescent="0.25">
      <c r="A117" s="59"/>
      <c r="B117" s="59"/>
      <c r="C117" s="59"/>
      <c r="D117" s="60"/>
      <c r="E117" s="156"/>
      <c r="F117" s="156"/>
      <c r="G117" s="156"/>
      <c r="H117" s="156"/>
      <c r="I117" s="156"/>
      <c r="J117" s="156"/>
    </row>
    <row r="118" spans="1:10" ht="15" customHeight="1" x14ac:dyDescent="0.25">
      <c r="A118" s="59"/>
      <c r="B118" s="59"/>
      <c r="C118" s="59"/>
      <c r="D118" s="60"/>
      <c r="E118" s="156"/>
      <c r="F118" s="156"/>
      <c r="G118" s="156"/>
      <c r="H118" s="156"/>
      <c r="I118" s="156"/>
      <c r="J118" s="156"/>
    </row>
    <row r="119" spans="1:10" ht="15" customHeight="1" x14ac:dyDescent="0.25">
      <c r="A119" s="59"/>
      <c r="B119" s="59"/>
      <c r="C119" s="59"/>
      <c r="D119" s="60"/>
      <c r="E119" s="156"/>
      <c r="F119" s="156"/>
      <c r="G119" s="156"/>
      <c r="H119" s="156"/>
      <c r="I119" s="156"/>
      <c r="J119" s="156"/>
    </row>
    <row r="120" spans="1:10" ht="15" customHeight="1" x14ac:dyDescent="0.25">
      <c r="A120" s="59"/>
      <c r="B120" s="59"/>
      <c r="C120" s="59"/>
      <c r="D120" s="60"/>
      <c r="E120" s="156"/>
      <c r="F120" s="156"/>
      <c r="G120" s="156"/>
      <c r="H120" s="156"/>
      <c r="I120" s="156"/>
      <c r="J120" s="156"/>
    </row>
    <row r="121" spans="1:10" ht="15" customHeight="1" x14ac:dyDescent="0.25">
      <c r="A121" s="59"/>
      <c r="B121" s="59"/>
      <c r="C121" s="59"/>
      <c r="D121" s="60"/>
      <c r="E121" s="156"/>
      <c r="F121" s="156"/>
      <c r="G121" s="156"/>
      <c r="H121" s="156"/>
      <c r="I121" s="156"/>
      <c r="J121" s="156"/>
    </row>
    <row r="122" spans="1:10" ht="15.75" customHeight="1" x14ac:dyDescent="0.25">
      <c r="A122" s="59"/>
      <c r="B122" s="59"/>
      <c r="C122" s="59"/>
      <c r="D122" s="60"/>
      <c r="E122" s="156"/>
      <c r="F122" s="156"/>
      <c r="G122" s="156"/>
      <c r="H122" s="156"/>
      <c r="I122" s="156"/>
      <c r="J122" s="156"/>
    </row>
    <row r="123" spans="1:10" ht="15" customHeight="1" x14ac:dyDescent="0.25">
      <c r="A123" s="59"/>
      <c r="B123" s="59"/>
      <c r="C123" s="59"/>
      <c r="D123" s="60"/>
      <c r="E123" s="156"/>
      <c r="F123" s="156"/>
      <c r="G123" s="156"/>
      <c r="H123" s="156"/>
      <c r="I123" s="156"/>
      <c r="J123" s="156"/>
    </row>
    <row r="124" spans="1:10" ht="15" customHeight="1" x14ac:dyDescent="0.25">
      <c r="A124" s="59"/>
      <c r="B124" s="59"/>
      <c r="C124" s="59"/>
      <c r="D124" s="60"/>
      <c r="E124" s="156"/>
      <c r="F124" s="156"/>
      <c r="G124" s="156"/>
      <c r="H124" s="156"/>
      <c r="I124" s="156"/>
      <c r="J124" s="156"/>
    </row>
    <row r="125" spans="1:10" ht="15" customHeight="1" x14ac:dyDescent="0.25">
      <c r="A125" s="59"/>
      <c r="B125" s="59"/>
      <c r="C125" s="59"/>
      <c r="D125" s="60"/>
      <c r="E125" s="156"/>
      <c r="F125" s="156"/>
      <c r="G125" s="156"/>
      <c r="H125" s="156"/>
      <c r="I125" s="156"/>
      <c r="J125" s="156"/>
    </row>
    <row r="126" spans="1:10" ht="15" customHeight="1" x14ac:dyDescent="0.25">
      <c r="A126" s="59"/>
      <c r="B126" s="59"/>
      <c r="C126" s="59"/>
      <c r="D126" s="60"/>
      <c r="E126" s="156"/>
      <c r="F126" s="156"/>
      <c r="G126" s="156"/>
      <c r="H126" s="156"/>
      <c r="I126" s="156"/>
      <c r="J126" s="156"/>
    </row>
    <row r="127" spans="1:10" ht="15" customHeight="1" x14ac:dyDescent="0.25">
      <c r="A127" s="59"/>
      <c r="B127" s="59"/>
      <c r="C127" s="59"/>
      <c r="D127" s="60"/>
      <c r="E127" s="156"/>
      <c r="F127" s="156"/>
      <c r="G127" s="156"/>
      <c r="H127" s="156"/>
      <c r="I127" s="156"/>
      <c r="J127" s="156"/>
    </row>
    <row r="128" spans="1:10" ht="15" customHeight="1" x14ac:dyDescent="0.25">
      <c r="A128" s="59"/>
      <c r="B128" s="59"/>
      <c r="C128" s="59"/>
      <c r="D128" s="60"/>
      <c r="E128" s="156"/>
      <c r="F128" s="156"/>
      <c r="G128" s="156"/>
      <c r="H128" s="156"/>
      <c r="I128" s="156"/>
      <c r="J128" s="156"/>
    </row>
    <row r="129" spans="1:10" ht="15" customHeight="1" x14ac:dyDescent="0.25">
      <c r="A129" s="59"/>
      <c r="B129" s="59"/>
      <c r="C129" s="59"/>
      <c r="D129" s="60"/>
      <c r="E129" s="156"/>
      <c r="F129" s="156"/>
      <c r="G129" s="156"/>
      <c r="H129" s="156"/>
      <c r="I129" s="156"/>
      <c r="J129" s="156"/>
    </row>
    <row r="130" spans="1:10" ht="15" customHeight="1" x14ac:dyDescent="0.25">
      <c r="A130" s="59"/>
      <c r="B130" s="59"/>
      <c r="C130" s="59"/>
      <c r="D130" s="60"/>
      <c r="E130" s="156"/>
      <c r="F130" s="156"/>
      <c r="G130" s="156"/>
      <c r="H130" s="156"/>
      <c r="I130" s="156"/>
      <c r="J130" s="156"/>
    </row>
    <row r="131" spans="1:10" ht="15" customHeight="1" x14ac:dyDescent="0.25">
      <c r="A131" s="59"/>
      <c r="B131" s="59"/>
      <c r="C131" s="59"/>
      <c r="D131" s="60"/>
      <c r="E131" s="156"/>
      <c r="F131" s="156"/>
      <c r="G131" s="156"/>
      <c r="H131" s="156"/>
      <c r="I131" s="156"/>
      <c r="J131" s="156"/>
    </row>
    <row r="132" spans="1:10" ht="15" customHeight="1" x14ac:dyDescent="0.25">
      <c r="A132" s="59"/>
      <c r="B132" s="59"/>
      <c r="C132" s="59"/>
      <c r="D132" s="60"/>
      <c r="E132" s="156"/>
      <c r="F132" s="156"/>
      <c r="G132" s="156"/>
      <c r="H132" s="156"/>
      <c r="I132" s="156"/>
      <c r="J132" s="156"/>
    </row>
    <row r="133" spans="1:10" ht="15" customHeight="1" x14ac:dyDescent="0.25">
      <c r="A133" s="59"/>
      <c r="B133" s="59"/>
      <c r="C133" s="59"/>
      <c r="D133" s="60"/>
      <c r="E133" s="156"/>
      <c r="F133" s="156"/>
      <c r="G133" s="156"/>
      <c r="H133" s="156"/>
      <c r="I133" s="156"/>
      <c r="J133" s="156"/>
    </row>
    <row r="134" spans="1:10" ht="15" customHeight="1" x14ac:dyDescent="0.25">
      <c r="A134" s="59"/>
      <c r="B134" s="59"/>
      <c r="C134" s="59"/>
      <c r="D134" s="60"/>
      <c r="E134" s="156"/>
      <c r="F134" s="156"/>
      <c r="G134" s="156"/>
      <c r="H134" s="156"/>
      <c r="I134" s="156"/>
      <c r="J134" s="156"/>
    </row>
    <row r="135" spans="1:10" ht="15" customHeight="1" x14ac:dyDescent="0.25">
      <c r="A135" s="59"/>
      <c r="B135" s="59"/>
      <c r="C135" s="59"/>
      <c r="D135" s="60"/>
      <c r="E135" s="156"/>
      <c r="F135" s="156"/>
      <c r="G135" s="156"/>
      <c r="H135" s="156"/>
      <c r="I135" s="156"/>
      <c r="J135" s="156"/>
    </row>
    <row r="136" spans="1:10" ht="15" customHeight="1" x14ac:dyDescent="0.25">
      <c r="A136" s="59"/>
      <c r="B136" s="59"/>
      <c r="C136" s="59"/>
      <c r="D136" s="60"/>
      <c r="E136" s="156"/>
      <c r="F136" s="156"/>
      <c r="G136" s="156"/>
      <c r="H136" s="156"/>
      <c r="I136" s="156"/>
      <c r="J136" s="156"/>
    </row>
    <row r="137" spans="1:10" ht="15" customHeight="1" x14ac:dyDescent="0.25">
      <c r="A137" s="59"/>
      <c r="B137" s="59"/>
      <c r="C137" s="59"/>
      <c r="D137" s="60"/>
      <c r="E137" s="156"/>
      <c r="F137" s="156"/>
      <c r="G137" s="156"/>
      <c r="H137" s="156"/>
      <c r="I137" s="156"/>
      <c r="J137" s="156"/>
    </row>
    <row r="138" spans="1:10" ht="15" customHeight="1" x14ac:dyDescent="0.25">
      <c r="A138" s="59"/>
      <c r="B138" s="156"/>
      <c r="C138" s="156"/>
      <c r="D138" s="156"/>
      <c r="E138" s="156"/>
      <c r="F138" s="156"/>
      <c r="G138" s="156"/>
      <c r="H138" s="156"/>
      <c r="I138" s="156"/>
      <c r="J138" s="156"/>
    </row>
    <row r="139" spans="1:10" ht="15" customHeight="1" x14ac:dyDescent="0.25">
      <c r="A139" s="59"/>
      <c r="B139" s="59"/>
      <c r="C139" s="59"/>
      <c r="D139" s="60"/>
      <c r="E139" s="156"/>
      <c r="F139" s="156"/>
      <c r="G139" s="156"/>
      <c r="H139" s="156"/>
      <c r="I139" s="156"/>
      <c r="J139" s="156"/>
    </row>
    <row r="140" spans="1:10" ht="15" customHeight="1" x14ac:dyDescent="0.25">
      <c r="A140" s="59"/>
      <c r="B140" s="59"/>
      <c r="C140" s="59"/>
      <c r="D140" s="60"/>
      <c r="E140" s="156"/>
      <c r="F140" s="156"/>
      <c r="G140" s="156"/>
      <c r="H140" s="156"/>
      <c r="I140" s="156"/>
      <c r="J140" s="156"/>
    </row>
    <row r="141" spans="1:10" ht="15" customHeight="1" x14ac:dyDescent="0.25">
      <c r="A141" s="59"/>
      <c r="B141" s="59"/>
      <c r="C141" s="59"/>
      <c r="D141" s="60"/>
      <c r="E141" s="156"/>
      <c r="F141" s="156"/>
      <c r="G141" s="156"/>
      <c r="H141" s="156"/>
      <c r="I141" s="156"/>
      <c r="J141" s="156"/>
    </row>
    <row r="142" spans="1:10" ht="15" customHeight="1" x14ac:dyDescent="0.25">
      <c r="A142" s="107"/>
      <c r="B142" s="156"/>
      <c r="C142" s="156"/>
      <c r="D142" s="156"/>
      <c r="E142" s="156"/>
      <c r="F142" s="156"/>
      <c r="G142" s="156"/>
      <c r="H142" s="156"/>
      <c r="I142" s="156"/>
      <c r="J142" s="156"/>
    </row>
    <row r="143" spans="1:10" ht="15" customHeight="1" x14ac:dyDescent="0.25">
      <c r="A143" s="59"/>
      <c r="B143" s="59"/>
      <c r="C143" s="59"/>
      <c r="D143" s="60"/>
      <c r="E143" s="156"/>
      <c r="F143" s="156"/>
      <c r="G143" s="156"/>
      <c r="H143" s="156"/>
      <c r="I143" s="156"/>
      <c r="J143" s="156"/>
    </row>
    <row r="144" spans="1:10" ht="15" customHeight="1" x14ac:dyDescent="0.25">
      <c r="A144" s="59"/>
      <c r="B144" s="59"/>
      <c r="C144" s="59"/>
      <c r="D144" s="60"/>
      <c r="E144" s="156"/>
      <c r="F144" s="156"/>
      <c r="G144" s="156"/>
      <c r="H144" s="156"/>
      <c r="I144" s="156"/>
      <c r="J144" s="156"/>
    </row>
    <row r="145" spans="1:10" ht="15" customHeight="1" x14ac:dyDescent="0.25">
      <c r="A145" s="59"/>
      <c r="B145" s="59"/>
      <c r="C145" s="59"/>
      <c r="D145" s="60"/>
      <c r="E145" s="156"/>
      <c r="F145" s="156"/>
      <c r="G145" s="156"/>
      <c r="H145" s="156"/>
      <c r="I145" s="156"/>
      <c r="J145" s="156"/>
    </row>
    <row r="146" spans="1:10" ht="15" customHeight="1" x14ac:dyDescent="0.25">
      <c r="A146" s="59"/>
      <c r="B146" s="59"/>
      <c r="C146" s="59"/>
      <c r="D146" s="60"/>
      <c r="E146" s="156"/>
      <c r="F146" s="156"/>
      <c r="G146" s="156"/>
      <c r="H146" s="156"/>
      <c r="I146" s="156"/>
      <c r="J146" s="156"/>
    </row>
    <row r="147" spans="1:10" ht="15" customHeight="1" x14ac:dyDescent="0.25">
      <c r="A147" s="59"/>
      <c r="B147" s="59"/>
      <c r="C147" s="59"/>
      <c r="D147" s="60"/>
      <c r="E147" s="156"/>
      <c r="F147" s="156"/>
      <c r="G147" s="156"/>
      <c r="H147" s="156"/>
      <c r="I147" s="156"/>
      <c r="J147" s="156"/>
    </row>
    <row r="148" spans="1:10" ht="15" customHeight="1" x14ac:dyDescent="0.25">
      <c r="A148" s="59"/>
      <c r="B148" s="59"/>
      <c r="C148" s="59"/>
      <c r="D148" s="60"/>
      <c r="E148" s="156"/>
      <c r="F148" s="156"/>
      <c r="G148" s="156"/>
      <c r="H148" s="156"/>
      <c r="I148" s="156"/>
      <c r="J148" s="156"/>
    </row>
    <row r="149" spans="1:10" ht="15" customHeight="1" x14ac:dyDescent="0.25">
      <c r="A149" s="59"/>
      <c r="B149" s="59"/>
      <c r="C149" s="59"/>
      <c r="D149" s="60"/>
      <c r="E149" s="156"/>
      <c r="F149" s="156"/>
      <c r="G149" s="156"/>
      <c r="H149" s="156"/>
      <c r="I149" s="156"/>
      <c r="J149" s="156"/>
    </row>
    <row r="150" spans="1:10" ht="15" customHeight="1" x14ac:dyDescent="0.25">
      <c r="A150" s="59"/>
      <c r="B150" s="59"/>
      <c r="C150" s="59"/>
      <c r="D150" s="60"/>
      <c r="E150" s="156"/>
      <c r="F150" s="156"/>
      <c r="G150" s="156"/>
      <c r="H150" s="156"/>
      <c r="I150" s="156"/>
      <c r="J150" s="156"/>
    </row>
    <row r="151" spans="1:10" ht="15" customHeight="1" x14ac:dyDescent="0.25">
      <c r="A151" s="59"/>
      <c r="B151" s="59"/>
      <c r="C151" s="59"/>
      <c r="D151" s="60"/>
      <c r="E151" s="156"/>
      <c r="F151" s="156"/>
      <c r="G151" s="156"/>
      <c r="H151" s="156"/>
      <c r="I151" s="156"/>
      <c r="J151" s="156"/>
    </row>
    <row r="152" spans="1:10" ht="15" customHeight="1" x14ac:dyDescent="0.25">
      <c r="A152" s="59"/>
      <c r="B152" s="59"/>
      <c r="C152" s="59"/>
      <c r="D152" s="60"/>
      <c r="E152" s="156"/>
      <c r="F152" s="156"/>
      <c r="G152" s="156"/>
      <c r="H152" s="156"/>
      <c r="I152" s="156"/>
      <c r="J152" s="156"/>
    </row>
    <row r="153" spans="1:10" ht="15" customHeight="1" x14ac:dyDescent="0.25">
      <c r="A153" s="59"/>
      <c r="B153" s="59"/>
      <c r="C153" s="59"/>
      <c r="D153" s="60"/>
      <c r="E153" s="156"/>
      <c r="F153" s="156"/>
      <c r="G153" s="156"/>
      <c r="H153" s="156"/>
      <c r="I153" s="156"/>
      <c r="J153" s="156"/>
    </row>
    <row r="154" spans="1:10" ht="15" customHeight="1" x14ac:dyDescent="0.25">
      <c r="A154" s="59"/>
      <c r="B154" s="59"/>
      <c r="C154" s="59"/>
      <c r="D154" s="60"/>
      <c r="E154" s="156"/>
      <c r="F154" s="156"/>
      <c r="G154" s="156"/>
      <c r="H154" s="156"/>
      <c r="I154" s="156"/>
      <c r="J154" s="156"/>
    </row>
    <row r="155" spans="1:10" ht="15" customHeight="1" x14ac:dyDescent="0.25">
      <c r="A155" s="96"/>
      <c r="B155" s="96"/>
      <c r="C155" s="96"/>
      <c r="D155" s="97"/>
      <c r="E155" s="156"/>
      <c r="F155" s="64"/>
      <c r="G155" s="64"/>
      <c r="H155" s="64"/>
      <c r="I155" s="64"/>
      <c r="J155" s="64"/>
    </row>
    <row r="156" spans="1:10" s="51" customFormat="1" ht="15" customHeight="1" x14ac:dyDescent="0.25">
      <c r="A156" s="59"/>
      <c r="B156" s="59"/>
      <c r="C156" s="59"/>
      <c r="D156" s="60"/>
      <c r="E156" s="156"/>
      <c r="F156" s="156"/>
      <c r="G156" s="156"/>
      <c r="H156" s="156"/>
      <c r="I156" s="156"/>
      <c r="J156" s="156"/>
    </row>
    <row r="157" spans="1:10" ht="15" customHeight="1" x14ac:dyDescent="0.25">
      <c r="A157" s="59"/>
      <c r="B157" s="59"/>
      <c r="C157" s="59"/>
      <c r="D157" s="60"/>
      <c r="E157" s="156"/>
      <c r="F157" s="156"/>
      <c r="G157" s="156"/>
      <c r="H157" s="156"/>
      <c r="I157" s="156"/>
      <c r="J157" s="156"/>
    </row>
    <row r="158" spans="1:10" ht="15" customHeight="1" x14ac:dyDescent="0.25">
      <c r="A158" s="59"/>
      <c r="B158" s="59"/>
      <c r="C158" s="59"/>
      <c r="D158" s="60"/>
      <c r="E158" s="156"/>
      <c r="F158" s="156"/>
      <c r="G158" s="156"/>
      <c r="H158" s="156"/>
      <c r="I158" s="156"/>
      <c r="J158" s="156"/>
    </row>
    <row r="159" spans="1:10" ht="15" customHeight="1" x14ac:dyDescent="0.25">
      <c r="A159" s="59"/>
      <c r="B159" s="59"/>
      <c r="C159" s="59"/>
      <c r="D159" s="60"/>
      <c r="E159" s="156"/>
      <c r="F159" s="156"/>
      <c r="G159" s="156"/>
      <c r="H159" s="156"/>
      <c r="I159" s="156"/>
      <c r="J159" s="156"/>
    </row>
    <row r="160" spans="1:10" ht="15" customHeight="1" x14ac:dyDescent="0.25">
      <c r="A160" s="59"/>
      <c r="B160" s="59"/>
      <c r="C160" s="59"/>
      <c r="D160" s="60"/>
      <c r="E160" s="156"/>
      <c r="F160" s="156"/>
      <c r="G160" s="156"/>
      <c r="H160" s="156"/>
      <c r="I160" s="156"/>
      <c r="J160" s="156"/>
    </row>
    <row r="161" spans="1:10" ht="15" customHeight="1" x14ac:dyDescent="0.25">
      <c r="A161" s="59"/>
      <c r="B161" s="59"/>
      <c r="C161" s="59"/>
      <c r="D161" s="60"/>
      <c r="E161" s="156"/>
      <c r="F161" s="156"/>
      <c r="G161" s="156"/>
      <c r="H161" s="156"/>
      <c r="I161" s="156"/>
      <c r="J161" s="156"/>
    </row>
    <row r="162" spans="1:10" ht="15" customHeight="1" x14ac:dyDescent="0.25">
      <c r="A162" s="59"/>
      <c r="B162" s="59"/>
      <c r="C162" s="59"/>
      <c r="D162" s="60"/>
      <c r="E162" s="156"/>
      <c r="F162" s="156"/>
      <c r="G162" s="156"/>
      <c r="H162" s="156"/>
      <c r="I162" s="156"/>
      <c r="J162" s="156"/>
    </row>
    <row r="163" spans="1:10" ht="15" customHeight="1" x14ac:dyDescent="0.25">
      <c r="A163" s="59"/>
      <c r="B163" s="59"/>
      <c r="C163" s="59"/>
      <c r="D163" s="60"/>
      <c r="E163" s="156"/>
      <c r="F163" s="156"/>
      <c r="G163" s="156"/>
      <c r="H163" s="156"/>
      <c r="I163" s="156"/>
      <c r="J163" s="156"/>
    </row>
    <row r="164" spans="1:10" ht="15" customHeight="1" x14ac:dyDescent="0.25">
      <c r="A164" s="59"/>
      <c r="B164" s="59"/>
      <c r="C164" s="59"/>
      <c r="D164" s="60"/>
      <c r="E164" s="156"/>
      <c r="F164" s="156"/>
      <c r="G164" s="156"/>
      <c r="H164" s="156"/>
      <c r="I164" s="156"/>
      <c r="J164" s="156"/>
    </row>
    <row r="165" spans="1:10" ht="15" customHeight="1" x14ac:dyDescent="0.25">
      <c r="A165" s="59"/>
      <c r="B165" s="59"/>
      <c r="C165" s="59"/>
      <c r="D165" s="60"/>
      <c r="E165" s="156"/>
      <c r="F165" s="156"/>
      <c r="G165" s="156"/>
      <c r="H165" s="156"/>
      <c r="I165" s="156"/>
      <c r="J165" s="156"/>
    </row>
    <row r="166" spans="1:10" ht="15" customHeight="1" x14ac:dyDescent="0.25">
      <c r="A166" s="59"/>
      <c r="B166" s="59"/>
      <c r="C166" s="59"/>
      <c r="D166" s="60"/>
      <c r="E166" s="156"/>
      <c r="F166" s="156"/>
      <c r="G166" s="156"/>
      <c r="H166" s="156"/>
      <c r="I166" s="156"/>
      <c r="J166" s="156"/>
    </row>
    <row r="167" spans="1:10" ht="15" customHeight="1" x14ac:dyDescent="0.25">
      <c r="A167" s="59"/>
      <c r="B167" s="59"/>
      <c r="C167" s="59"/>
      <c r="D167" s="60"/>
      <c r="E167" s="156"/>
      <c r="F167" s="156"/>
      <c r="G167" s="156"/>
      <c r="H167" s="156"/>
      <c r="I167" s="156"/>
      <c r="J167" s="156"/>
    </row>
    <row r="168" spans="1:10" ht="15" customHeight="1" x14ac:dyDescent="0.25">
      <c r="A168" s="59"/>
      <c r="B168" s="59"/>
      <c r="C168" s="59"/>
      <c r="D168" s="60"/>
      <c r="E168" s="156"/>
      <c r="F168" s="156"/>
      <c r="G168" s="156"/>
      <c r="H168" s="156"/>
      <c r="I168" s="156"/>
      <c r="J168" s="156"/>
    </row>
    <row r="169" spans="1:10" ht="15" customHeight="1" x14ac:dyDescent="0.25">
      <c r="A169" s="59"/>
      <c r="B169" s="59"/>
      <c r="C169" s="59"/>
      <c r="D169" s="60"/>
      <c r="E169" s="156"/>
      <c r="F169" s="156"/>
      <c r="G169" s="156"/>
      <c r="H169" s="156"/>
      <c r="I169" s="156"/>
      <c r="J169" s="156"/>
    </row>
    <row r="170" spans="1:10" ht="15" customHeight="1" x14ac:dyDescent="0.25">
      <c r="A170" s="59"/>
      <c r="B170" s="59"/>
      <c r="C170" s="59"/>
      <c r="D170" s="60"/>
      <c r="E170" s="156"/>
      <c r="F170" s="156"/>
      <c r="G170" s="156"/>
      <c r="H170" s="156"/>
      <c r="I170" s="156"/>
      <c r="J170" s="156"/>
    </row>
    <row r="171" spans="1:10" ht="15" customHeight="1" x14ac:dyDescent="0.25">
      <c r="A171" s="59"/>
      <c r="B171" s="59"/>
      <c r="C171" s="59"/>
      <c r="D171" s="60"/>
      <c r="E171" s="156"/>
      <c r="F171" s="156"/>
      <c r="G171" s="156"/>
      <c r="H171" s="156"/>
      <c r="I171" s="156"/>
      <c r="J171" s="156"/>
    </row>
    <row r="172" spans="1:10" ht="15" customHeight="1" x14ac:dyDescent="0.25">
      <c r="A172" s="59"/>
      <c r="B172" s="59"/>
      <c r="C172" s="59"/>
      <c r="D172" s="60"/>
      <c r="E172" s="156"/>
      <c r="F172" s="156"/>
      <c r="G172" s="156"/>
      <c r="H172" s="156"/>
      <c r="I172" s="156"/>
      <c r="J172" s="156"/>
    </row>
    <row r="173" spans="1:10" ht="15" customHeight="1" x14ac:dyDescent="0.25">
      <c r="A173" s="59"/>
      <c r="B173" s="59"/>
      <c r="C173" s="59"/>
      <c r="D173" s="60"/>
      <c r="E173" s="156"/>
      <c r="F173" s="156"/>
      <c r="G173" s="156"/>
      <c r="H173" s="156"/>
      <c r="I173" s="156"/>
      <c r="J173" s="156"/>
    </row>
    <row r="174" spans="1:10" ht="15" customHeight="1" x14ac:dyDescent="0.25">
      <c r="A174" s="59"/>
      <c r="B174" s="59"/>
      <c r="C174" s="59"/>
      <c r="D174" s="60"/>
      <c r="E174" s="156"/>
      <c r="F174" s="156"/>
      <c r="G174" s="156"/>
      <c r="H174" s="156"/>
      <c r="I174" s="156"/>
      <c r="J174" s="156"/>
    </row>
    <row r="175" spans="1:10" ht="15" customHeight="1" x14ac:dyDescent="0.25">
      <c r="A175" s="59"/>
      <c r="B175" s="59"/>
      <c r="C175" s="59"/>
      <c r="D175" s="60"/>
      <c r="E175" s="156"/>
      <c r="F175" s="156"/>
      <c r="G175" s="156"/>
      <c r="H175" s="156"/>
      <c r="I175" s="156"/>
      <c r="J175" s="156"/>
    </row>
    <row r="176" spans="1:10" ht="15" customHeight="1" x14ac:dyDescent="0.25">
      <c r="A176" s="59"/>
      <c r="B176" s="59"/>
      <c r="C176" s="59"/>
      <c r="D176" s="60"/>
      <c r="E176" s="156"/>
      <c r="F176" s="156"/>
      <c r="G176" s="156"/>
      <c r="H176" s="156"/>
      <c r="I176" s="156"/>
      <c r="J176" s="156"/>
    </row>
    <row r="177" spans="1:10" ht="15" customHeight="1" x14ac:dyDescent="0.25">
      <c r="A177" s="59"/>
      <c r="B177" s="59"/>
      <c r="C177" s="59"/>
      <c r="D177" s="60"/>
      <c r="E177" s="156"/>
      <c r="F177" s="156"/>
      <c r="G177" s="156"/>
      <c r="H177" s="156"/>
      <c r="I177" s="156"/>
      <c r="J177" s="156"/>
    </row>
    <row r="178" spans="1:10" ht="15" customHeight="1" x14ac:dyDescent="0.25">
      <c r="A178" s="59"/>
      <c r="B178" s="59"/>
      <c r="C178" s="59"/>
      <c r="D178" s="60"/>
      <c r="E178" s="156"/>
      <c r="F178" s="156"/>
      <c r="G178" s="156"/>
      <c r="H178" s="156"/>
      <c r="I178" s="156"/>
      <c r="J178" s="156"/>
    </row>
    <row r="179" spans="1:10" ht="15" customHeight="1" x14ac:dyDescent="0.25">
      <c r="A179" s="59"/>
      <c r="B179" s="59"/>
      <c r="C179" s="59"/>
      <c r="D179" s="60"/>
      <c r="E179" s="156"/>
      <c r="F179" s="156"/>
      <c r="G179" s="156"/>
      <c r="H179" s="156"/>
      <c r="I179" s="156"/>
      <c r="J179" s="156"/>
    </row>
    <row r="180" spans="1:10" ht="15" customHeight="1" x14ac:dyDescent="0.25">
      <c r="A180" s="59"/>
      <c r="B180" s="59"/>
      <c r="C180" s="59"/>
      <c r="D180" s="60"/>
      <c r="E180" s="156"/>
      <c r="F180" s="156"/>
      <c r="G180" s="156"/>
      <c r="H180" s="156"/>
      <c r="I180" s="156"/>
      <c r="J180" s="156"/>
    </row>
    <row r="181" spans="1:10" ht="15" customHeight="1" x14ac:dyDescent="0.25">
      <c r="A181" s="59"/>
      <c r="B181" s="59"/>
      <c r="C181" s="59"/>
      <c r="D181" s="60"/>
      <c r="E181" s="156"/>
      <c r="F181" s="156"/>
      <c r="G181" s="156"/>
      <c r="H181" s="156"/>
      <c r="I181" s="156"/>
      <c r="J181" s="156"/>
    </row>
    <row r="182" spans="1:10" ht="15" customHeight="1" x14ac:dyDescent="0.25">
      <c r="A182" s="59"/>
      <c r="B182" s="59"/>
      <c r="C182" s="59"/>
      <c r="D182" s="60"/>
      <c r="E182" s="156"/>
      <c r="F182" s="156"/>
      <c r="G182" s="156"/>
      <c r="H182" s="156"/>
      <c r="I182" s="156"/>
      <c r="J182" s="156"/>
    </row>
    <row r="183" spans="1:10" ht="15" customHeight="1" x14ac:dyDescent="0.25">
      <c r="A183" s="59"/>
      <c r="B183" s="59"/>
      <c r="C183" s="59"/>
      <c r="D183" s="60"/>
      <c r="E183" s="156"/>
      <c r="F183" s="156"/>
      <c r="G183" s="156"/>
      <c r="H183" s="156"/>
      <c r="I183" s="156"/>
      <c r="J183" s="156"/>
    </row>
    <row r="184" spans="1:10" ht="15" customHeight="1" x14ac:dyDescent="0.25">
      <c r="A184" s="59"/>
      <c r="B184" s="59"/>
      <c r="C184" s="59"/>
      <c r="D184" s="60"/>
      <c r="E184" s="156"/>
      <c r="F184" s="156"/>
      <c r="G184" s="156"/>
      <c r="H184" s="156"/>
      <c r="I184" s="156"/>
      <c r="J184" s="156"/>
    </row>
    <row r="185" spans="1:10" ht="15" customHeight="1" x14ac:dyDescent="0.25">
      <c r="A185" s="59"/>
      <c r="B185" s="59"/>
      <c r="C185" s="59"/>
      <c r="D185" s="60"/>
      <c r="E185" s="156"/>
      <c r="F185" s="156"/>
      <c r="G185" s="156"/>
      <c r="H185" s="156"/>
      <c r="I185" s="156"/>
      <c r="J185" s="156"/>
    </row>
    <row r="186" spans="1:10" ht="15" customHeight="1" x14ac:dyDescent="0.25">
      <c r="A186" s="59"/>
      <c r="B186" s="59"/>
      <c r="C186" s="59"/>
      <c r="D186" s="60"/>
      <c r="E186" s="156"/>
      <c r="F186" s="156"/>
      <c r="G186" s="156"/>
      <c r="H186" s="156"/>
      <c r="I186" s="156"/>
      <c r="J186" s="156"/>
    </row>
    <row r="187" spans="1:10" ht="15" customHeight="1" x14ac:dyDescent="0.25">
      <c r="A187" s="59"/>
      <c r="B187" s="59"/>
      <c r="C187" s="59"/>
      <c r="D187" s="60"/>
      <c r="E187" s="156"/>
      <c r="F187" s="156"/>
      <c r="G187" s="156"/>
      <c r="H187" s="156"/>
      <c r="I187" s="156"/>
      <c r="J187" s="156"/>
    </row>
    <row r="188" spans="1:10" ht="15" customHeight="1" x14ac:dyDescent="0.25">
      <c r="A188" s="59"/>
      <c r="B188" s="59"/>
      <c r="C188" s="59"/>
      <c r="D188" s="60"/>
      <c r="E188" s="156"/>
      <c r="F188" s="156"/>
      <c r="G188" s="156"/>
      <c r="H188" s="156"/>
      <c r="I188" s="156"/>
      <c r="J188" s="156"/>
    </row>
    <row r="189" spans="1:10" ht="15" customHeight="1" x14ac:dyDescent="0.25">
      <c r="A189" s="59"/>
      <c r="B189" s="59"/>
      <c r="C189" s="59"/>
      <c r="D189" s="60"/>
      <c r="E189" s="156"/>
      <c r="F189" s="156"/>
      <c r="G189" s="156"/>
      <c r="H189" s="156"/>
      <c r="I189" s="156"/>
      <c r="J189" s="156"/>
    </row>
    <row r="190" spans="1:10" ht="15" customHeight="1" x14ac:dyDescent="0.25">
      <c r="A190" s="59"/>
      <c r="B190" s="59"/>
      <c r="C190" s="59"/>
      <c r="D190" s="60"/>
      <c r="E190" s="156"/>
      <c r="F190" s="156"/>
      <c r="G190" s="156"/>
      <c r="H190" s="156"/>
      <c r="I190" s="156"/>
      <c r="J190" s="156"/>
    </row>
    <row r="191" spans="1:10" ht="15" customHeight="1" x14ac:dyDescent="0.25">
      <c r="A191" s="59"/>
      <c r="B191" s="59"/>
      <c r="C191" s="59"/>
      <c r="D191" s="60"/>
      <c r="E191" s="156"/>
      <c r="F191" s="156"/>
      <c r="G191" s="156"/>
      <c r="H191" s="156"/>
      <c r="I191" s="156"/>
      <c r="J191" s="156"/>
    </row>
    <row r="192" spans="1:10" ht="15" customHeight="1" x14ac:dyDescent="0.25">
      <c r="A192" s="59"/>
      <c r="B192" s="59"/>
      <c r="C192" s="59"/>
      <c r="D192" s="60"/>
      <c r="E192" s="156"/>
      <c r="F192" s="156"/>
      <c r="G192" s="156"/>
      <c r="H192" s="156"/>
      <c r="I192" s="156"/>
      <c r="J192" s="156"/>
    </row>
    <row r="193" spans="1:10" ht="15" customHeight="1" x14ac:dyDescent="0.25">
      <c r="A193" s="59"/>
      <c r="B193" s="59"/>
      <c r="C193" s="59"/>
      <c r="D193" s="60"/>
      <c r="E193" s="156"/>
      <c r="F193" s="156"/>
      <c r="G193" s="156"/>
      <c r="H193" s="156"/>
      <c r="I193" s="156"/>
      <c r="J193" s="156"/>
    </row>
    <row r="194" spans="1:10" ht="15" customHeight="1" x14ac:dyDescent="0.25">
      <c r="A194" s="59"/>
      <c r="B194" s="59"/>
      <c r="C194" s="59"/>
      <c r="D194" s="60"/>
      <c r="E194" s="156"/>
      <c r="F194" s="156"/>
      <c r="G194" s="156"/>
      <c r="H194" s="156"/>
      <c r="I194" s="156"/>
      <c r="J194" s="156"/>
    </row>
    <row r="195" spans="1:10" ht="15" customHeight="1" x14ac:dyDescent="0.25">
      <c r="A195" s="59"/>
      <c r="B195" s="59"/>
      <c r="C195" s="59"/>
      <c r="D195" s="60"/>
      <c r="E195" s="156"/>
      <c r="F195" s="156"/>
      <c r="G195" s="156"/>
      <c r="H195" s="156"/>
      <c r="I195" s="156"/>
      <c r="J195" s="156"/>
    </row>
    <row r="196" spans="1:10" ht="15" customHeight="1" x14ac:dyDescent="0.25">
      <c r="A196" s="59"/>
      <c r="B196" s="59"/>
      <c r="C196" s="59"/>
      <c r="D196" s="60"/>
      <c r="E196" s="156"/>
      <c r="F196" s="156"/>
      <c r="G196" s="156"/>
      <c r="H196" s="156"/>
      <c r="I196" s="156"/>
      <c r="J196" s="156"/>
    </row>
    <row r="197" spans="1:10" ht="15" customHeight="1" x14ac:dyDescent="0.25">
      <c r="A197" s="59"/>
      <c r="B197" s="59"/>
      <c r="C197" s="59"/>
      <c r="D197" s="60"/>
      <c r="E197" s="156"/>
      <c r="F197" s="156"/>
      <c r="G197" s="156"/>
      <c r="H197" s="156"/>
      <c r="I197" s="156"/>
      <c r="J197" s="156"/>
    </row>
    <row r="198" spans="1:10" ht="15" customHeight="1" x14ac:dyDescent="0.25">
      <c r="A198" s="59"/>
      <c r="B198" s="59"/>
      <c r="C198" s="59"/>
      <c r="D198" s="60"/>
      <c r="E198" s="156"/>
      <c r="F198" s="156"/>
      <c r="G198" s="156"/>
      <c r="H198" s="156"/>
      <c r="I198" s="156"/>
      <c r="J198" s="156"/>
    </row>
    <row r="199" spans="1:10" ht="15" customHeight="1" x14ac:dyDescent="0.25">
      <c r="A199" s="59"/>
      <c r="B199" s="59"/>
      <c r="C199" s="59"/>
      <c r="D199" s="60"/>
      <c r="E199" s="156"/>
      <c r="F199" s="156"/>
      <c r="G199" s="156"/>
      <c r="H199" s="156"/>
      <c r="I199" s="156"/>
      <c r="J199" s="156"/>
    </row>
    <row r="200" spans="1:10" ht="15" customHeight="1" x14ac:dyDescent="0.25">
      <c r="A200" s="59"/>
      <c r="B200" s="59"/>
      <c r="C200" s="59"/>
      <c r="D200" s="60"/>
      <c r="E200" s="156"/>
      <c r="F200" s="156"/>
      <c r="G200" s="156"/>
      <c r="H200" s="156"/>
      <c r="I200" s="156"/>
      <c r="J200" s="156"/>
    </row>
    <row r="201" spans="1:10" ht="15" customHeight="1" x14ac:dyDescent="0.25">
      <c r="A201" s="59"/>
      <c r="B201" s="59"/>
      <c r="C201" s="59"/>
      <c r="D201" s="60"/>
      <c r="E201" s="156"/>
      <c r="F201" s="156"/>
      <c r="G201" s="156"/>
      <c r="H201" s="156"/>
      <c r="I201" s="156"/>
      <c r="J201" s="156"/>
    </row>
    <row r="202" spans="1:10" ht="15" customHeight="1" x14ac:dyDescent="0.25">
      <c r="A202" s="59"/>
      <c r="B202" s="59"/>
      <c r="C202" s="59"/>
      <c r="D202" s="60"/>
      <c r="E202" s="156"/>
      <c r="F202" s="156"/>
      <c r="G202" s="156"/>
      <c r="H202" s="156"/>
      <c r="I202" s="156"/>
      <c r="J202" s="156"/>
    </row>
    <row r="203" spans="1:10" ht="15" customHeight="1" x14ac:dyDescent="0.25">
      <c r="A203" s="59"/>
      <c r="B203" s="59"/>
      <c r="C203" s="59"/>
      <c r="D203" s="60"/>
      <c r="E203" s="156"/>
      <c r="F203" s="156"/>
      <c r="G203" s="156"/>
      <c r="H203" s="156"/>
      <c r="I203" s="156"/>
      <c r="J203" s="156"/>
    </row>
    <row r="204" spans="1:10" ht="15" customHeight="1" x14ac:dyDescent="0.25">
      <c r="A204" s="59"/>
      <c r="B204" s="59"/>
      <c r="C204" s="59"/>
      <c r="D204" s="60"/>
      <c r="E204" s="156"/>
      <c r="F204" s="156"/>
      <c r="G204" s="156"/>
      <c r="H204" s="156"/>
      <c r="I204" s="156"/>
      <c r="J204" s="156"/>
    </row>
    <row r="205" spans="1:10" ht="15" customHeight="1" x14ac:dyDescent="0.25">
      <c r="A205" s="59"/>
      <c r="B205" s="59"/>
      <c r="C205" s="59"/>
      <c r="D205" s="60"/>
      <c r="E205" s="156"/>
      <c r="F205" s="156"/>
      <c r="G205" s="156"/>
      <c r="H205" s="156"/>
      <c r="I205" s="156"/>
      <c r="J205" s="156"/>
    </row>
    <row r="206" spans="1:10" ht="15" customHeight="1" x14ac:dyDescent="0.25">
      <c r="A206" s="59"/>
      <c r="B206" s="59"/>
      <c r="C206" s="59"/>
      <c r="D206" s="60"/>
      <c r="E206" s="156"/>
      <c r="F206" s="156"/>
      <c r="G206" s="156"/>
      <c r="H206" s="156"/>
      <c r="I206" s="156"/>
      <c r="J206" s="156"/>
    </row>
    <row r="207" spans="1:10" ht="15" customHeight="1" x14ac:dyDescent="0.25">
      <c r="A207" s="59"/>
      <c r="B207" s="59"/>
      <c r="C207" s="59"/>
      <c r="D207" s="60"/>
      <c r="E207" s="156"/>
      <c r="F207" s="156"/>
      <c r="G207" s="156"/>
      <c r="H207" s="156"/>
      <c r="I207" s="156"/>
      <c r="J207" s="156"/>
    </row>
    <row r="208" spans="1:10" ht="15" customHeight="1" x14ac:dyDescent="0.25">
      <c r="A208" s="59"/>
      <c r="B208" s="59"/>
      <c r="C208" s="59"/>
      <c r="D208" s="60"/>
      <c r="E208" s="156"/>
      <c r="F208" s="156"/>
      <c r="G208" s="156"/>
      <c r="H208" s="156"/>
      <c r="I208" s="156"/>
      <c r="J208" s="156"/>
    </row>
    <row r="209" spans="1:10" ht="15" customHeight="1" x14ac:dyDescent="0.25">
      <c r="A209" s="59"/>
      <c r="B209" s="59"/>
      <c r="C209" s="59"/>
      <c r="D209" s="60"/>
      <c r="E209" s="156"/>
      <c r="F209" s="156"/>
      <c r="G209" s="156"/>
      <c r="H209" s="156"/>
      <c r="I209" s="156"/>
      <c r="J209" s="156"/>
    </row>
    <row r="210" spans="1:10" ht="15" customHeight="1" x14ac:dyDescent="0.25">
      <c r="A210" s="59"/>
      <c r="B210" s="59"/>
      <c r="C210" s="59"/>
      <c r="D210" s="60"/>
      <c r="E210" s="156"/>
      <c r="F210" s="156"/>
      <c r="G210" s="156"/>
      <c r="H210" s="156"/>
      <c r="I210" s="156"/>
      <c r="J210" s="156"/>
    </row>
    <row r="211" spans="1:10" ht="15" customHeight="1" x14ac:dyDescent="0.25">
      <c r="A211" s="59"/>
      <c r="B211" s="59"/>
      <c r="C211" s="59"/>
      <c r="D211" s="60"/>
      <c r="E211" s="156"/>
      <c r="F211" s="156"/>
      <c r="G211" s="156"/>
      <c r="H211" s="156"/>
      <c r="I211" s="156"/>
      <c r="J211" s="156"/>
    </row>
    <row r="212" spans="1:10" ht="15" customHeight="1" x14ac:dyDescent="0.25">
      <c r="A212" s="59"/>
      <c r="B212" s="59"/>
      <c r="C212" s="59"/>
      <c r="D212" s="60"/>
      <c r="E212" s="156"/>
      <c r="F212" s="156"/>
      <c r="G212" s="156"/>
      <c r="H212" s="156"/>
      <c r="I212" s="156"/>
      <c r="J212" s="156"/>
    </row>
    <row r="213" spans="1:10" ht="15" customHeight="1" x14ac:dyDescent="0.25">
      <c r="A213" s="59"/>
      <c r="B213" s="59"/>
      <c r="C213" s="59"/>
      <c r="D213" s="60"/>
      <c r="E213" s="156"/>
      <c r="F213" s="156"/>
      <c r="G213" s="156"/>
      <c r="H213" s="156"/>
      <c r="I213" s="156"/>
      <c r="J213" s="156"/>
    </row>
    <row r="214" spans="1:10" ht="15" customHeight="1" x14ac:dyDescent="0.25">
      <c r="A214" s="59"/>
      <c r="B214" s="59"/>
      <c r="C214" s="59"/>
      <c r="D214" s="60"/>
      <c r="E214" s="156"/>
      <c r="F214" s="156"/>
      <c r="G214" s="156"/>
      <c r="H214" s="156"/>
      <c r="I214" s="156"/>
      <c r="J214" s="156"/>
    </row>
    <row r="215" spans="1:10" ht="15" customHeight="1" x14ac:dyDescent="0.25">
      <c r="A215" s="59"/>
      <c r="B215" s="59"/>
      <c r="C215" s="59"/>
      <c r="D215" s="60"/>
      <c r="E215" s="156"/>
      <c r="F215" s="156"/>
      <c r="G215" s="156"/>
      <c r="H215" s="156"/>
      <c r="I215" s="156"/>
      <c r="J215" s="156"/>
    </row>
    <row r="216" spans="1:10" ht="15" customHeight="1" x14ac:dyDescent="0.25">
      <c r="A216" s="59"/>
      <c r="B216" s="59"/>
      <c r="C216" s="59"/>
      <c r="D216" s="60"/>
      <c r="E216" s="156"/>
      <c r="F216" s="156"/>
      <c r="G216" s="156"/>
      <c r="H216" s="156"/>
      <c r="I216" s="156"/>
      <c r="J216" s="156"/>
    </row>
    <row r="217" spans="1:10" ht="15" customHeight="1" x14ac:dyDescent="0.25">
      <c r="A217" s="59"/>
      <c r="B217" s="59"/>
      <c r="C217" s="59"/>
      <c r="D217" s="60"/>
      <c r="E217" s="156"/>
      <c r="F217" s="156"/>
      <c r="G217" s="156"/>
      <c r="H217" s="156"/>
      <c r="I217" s="156"/>
      <c r="J217" s="156"/>
    </row>
    <row r="218" spans="1:10" ht="15" customHeight="1" x14ac:dyDescent="0.25">
      <c r="A218" s="59"/>
      <c r="B218" s="59"/>
      <c r="C218" s="59"/>
      <c r="D218" s="60"/>
      <c r="E218" s="156"/>
      <c r="F218" s="156"/>
      <c r="G218" s="156"/>
      <c r="H218" s="156"/>
      <c r="I218" s="156"/>
      <c r="J218" s="156"/>
    </row>
    <row r="219" spans="1:10" ht="15" customHeight="1" x14ac:dyDescent="0.25">
      <c r="A219" s="59"/>
      <c r="B219" s="59"/>
      <c r="C219" s="59"/>
      <c r="D219" s="60"/>
      <c r="E219" s="156"/>
      <c r="F219" s="156"/>
      <c r="G219" s="156"/>
      <c r="H219" s="156"/>
      <c r="I219" s="156"/>
      <c r="J219" s="156"/>
    </row>
    <row r="220" spans="1:10" ht="15" customHeight="1" x14ac:dyDescent="0.25">
      <c r="A220" s="59"/>
      <c r="B220" s="59"/>
      <c r="C220" s="59"/>
      <c r="D220" s="60"/>
      <c r="E220" s="156"/>
      <c r="F220" s="156"/>
      <c r="G220" s="156"/>
      <c r="H220" s="156"/>
      <c r="I220" s="156"/>
      <c r="J220" s="156"/>
    </row>
    <row r="221" spans="1:10" ht="15" customHeight="1" x14ac:dyDescent="0.25">
      <c r="A221" s="59"/>
      <c r="B221" s="59"/>
      <c r="C221" s="59"/>
      <c r="D221" s="60"/>
      <c r="E221" s="156"/>
      <c r="F221" s="156"/>
      <c r="G221" s="156"/>
      <c r="H221" s="156"/>
      <c r="I221" s="156"/>
      <c r="J221" s="156"/>
    </row>
    <row r="222" spans="1:10" ht="15" customHeight="1" x14ac:dyDescent="0.25">
      <c r="A222" s="59"/>
      <c r="B222" s="59"/>
      <c r="C222" s="59"/>
      <c r="D222" s="60"/>
      <c r="E222" s="156"/>
      <c r="F222" s="156"/>
      <c r="G222" s="156"/>
      <c r="H222" s="156"/>
      <c r="I222" s="156"/>
      <c r="J222" s="156"/>
    </row>
    <row r="223" spans="1:10" ht="15" customHeight="1" x14ac:dyDescent="0.25">
      <c r="A223" s="59"/>
      <c r="B223" s="59"/>
      <c r="C223" s="59"/>
      <c r="D223" s="60"/>
      <c r="E223" s="156"/>
      <c r="F223" s="156"/>
      <c r="G223" s="156"/>
      <c r="H223" s="156"/>
      <c r="I223" s="156"/>
      <c r="J223" s="156"/>
    </row>
    <row r="224" spans="1:10" ht="15" customHeight="1" x14ac:dyDescent="0.25">
      <c r="A224" s="59"/>
      <c r="B224" s="59"/>
      <c r="C224" s="59"/>
      <c r="D224" s="60"/>
      <c r="E224" s="156"/>
      <c r="F224" s="156"/>
      <c r="G224" s="156"/>
      <c r="H224" s="156"/>
      <c r="I224" s="156"/>
      <c r="J224" s="156"/>
    </row>
    <row r="225" spans="1:10" ht="15" customHeight="1" x14ac:dyDescent="0.25">
      <c r="A225" s="59"/>
      <c r="B225" s="59"/>
      <c r="C225" s="59"/>
      <c r="D225" s="60"/>
      <c r="E225" s="156"/>
      <c r="F225" s="156"/>
      <c r="G225" s="156"/>
      <c r="H225" s="156"/>
      <c r="I225" s="156"/>
      <c r="J225" s="156"/>
    </row>
    <row r="226" spans="1:10" ht="15" customHeight="1" x14ac:dyDescent="0.25">
      <c r="A226" s="59"/>
      <c r="B226" s="59"/>
      <c r="C226" s="59"/>
      <c r="D226" s="60"/>
      <c r="E226" s="156"/>
      <c r="F226" s="156"/>
      <c r="G226" s="156"/>
      <c r="H226" s="156"/>
      <c r="I226" s="156"/>
      <c r="J226" s="156"/>
    </row>
    <row r="227" spans="1:10" ht="15" customHeight="1" x14ac:dyDescent="0.25">
      <c r="A227" s="59"/>
      <c r="B227" s="59"/>
      <c r="C227" s="59"/>
      <c r="D227" s="60"/>
      <c r="E227" s="156"/>
      <c r="F227" s="156"/>
      <c r="G227" s="156"/>
      <c r="H227" s="156"/>
      <c r="I227" s="156"/>
      <c r="J227" s="156"/>
    </row>
    <row r="228" spans="1:10" ht="15" customHeight="1" x14ac:dyDescent="0.25">
      <c r="A228" s="59"/>
      <c r="B228" s="59"/>
      <c r="C228" s="59"/>
      <c r="D228" s="60"/>
      <c r="E228" s="156"/>
      <c r="F228" s="156"/>
      <c r="G228" s="156"/>
      <c r="H228" s="156"/>
      <c r="I228" s="156"/>
      <c r="J228" s="156"/>
    </row>
    <row r="229" spans="1:10" ht="15" customHeight="1" x14ac:dyDescent="0.25">
      <c r="A229" s="59"/>
      <c r="B229" s="59"/>
      <c r="C229" s="59"/>
      <c r="D229" s="60"/>
      <c r="E229" s="156"/>
      <c r="F229" s="156"/>
      <c r="G229" s="156"/>
      <c r="H229" s="156"/>
      <c r="I229" s="156"/>
      <c r="J229" s="156"/>
    </row>
    <row r="230" spans="1:10" ht="15" customHeight="1" x14ac:dyDescent="0.25">
      <c r="A230" s="59"/>
      <c r="B230" s="59"/>
      <c r="C230" s="59"/>
      <c r="D230" s="60"/>
      <c r="E230" s="156"/>
      <c r="F230" s="156"/>
      <c r="G230" s="156"/>
      <c r="H230" s="156"/>
      <c r="I230" s="156"/>
      <c r="J230" s="156"/>
    </row>
    <row r="231" spans="1:10" ht="15" customHeight="1" x14ac:dyDescent="0.25">
      <c r="A231" s="59"/>
      <c r="B231" s="59"/>
      <c r="C231" s="59"/>
      <c r="D231" s="60"/>
      <c r="E231" s="156"/>
      <c r="F231" s="156"/>
      <c r="G231" s="156"/>
      <c r="H231" s="156"/>
      <c r="I231" s="156"/>
      <c r="J231" s="156"/>
    </row>
    <row r="232" spans="1:10" ht="15" customHeight="1" x14ac:dyDescent="0.25">
      <c r="A232" s="59"/>
      <c r="B232" s="59"/>
      <c r="C232" s="59"/>
      <c r="D232" s="60"/>
      <c r="E232" s="156"/>
      <c r="F232" s="156"/>
      <c r="G232" s="156"/>
      <c r="H232" s="156"/>
      <c r="I232" s="156"/>
      <c r="J232" s="156"/>
    </row>
    <row r="233" spans="1:10" ht="15" customHeight="1" x14ac:dyDescent="0.25">
      <c r="A233" s="59"/>
      <c r="B233" s="59"/>
      <c r="C233" s="59"/>
      <c r="D233" s="60"/>
      <c r="E233" s="156"/>
      <c r="F233" s="156"/>
      <c r="G233" s="156"/>
      <c r="H233" s="156"/>
      <c r="I233" s="156"/>
      <c r="J233" s="156"/>
    </row>
    <row r="234" spans="1:10" ht="15" customHeight="1" x14ac:dyDescent="0.25">
      <c r="A234" s="59"/>
      <c r="B234" s="59"/>
      <c r="C234" s="59"/>
      <c r="D234" s="60"/>
      <c r="E234" s="156"/>
      <c r="F234" s="156"/>
      <c r="G234" s="156"/>
      <c r="H234" s="156"/>
      <c r="I234" s="156"/>
      <c r="J234" s="156"/>
    </row>
    <row r="235" spans="1:10" ht="15" customHeight="1" x14ac:dyDescent="0.25">
      <c r="A235" s="59"/>
      <c r="B235" s="59"/>
      <c r="C235" s="59"/>
      <c r="D235" s="60"/>
      <c r="E235" s="156"/>
      <c r="F235" s="156"/>
      <c r="G235" s="156"/>
      <c r="H235" s="156"/>
      <c r="I235" s="156"/>
      <c r="J235" s="156"/>
    </row>
    <row r="236" spans="1:10" ht="15" customHeight="1" x14ac:dyDescent="0.25">
      <c r="A236" s="59"/>
      <c r="B236" s="59"/>
      <c r="C236" s="59"/>
      <c r="D236" s="60"/>
      <c r="E236" s="156"/>
      <c r="F236" s="156"/>
      <c r="G236" s="156"/>
      <c r="H236" s="156"/>
      <c r="I236" s="156"/>
      <c r="J236" s="156"/>
    </row>
    <row r="237" spans="1:10" ht="15" customHeight="1" x14ac:dyDescent="0.25">
      <c r="A237" s="59"/>
      <c r="B237" s="59"/>
      <c r="C237" s="59"/>
      <c r="D237" s="60"/>
      <c r="E237" s="156"/>
      <c r="F237" s="156"/>
      <c r="G237" s="156"/>
      <c r="H237" s="156"/>
      <c r="I237" s="156"/>
      <c r="J237" s="156"/>
    </row>
    <row r="238" spans="1:10" ht="15" customHeight="1" x14ac:dyDescent="0.25">
      <c r="A238" s="59"/>
      <c r="B238" s="59"/>
      <c r="C238" s="59"/>
      <c r="D238" s="60"/>
      <c r="E238" s="156"/>
      <c r="F238" s="156"/>
      <c r="G238" s="156"/>
      <c r="H238" s="156"/>
      <c r="I238" s="156"/>
      <c r="J238" s="156"/>
    </row>
    <row r="239" spans="1:10" ht="15" customHeight="1" x14ac:dyDescent="0.25">
      <c r="A239" s="59"/>
      <c r="B239" s="59"/>
      <c r="C239" s="59"/>
      <c r="D239" s="60"/>
      <c r="E239" s="156"/>
      <c r="F239" s="156"/>
      <c r="G239" s="156"/>
      <c r="H239" s="156"/>
      <c r="I239" s="156"/>
      <c r="J239" s="156"/>
    </row>
    <row r="240" spans="1:10" ht="15" customHeight="1" x14ac:dyDescent="0.25">
      <c r="A240" s="59"/>
      <c r="B240" s="59"/>
      <c r="C240" s="59"/>
      <c r="D240" s="60"/>
      <c r="E240" s="156"/>
      <c r="F240" s="156"/>
      <c r="G240" s="156"/>
      <c r="H240" s="156"/>
      <c r="I240" s="156"/>
      <c r="J240" s="156"/>
    </row>
    <row r="241" spans="1:10" ht="15" customHeight="1" x14ac:dyDescent="0.25">
      <c r="A241" s="59"/>
      <c r="B241" s="59"/>
      <c r="C241" s="59"/>
      <c r="D241" s="60"/>
      <c r="E241" s="156"/>
      <c r="F241" s="156"/>
      <c r="G241" s="156"/>
      <c r="H241" s="156"/>
      <c r="I241" s="156"/>
      <c r="J241" s="156"/>
    </row>
    <row r="242" spans="1:10" ht="15" customHeight="1" x14ac:dyDescent="0.25">
      <c r="A242" s="59"/>
      <c r="B242" s="59"/>
      <c r="C242" s="59"/>
      <c r="D242" s="60"/>
      <c r="E242" s="156"/>
      <c r="F242" s="156"/>
      <c r="G242" s="156"/>
      <c r="H242" s="156"/>
      <c r="I242" s="156"/>
      <c r="J242" s="156"/>
    </row>
    <row r="243" spans="1:10" ht="15" customHeight="1" x14ac:dyDescent="0.25">
      <c r="A243" s="59"/>
      <c r="B243" s="59"/>
      <c r="C243" s="59"/>
      <c r="D243" s="60"/>
      <c r="E243" s="156"/>
      <c r="F243" s="156"/>
      <c r="G243" s="156"/>
      <c r="H243" s="156"/>
      <c r="I243" s="156"/>
      <c r="J243" s="156"/>
    </row>
    <row r="244" spans="1:10" ht="15" customHeight="1" x14ac:dyDescent="0.25">
      <c r="A244" s="59"/>
      <c r="B244" s="59"/>
      <c r="C244" s="59"/>
      <c r="D244" s="60"/>
      <c r="E244" s="156"/>
      <c r="F244" s="156"/>
      <c r="G244" s="156"/>
      <c r="H244" s="156"/>
      <c r="I244" s="156"/>
      <c r="J244" s="156"/>
    </row>
    <row r="245" spans="1:10" ht="15" customHeight="1" x14ac:dyDescent="0.25">
      <c r="A245" s="59"/>
      <c r="B245" s="59"/>
      <c r="C245" s="59"/>
      <c r="D245" s="60"/>
      <c r="E245" s="156"/>
      <c r="F245" s="156"/>
      <c r="G245" s="156"/>
      <c r="H245" s="156"/>
      <c r="I245" s="156"/>
      <c r="J245" s="156"/>
    </row>
    <row r="246" spans="1:10" ht="15" customHeight="1" x14ac:dyDescent="0.25">
      <c r="A246" s="59"/>
      <c r="B246" s="59"/>
      <c r="C246" s="59"/>
      <c r="D246" s="60"/>
      <c r="E246" s="156"/>
      <c r="F246" s="156"/>
      <c r="G246" s="156"/>
      <c r="H246" s="156"/>
      <c r="I246" s="156"/>
      <c r="J246" s="156"/>
    </row>
    <row r="247" spans="1:10" ht="15" customHeight="1" x14ac:dyDescent="0.25">
      <c r="A247" s="59"/>
      <c r="B247" s="59"/>
      <c r="C247" s="59"/>
      <c r="D247" s="60"/>
      <c r="E247" s="156"/>
      <c r="F247" s="156"/>
      <c r="G247" s="156"/>
      <c r="H247" s="156"/>
      <c r="I247" s="156"/>
      <c r="J247" s="156"/>
    </row>
    <row r="248" spans="1:10" ht="15" customHeight="1" x14ac:dyDescent="0.25">
      <c r="A248" s="59"/>
      <c r="B248" s="59"/>
      <c r="C248" s="59"/>
      <c r="D248" s="60"/>
      <c r="E248" s="156"/>
      <c r="F248" s="156"/>
      <c r="G248" s="156"/>
      <c r="H248" s="156"/>
      <c r="I248" s="156"/>
      <c r="J248" s="156"/>
    </row>
    <row r="249" spans="1:10" ht="15" customHeight="1" x14ac:dyDescent="0.25">
      <c r="A249" s="59"/>
      <c r="B249" s="59"/>
      <c r="C249" s="59"/>
      <c r="D249" s="60"/>
      <c r="E249" s="156"/>
      <c r="F249" s="156"/>
      <c r="G249" s="156"/>
      <c r="H249" s="156"/>
      <c r="I249" s="156"/>
      <c r="J249" s="156"/>
    </row>
    <row r="250" spans="1:10" ht="15" customHeight="1" x14ac:dyDescent="0.25">
      <c r="A250" s="59"/>
      <c r="B250" s="59"/>
      <c r="C250" s="59"/>
      <c r="D250" s="60"/>
      <c r="E250" s="156"/>
      <c r="F250" s="156"/>
      <c r="G250" s="156"/>
      <c r="H250" s="156"/>
      <c r="I250" s="156"/>
      <c r="J250" s="156"/>
    </row>
    <row r="251" spans="1:10" ht="15" customHeight="1" x14ac:dyDescent="0.25">
      <c r="A251" s="59"/>
      <c r="B251" s="59"/>
      <c r="C251" s="59"/>
      <c r="D251" s="60"/>
      <c r="E251" s="156"/>
      <c r="F251" s="156"/>
      <c r="G251" s="156"/>
      <c r="H251" s="156"/>
      <c r="I251" s="156"/>
      <c r="J251" s="156"/>
    </row>
    <row r="252" spans="1:10" ht="15" customHeight="1" x14ac:dyDescent="0.25">
      <c r="A252" s="59"/>
      <c r="B252" s="59"/>
      <c r="C252" s="59"/>
      <c r="D252" s="60"/>
      <c r="E252" s="156"/>
      <c r="F252" s="156"/>
      <c r="G252" s="156"/>
      <c r="H252" s="156"/>
      <c r="I252" s="156"/>
      <c r="J252" s="156"/>
    </row>
    <row r="253" spans="1:10" ht="15" customHeight="1" x14ac:dyDescent="0.25">
      <c r="A253" s="59"/>
      <c r="B253" s="59"/>
      <c r="C253" s="59"/>
      <c r="D253" s="60"/>
      <c r="E253" s="156"/>
      <c r="F253" s="156"/>
      <c r="G253" s="156"/>
      <c r="H253" s="156"/>
      <c r="I253" s="156"/>
      <c r="J253" s="156"/>
    </row>
    <row r="254" spans="1:10" ht="15" customHeight="1" x14ac:dyDescent="0.25">
      <c r="A254" s="59"/>
      <c r="B254" s="59"/>
      <c r="C254" s="59"/>
      <c r="D254" s="60"/>
      <c r="E254" s="156"/>
      <c r="F254" s="156"/>
      <c r="G254" s="156"/>
      <c r="H254" s="156"/>
      <c r="I254" s="156"/>
      <c r="J254" s="156"/>
    </row>
    <row r="255" spans="1:10" ht="15" customHeight="1" x14ac:dyDescent="0.25">
      <c r="A255" s="59"/>
      <c r="B255" s="59"/>
      <c r="C255" s="59"/>
      <c r="D255" s="60"/>
      <c r="E255" s="156"/>
      <c r="F255" s="156"/>
      <c r="G255" s="156"/>
      <c r="H255" s="156"/>
      <c r="I255" s="156"/>
      <c r="J255" s="156"/>
    </row>
    <row r="256" spans="1:10" ht="15" customHeight="1" x14ac:dyDescent="0.25">
      <c r="A256" s="59"/>
      <c r="B256" s="59"/>
      <c r="C256" s="59"/>
      <c r="D256" s="60"/>
      <c r="E256" s="156"/>
      <c r="F256" s="156"/>
      <c r="G256" s="156"/>
      <c r="H256" s="156"/>
      <c r="I256" s="156"/>
      <c r="J256" s="156"/>
    </row>
    <row r="257" spans="1:10" ht="15" customHeight="1" x14ac:dyDescent="0.25">
      <c r="A257" s="59"/>
      <c r="B257" s="59"/>
      <c r="C257" s="59"/>
      <c r="D257" s="60"/>
      <c r="E257" s="156"/>
      <c r="F257" s="156"/>
      <c r="G257" s="156"/>
      <c r="H257" s="156"/>
      <c r="I257" s="156"/>
      <c r="J257" s="156"/>
    </row>
    <row r="258" spans="1:10" ht="15" customHeight="1" x14ac:dyDescent="0.25">
      <c r="A258" s="59"/>
      <c r="B258" s="59"/>
      <c r="C258" s="59"/>
      <c r="D258" s="60"/>
      <c r="E258" s="156"/>
      <c r="F258" s="156"/>
      <c r="G258" s="156"/>
      <c r="H258" s="156"/>
      <c r="I258" s="156"/>
      <c r="J258" s="156"/>
    </row>
    <row r="259" spans="1:10" ht="15" customHeight="1" x14ac:dyDescent="0.25">
      <c r="A259" s="59"/>
      <c r="B259" s="59"/>
      <c r="C259" s="59"/>
      <c r="D259" s="60"/>
      <c r="E259" s="156"/>
      <c r="F259" s="156"/>
      <c r="G259" s="156"/>
      <c r="H259" s="156"/>
      <c r="I259" s="156"/>
      <c r="J259" s="156"/>
    </row>
    <row r="260" spans="1:10" ht="15" customHeight="1" x14ac:dyDescent="0.25">
      <c r="A260" s="59"/>
      <c r="B260" s="59"/>
      <c r="C260" s="59"/>
      <c r="D260" s="60"/>
      <c r="E260" s="156"/>
      <c r="F260" s="156"/>
      <c r="G260" s="156"/>
      <c r="H260" s="156"/>
      <c r="I260" s="156"/>
      <c r="J260" s="156"/>
    </row>
    <row r="261" spans="1:10" ht="15" customHeight="1" x14ac:dyDescent="0.25">
      <c r="A261" s="59"/>
      <c r="B261" s="59"/>
      <c r="C261" s="59"/>
      <c r="D261" s="60"/>
      <c r="E261" s="156"/>
      <c r="F261" s="156"/>
      <c r="G261" s="156"/>
      <c r="H261" s="156"/>
      <c r="I261" s="156"/>
      <c r="J261" s="156"/>
    </row>
    <row r="262" spans="1:10" ht="15" customHeight="1" x14ac:dyDescent="0.25">
      <c r="A262" s="59"/>
      <c r="B262" s="59"/>
      <c r="C262" s="59"/>
      <c r="D262" s="60"/>
      <c r="E262" s="156"/>
      <c r="F262" s="156"/>
      <c r="G262" s="156"/>
      <c r="H262" s="156"/>
      <c r="I262" s="156"/>
      <c r="J262" s="156"/>
    </row>
    <row r="263" spans="1:10" ht="15" customHeight="1" x14ac:dyDescent="0.25">
      <c r="A263" s="59"/>
      <c r="B263" s="59"/>
      <c r="C263" s="59"/>
      <c r="D263" s="60"/>
      <c r="E263" s="156" t="s">
        <v>98</v>
      </c>
      <c r="F263" s="156"/>
      <c r="G263" s="156"/>
      <c r="H263" s="156"/>
      <c r="I263" s="156"/>
      <c r="J263" s="156"/>
    </row>
    <row r="264" spans="1:10" ht="15" customHeight="1" x14ac:dyDescent="0.25">
      <c r="A264" s="76" t="s">
        <v>5</v>
      </c>
      <c r="B264" s="76"/>
      <c r="C264" s="76"/>
      <c r="E264" s="62" t="s">
        <v>5</v>
      </c>
    </row>
    <row r="265" spans="1:10" ht="15" customHeight="1" x14ac:dyDescent="0.25">
      <c r="A265" s="76"/>
      <c r="B265" s="76"/>
      <c r="C265" s="76"/>
    </row>
    <row r="266" spans="1:10" ht="15" customHeight="1" x14ac:dyDescent="0.25">
      <c r="A266" s="76"/>
      <c r="B266" s="76"/>
      <c r="C266" s="76"/>
    </row>
    <row r="267" spans="1:10" ht="15" customHeight="1" x14ac:dyDescent="0.25">
      <c r="A267" s="76"/>
      <c r="B267" s="76"/>
      <c r="C267" s="76"/>
    </row>
    <row r="268" spans="1:10" ht="15" customHeight="1" x14ac:dyDescent="0.25">
      <c r="A268" s="76"/>
      <c r="B268" s="76"/>
      <c r="C268" s="76"/>
    </row>
    <row r="269" spans="1:10" ht="15" customHeight="1" x14ac:dyDescent="0.25">
      <c r="A269" s="76"/>
      <c r="B269" s="76"/>
      <c r="C269" s="76"/>
    </row>
    <row r="270" spans="1:10" ht="15" customHeight="1" x14ac:dyDescent="0.25">
      <c r="A270" s="76"/>
      <c r="B270" s="76"/>
      <c r="C270" s="76"/>
    </row>
    <row r="271" spans="1:10" ht="15" customHeight="1" x14ac:dyDescent="0.25">
      <c r="A271" s="76"/>
      <c r="B271" s="76"/>
      <c r="C271" s="76"/>
    </row>
    <row r="272" spans="1:10" ht="15" customHeight="1" x14ac:dyDescent="0.25">
      <c r="A272" s="76"/>
      <c r="B272" s="76"/>
      <c r="C272" s="76"/>
    </row>
    <row r="273" spans="1:3" ht="15" customHeight="1" x14ac:dyDescent="0.25">
      <c r="A273" s="76"/>
      <c r="B273" s="76"/>
      <c r="C273" s="76"/>
    </row>
    <row r="274" spans="1:3" ht="15" customHeight="1" x14ac:dyDescent="0.25">
      <c r="A274" s="76"/>
      <c r="B274" s="76"/>
      <c r="C274" s="76"/>
    </row>
    <row r="275" spans="1:3" ht="15" customHeight="1" x14ac:dyDescent="0.25">
      <c r="A275" s="76"/>
      <c r="B275" s="76"/>
      <c r="C275" s="76"/>
    </row>
    <row r="276" spans="1:3" ht="15" customHeight="1" x14ac:dyDescent="0.25">
      <c r="A276" s="76"/>
      <c r="B276" s="76"/>
      <c r="C276" s="76"/>
    </row>
    <row r="277" spans="1:3" ht="15" customHeight="1" x14ac:dyDescent="0.25">
      <c r="A277" s="76"/>
      <c r="B277" s="76"/>
      <c r="C277" s="76"/>
    </row>
    <row r="278" spans="1:3" ht="15" customHeight="1" x14ac:dyDescent="0.25">
      <c r="A278" s="76"/>
      <c r="B278" s="76"/>
      <c r="C278" s="76"/>
    </row>
    <row r="279" spans="1:3" ht="15" customHeight="1" x14ac:dyDescent="0.25">
      <c r="A279" s="76"/>
      <c r="B279" s="76"/>
      <c r="C279" s="76"/>
    </row>
    <row r="280" spans="1:3" ht="15" customHeight="1" x14ac:dyDescent="0.25">
      <c r="A280" s="76"/>
      <c r="B280" s="76"/>
      <c r="C280" s="76"/>
    </row>
    <row r="281" spans="1:3" ht="15" customHeight="1" x14ac:dyDescent="0.25">
      <c r="A281" s="76"/>
      <c r="B281" s="76"/>
      <c r="C281" s="76"/>
    </row>
    <row r="282" spans="1:3" ht="15" customHeight="1" x14ac:dyDescent="0.25">
      <c r="A282" s="76"/>
      <c r="B282" s="76"/>
      <c r="C282" s="76"/>
    </row>
    <row r="283" spans="1:3" ht="15" customHeight="1" x14ac:dyDescent="0.25">
      <c r="A283" s="76"/>
      <c r="B283" s="76"/>
      <c r="C283" s="76"/>
    </row>
    <row r="284" spans="1:3" ht="15" customHeight="1" x14ac:dyDescent="0.25">
      <c r="A284" s="76"/>
      <c r="B284" s="76"/>
      <c r="C284" s="76"/>
    </row>
    <row r="285" spans="1:3" ht="15" customHeight="1" x14ac:dyDescent="0.25">
      <c r="A285" s="76"/>
      <c r="B285" s="76"/>
      <c r="C285" s="76"/>
    </row>
    <row r="286" spans="1:3" ht="15" customHeight="1" x14ac:dyDescent="0.25">
      <c r="A286" s="76"/>
      <c r="B286" s="76"/>
      <c r="C286" s="76"/>
    </row>
    <row r="287" spans="1:3" ht="15" customHeight="1" x14ac:dyDescent="0.25">
      <c r="A287" s="76"/>
      <c r="B287" s="76"/>
      <c r="C287" s="76"/>
    </row>
    <row r="288" spans="1:3" ht="15" customHeight="1" x14ac:dyDescent="0.25">
      <c r="A288" s="76"/>
      <c r="B288" s="76"/>
      <c r="C288" s="76"/>
    </row>
    <row r="289" spans="1:3" ht="15" customHeight="1" x14ac:dyDescent="0.25">
      <c r="A289" s="76"/>
      <c r="B289" s="76"/>
      <c r="C289" s="76"/>
    </row>
    <row r="290" spans="1:3" ht="15" customHeight="1" x14ac:dyDescent="0.25">
      <c r="A290" s="76"/>
      <c r="B290" s="76"/>
      <c r="C290" s="76"/>
    </row>
    <row r="291" spans="1:3" ht="15" customHeight="1" x14ac:dyDescent="0.25">
      <c r="A291" s="76"/>
      <c r="B291" s="76"/>
      <c r="C291" s="76"/>
    </row>
    <row r="292" spans="1:3" ht="15" customHeight="1" x14ac:dyDescent="0.25">
      <c r="A292" s="76"/>
      <c r="B292" s="76"/>
      <c r="C292" s="76"/>
    </row>
    <row r="293" spans="1:3" ht="15" customHeight="1" x14ac:dyDescent="0.25">
      <c r="A293" s="76"/>
      <c r="B293" s="76"/>
      <c r="C293" s="76"/>
    </row>
    <row r="294" spans="1:3" ht="15" customHeight="1" x14ac:dyDescent="0.25">
      <c r="A294" s="76"/>
      <c r="B294" s="76"/>
      <c r="C294" s="76"/>
    </row>
    <row r="295" spans="1:3" ht="15" customHeight="1" x14ac:dyDescent="0.25">
      <c r="A295" s="76"/>
      <c r="B295" s="76"/>
      <c r="C295" s="76"/>
    </row>
    <row r="296" spans="1:3" ht="15" customHeight="1" x14ac:dyDescent="0.25">
      <c r="A296" s="76"/>
      <c r="B296" s="76"/>
      <c r="C296" s="76"/>
    </row>
    <row r="297" spans="1:3" ht="15" customHeight="1" x14ac:dyDescent="0.25">
      <c r="A297" s="76"/>
      <c r="B297" s="76"/>
      <c r="C297" s="76"/>
    </row>
    <row r="298" spans="1:3" ht="15" customHeight="1" x14ac:dyDescent="0.25">
      <c r="A298" s="76"/>
      <c r="B298" s="76"/>
      <c r="C298" s="76"/>
    </row>
    <row r="299" spans="1:3" ht="15" customHeight="1" x14ac:dyDescent="0.25">
      <c r="A299" s="76"/>
      <c r="B299" s="76"/>
      <c r="C299" s="76"/>
    </row>
    <row r="300" spans="1:3" ht="15" customHeight="1" x14ac:dyDescent="0.25">
      <c r="A300" s="76"/>
      <c r="B300" s="76"/>
      <c r="C300" s="76"/>
    </row>
    <row r="301" spans="1:3" ht="15" customHeight="1" x14ac:dyDescent="0.25">
      <c r="A301" s="76"/>
      <c r="B301" s="76"/>
      <c r="C301" s="76"/>
    </row>
    <row r="302" spans="1:3" ht="15" customHeight="1" x14ac:dyDescent="0.25">
      <c r="A302" s="76"/>
      <c r="B302" s="76"/>
      <c r="C302" s="76"/>
    </row>
    <row r="303" spans="1:3" ht="15" customHeight="1" x14ac:dyDescent="0.25">
      <c r="A303" s="76"/>
      <c r="B303" s="76"/>
      <c r="C303" s="76"/>
    </row>
    <row r="304" spans="1:3" ht="15" customHeight="1" x14ac:dyDescent="0.25">
      <c r="A304" s="76"/>
      <c r="B304" s="76"/>
      <c r="C304" s="76"/>
    </row>
    <row r="305" spans="1:3" ht="15" customHeight="1" x14ac:dyDescent="0.25">
      <c r="A305" s="76"/>
      <c r="B305" s="76"/>
      <c r="C305" s="76"/>
    </row>
    <row r="306" spans="1:3" ht="15" customHeight="1" x14ac:dyDescent="0.25">
      <c r="A306" s="76"/>
      <c r="B306" s="76"/>
      <c r="C306" s="76"/>
    </row>
    <row r="307" spans="1:3" ht="15" customHeight="1" x14ac:dyDescent="0.25">
      <c r="A307" s="76"/>
      <c r="B307" s="76"/>
      <c r="C307" s="76"/>
    </row>
    <row r="308" spans="1:3" ht="15" customHeight="1" x14ac:dyDescent="0.25">
      <c r="A308" s="76"/>
      <c r="B308" s="76"/>
      <c r="C308" s="76"/>
    </row>
    <row r="309" spans="1:3" ht="15" customHeight="1" x14ac:dyDescent="0.25">
      <c r="A309" s="76"/>
      <c r="B309" s="76"/>
      <c r="C309" s="76"/>
    </row>
    <row r="310" spans="1:3" ht="15" customHeight="1" x14ac:dyDescent="0.25">
      <c r="A310" s="76"/>
      <c r="B310" s="76"/>
      <c r="C310" s="76"/>
    </row>
    <row r="311" spans="1:3" ht="15" customHeight="1" x14ac:dyDescent="0.25">
      <c r="A311" s="76"/>
      <c r="B311" s="76"/>
      <c r="C311" s="76"/>
    </row>
    <row r="312" spans="1:3" ht="15" customHeight="1" x14ac:dyDescent="0.25">
      <c r="A312" s="76"/>
      <c r="B312" s="76"/>
      <c r="C312" s="76"/>
    </row>
    <row r="313" spans="1:3" ht="15" customHeight="1" x14ac:dyDescent="0.25">
      <c r="A313" s="76"/>
      <c r="B313" s="76"/>
      <c r="C313" s="76"/>
    </row>
    <row r="314" spans="1:3" ht="15" customHeight="1" x14ac:dyDescent="0.25">
      <c r="A314" s="76"/>
      <c r="B314" s="76"/>
      <c r="C314" s="76"/>
    </row>
    <row r="315" spans="1:3" ht="15" customHeight="1" x14ac:dyDescent="0.25">
      <c r="A315" s="76"/>
      <c r="B315" s="76"/>
      <c r="C315" s="76"/>
    </row>
    <row r="316" spans="1:3" ht="15" customHeight="1" x14ac:dyDescent="0.25">
      <c r="A316" s="76"/>
      <c r="B316" s="76"/>
      <c r="C316" s="76"/>
    </row>
    <row r="317" spans="1:3" ht="15" customHeight="1" x14ac:dyDescent="0.25">
      <c r="A317" s="76"/>
      <c r="B317" s="76"/>
      <c r="C317" s="76"/>
    </row>
    <row r="318" spans="1:3" ht="15" customHeight="1" x14ac:dyDescent="0.25">
      <c r="A318" s="76"/>
      <c r="B318" s="76"/>
      <c r="C318" s="76"/>
    </row>
    <row r="319" spans="1:3" ht="15" customHeight="1" x14ac:dyDescent="0.25">
      <c r="A319" s="76"/>
      <c r="B319" s="76"/>
      <c r="C319" s="76"/>
    </row>
    <row r="320" spans="1:3" ht="15" customHeight="1" x14ac:dyDescent="0.25">
      <c r="A320" s="76"/>
      <c r="B320" s="76"/>
      <c r="C320" s="76"/>
    </row>
    <row r="321" spans="1:3" ht="15" customHeight="1" x14ac:dyDescent="0.25">
      <c r="A321" s="76"/>
      <c r="B321" s="76"/>
      <c r="C321" s="76"/>
    </row>
    <row r="322" spans="1:3" ht="15" customHeight="1" x14ac:dyDescent="0.25">
      <c r="A322" s="76"/>
      <c r="B322" s="76"/>
      <c r="C322" s="76"/>
    </row>
    <row r="323" spans="1:3" ht="15" customHeight="1" x14ac:dyDescent="0.25">
      <c r="A323" s="76"/>
      <c r="B323" s="76"/>
      <c r="C323" s="76"/>
    </row>
    <row r="324" spans="1:3" ht="15" customHeight="1" x14ac:dyDescent="0.25">
      <c r="A324" s="76"/>
      <c r="B324" s="76"/>
      <c r="C324" s="76"/>
    </row>
    <row r="325" spans="1:3" ht="15" customHeight="1" x14ac:dyDescent="0.25">
      <c r="A325" s="76"/>
      <c r="B325" s="76"/>
      <c r="C325" s="76"/>
    </row>
    <row r="326" spans="1:3" ht="15" customHeight="1" x14ac:dyDescent="0.25">
      <c r="A326" s="76"/>
      <c r="B326" s="76"/>
      <c r="C326" s="76"/>
    </row>
    <row r="327" spans="1:3" ht="15" customHeight="1" x14ac:dyDescent="0.25">
      <c r="A327" s="76"/>
      <c r="B327" s="76"/>
      <c r="C327" s="76"/>
    </row>
    <row r="328" spans="1:3" ht="15" customHeight="1" x14ac:dyDescent="0.25">
      <c r="A328" s="76"/>
      <c r="B328" s="76"/>
      <c r="C328" s="76"/>
    </row>
    <row r="329" spans="1:3" ht="15" customHeight="1" x14ac:dyDescent="0.25">
      <c r="A329" s="76"/>
      <c r="B329" s="76"/>
      <c r="C329" s="76"/>
    </row>
    <row r="330" spans="1:3" ht="15" customHeight="1" x14ac:dyDescent="0.25">
      <c r="A330" s="76"/>
      <c r="B330" s="76"/>
      <c r="C330" s="76"/>
    </row>
    <row r="331" spans="1:3" ht="15" customHeight="1" x14ac:dyDescent="0.25">
      <c r="A331" s="76"/>
      <c r="B331" s="76"/>
      <c r="C331" s="76"/>
    </row>
    <row r="332" spans="1:3" ht="15" customHeight="1" x14ac:dyDescent="0.25">
      <c r="A332" s="76"/>
      <c r="B332" s="76"/>
      <c r="C332" s="76"/>
    </row>
    <row r="333" spans="1:3" ht="15" customHeight="1" x14ac:dyDescent="0.25">
      <c r="A333" s="76"/>
      <c r="B333" s="76"/>
      <c r="C333" s="76"/>
    </row>
    <row r="334" spans="1:3" ht="15" customHeight="1" x14ac:dyDescent="0.25">
      <c r="A334" s="76"/>
      <c r="B334" s="76"/>
      <c r="C334" s="76"/>
    </row>
    <row r="335" spans="1:3" ht="15" customHeight="1" x14ac:dyDescent="0.25">
      <c r="A335" s="76"/>
      <c r="B335" s="76"/>
      <c r="C335" s="76"/>
    </row>
    <row r="336" spans="1:3" ht="15" customHeight="1" x14ac:dyDescent="0.25">
      <c r="A336" s="76"/>
      <c r="B336" s="76"/>
      <c r="C336" s="76"/>
    </row>
    <row r="337" spans="1:3" ht="15" customHeight="1" x14ac:dyDescent="0.25">
      <c r="A337" s="76"/>
      <c r="B337" s="76"/>
      <c r="C337" s="76"/>
    </row>
    <row r="338" spans="1:3" ht="15" customHeight="1" x14ac:dyDescent="0.25">
      <c r="A338" s="76"/>
      <c r="B338" s="76"/>
      <c r="C338" s="76"/>
    </row>
    <row r="339" spans="1:3" ht="15" customHeight="1" x14ac:dyDescent="0.25">
      <c r="A339" s="76"/>
      <c r="B339" s="76"/>
      <c r="C339" s="76"/>
    </row>
    <row r="340" spans="1:3" ht="15" customHeight="1" x14ac:dyDescent="0.25">
      <c r="A340" s="76"/>
      <c r="B340" s="76"/>
      <c r="C340" s="76"/>
    </row>
    <row r="341" spans="1:3" ht="15" customHeight="1" x14ac:dyDescent="0.25">
      <c r="A341" s="76"/>
      <c r="B341" s="76"/>
      <c r="C341" s="76"/>
    </row>
    <row r="342" spans="1:3" ht="15" customHeight="1" x14ac:dyDescent="0.25">
      <c r="A342" s="76"/>
      <c r="B342" s="76"/>
      <c r="C342" s="76"/>
    </row>
    <row r="343" spans="1:3" ht="15" customHeight="1" x14ac:dyDescent="0.25">
      <c r="A343" s="76"/>
      <c r="B343" s="76"/>
      <c r="C343" s="76"/>
    </row>
    <row r="344" spans="1:3" ht="15" customHeight="1" x14ac:dyDescent="0.25">
      <c r="A344" s="76"/>
      <c r="B344" s="76"/>
      <c r="C344" s="76"/>
    </row>
    <row r="345" spans="1:3" ht="15" customHeight="1" x14ac:dyDescent="0.25">
      <c r="A345" s="76"/>
      <c r="B345" s="76"/>
      <c r="C345" s="76"/>
    </row>
    <row r="346" spans="1:3" ht="15" customHeight="1" x14ac:dyDescent="0.25">
      <c r="A346" s="76"/>
      <c r="B346" s="76"/>
      <c r="C346" s="76"/>
    </row>
    <row r="347" spans="1:3" ht="15" customHeight="1" x14ac:dyDescent="0.25">
      <c r="A347" s="76"/>
      <c r="B347" s="76"/>
      <c r="C347" s="76"/>
    </row>
    <row r="348" spans="1:3" ht="15" customHeight="1" x14ac:dyDescent="0.25">
      <c r="A348" s="76"/>
      <c r="B348" s="76"/>
      <c r="C348" s="76"/>
    </row>
    <row r="349" spans="1:3" ht="15" customHeight="1" x14ac:dyDescent="0.25">
      <c r="A349" s="76"/>
      <c r="B349" s="76"/>
      <c r="C349" s="76"/>
    </row>
    <row r="350" spans="1:3" ht="15" customHeight="1" x14ac:dyDescent="0.25">
      <c r="A350" s="76"/>
      <c r="B350" s="76"/>
      <c r="C350" s="76"/>
    </row>
    <row r="351" spans="1:3" ht="15" customHeight="1" x14ac:dyDescent="0.25">
      <c r="A351" s="76"/>
      <c r="B351" s="76"/>
      <c r="C351" s="76"/>
    </row>
    <row r="352" spans="1:3" ht="15" customHeight="1" x14ac:dyDescent="0.25">
      <c r="A352" s="76"/>
      <c r="B352" s="76"/>
      <c r="C352" s="76"/>
    </row>
    <row r="353" spans="1:3" ht="15" customHeight="1" x14ac:dyDescent="0.25">
      <c r="A353" s="76"/>
      <c r="B353" s="76"/>
      <c r="C353" s="76"/>
    </row>
    <row r="354" spans="1:3" ht="15" customHeight="1" x14ac:dyDescent="0.25">
      <c r="A354" s="76"/>
      <c r="B354" s="76"/>
      <c r="C354" s="76"/>
    </row>
    <row r="355" spans="1:3" ht="15" customHeight="1" x14ac:dyDescent="0.25">
      <c r="A355" s="76"/>
      <c r="B355" s="76"/>
      <c r="C355" s="76"/>
    </row>
    <row r="356" spans="1:3" ht="15" customHeight="1" x14ac:dyDescent="0.25">
      <c r="A356" s="76"/>
      <c r="B356" s="76"/>
      <c r="C356" s="76"/>
    </row>
    <row r="357" spans="1:3" ht="15" customHeight="1" x14ac:dyDescent="0.25">
      <c r="A357" s="76"/>
      <c r="B357" s="76"/>
      <c r="C357" s="76"/>
    </row>
    <row r="358" spans="1:3" ht="15" customHeight="1" x14ac:dyDescent="0.25">
      <c r="A358" s="76"/>
      <c r="B358" s="76"/>
      <c r="C358" s="76"/>
    </row>
    <row r="359" spans="1:3" ht="15" customHeight="1" x14ac:dyDescent="0.25">
      <c r="A359" s="76"/>
      <c r="B359" s="76"/>
      <c r="C359" s="76"/>
    </row>
    <row r="360" spans="1:3" ht="15" customHeight="1" x14ac:dyDescent="0.25">
      <c r="A360" s="76"/>
      <c r="B360" s="76"/>
      <c r="C360" s="76"/>
    </row>
    <row r="361" spans="1:3" ht="15" customHeight="1" x14ac:dyDescent="0.25">
      <c r="A361" s="76"/>
      <c r="B361" s="76"/>
      <c r="C361" s="76"/>
    </row>
    <row r="362" spans="1:3" ht="15" customHeight="1" x14ac:dyDescent="0.25">
      <c r="A362" s="76"/>
      <c r="B362" s="76"/>
      <c r="C362" s="76"/>
    </row>
    <row r="363" spans="1:3" ht="15" customHeight="1" x14ac:dyDescent="0.25">
      <c r="A363" s="76"/>
      <c r="B363" s="76"/>
      <c r="C363" s="76"/>
    </row>
    <row r="364" spans="1:3" ht="15" customHeight="1" x14ac:dyDescent="0.25">
      <c r="A364" s="76"/>
      <c r="B364" s="76"/>
      <c r="C364" s="76"/>
    </row>
    <row r="365" spans="1:3" ht="15" customHeight="1" x14ac:dyDescent="0.25">
      <c r="A365" s="76"/>
      <c r="B365" s="76"/>
      <c r="C365" s="76"/>
    </row>
    <row r="366" spans="1:3" ht="15" customHeight="1" x14ac:dyDescent="0.25">
      <c r="A366" s="76"/>
      <c r="B366" s="76"/>
      <c r="C366" s="76"/>
    </row>
    <row r="367" spans="1:3" ht="15" customHeight="1" x14ac:dyDescent="0.25">
      <c r="A367" s="76"/>
      <c r="B367" s="76"/>
      <c r="C367" s="76"/>
    </row>
    <row r="368" spans="1:3" ht="15" customHeight="1" x14ac:dyDescent="0.25">
      <c r="A368" s="76"/>
      <c r="B368" s="76"/>
      <c r="C368" s="76"/>
    </row>
    <row r="369" spans="1:3" ht="15" customHeight="1" x14ac:dyDescent="0.25">
      <c r="A369" s="76"/>
      <c r="B369" s="76"/>
      <c r="C369" s="76"/>
    </row>
    <row r="370" spans="1:3" ht="15" customHeight="1" x14ac:dyDescent="0.25">
      <c r="A370" s="76"/>
      <c r="B370" s="76"/>
      <c r="C370" s="76"/>
    </row>
    <row r="371" spans="1:3" ht="15" customHeight="1" x14ac:dyDescent="0.25">
      <c r="A371" s="76"/>
      <c r="B371" s="76"/>
      <c r="C371" s="76"/>
    </row>
    <row r="372" spans="1:3" ht="15" customHeight="1" x14ac:dyDescent="0.25">
      <c r="A372" s="76"/>
      <c r="B372" s="76"/>
      <c r="C372" s="76"/>
    </row>
    <row r="373" spans="1:3" ht="15" customHeight="1" x14ac:dyDescent="0.25">
      <c r="A373" s="76"/>
      <c r="B373" s="76"/>
      <c r="C373" s="76"/>
    </row>
    <row r="374" spans="1:3" ht="15" customHeight="1" x14ac:dyDescent="0.25">
      <c r="A374" s="76"/>
      <c r="B374" s="76"/>
      <c r="C374" s="76"/>
    </row>
    <row r="375" spans="1:3" ht="15" customHeight="1" x14ac:dyDescent="0.25">
      <c r="A375" s="76"/>
      <c r="B375" s="76"/>
      <c r="C375" s="76"/>
    </row>
    <row r="376" spans="1:3" ht="15" customHeight="1" x14ac:dyDescent="0.25">
      <c r="A376" s="76"/>
      <c r="B376" s="76"/>
      <c r="C376" s="76"/>
    </row>
    <row r="377" spans="1:3" ht="15" customHeight="1" x14ac:dyDescent="0.25">
      <c r="A377" s="76"/>
      <c r="B377" s="76"/>
      <c r="C377" s="76"/>
    </row>
    <row r="378" spans="1:3" ht="15" customHeight="1" x14ac:dyDescent="0.25">
      <c r="A378" s="76"/>
      <c r="B378" s="76"/>
      <c r="C378" s="76"/>
    </row>
    <row r="379" spans="1:3" ht="15" customHeight="1" x14ac:dyDescent="0.25">
      <c r="A379" s="76"/>
      <c r="B379" s="76"/>
      <c r="C379" s="76"/>
    </row>
    <row r="380" spans="1:3" ht="15" customHeight="1" x14ac:dyDescent="0.25">
      <c r="A380" s="76"/>
      <c r="B380" s="76"/>
      <c r="C380" s="76"/>
    </row>
    <row r="381" spans="1:3" ht="15" customHeight="1" x14ac:dyDescent="0.25">
      <c r="A381" s="76"/>
      <c r="B381" s="76"/>
      <c r="C381" s="76"/>
    </row>
    <row r="382" spans="1:3" ht="15" customHeight="1" x14ac:dyDescent="0.25">
      <c r="A382" s="76"/>
      <c r="B382" s="76"/>
      <c r="C382" s="76"/>
    </row>
    <row r="383" spans="1:3" ht="15" customHeight="1" x14ac:dyDescent="0.25">
      <c r="A383" s="76"/>
      <c r="B383" s="76"/>
      <c r="C383" s="76"/>
    </row>
    <row r="384" spans="1:3" ht="15" customHeight="1" x14ac:dyDescent="0.25">
      <c r="A384" s="76"/>
      <c r="B384" s="76"/>
      <c r="C384" s="76"/>
    </row>
    <row r="385" spans="1:3" ht="15" customHeight="1" x14ac:dyDescent="0.25">
      <c r="A385" s="76"/>
      <c r="B385" s="76"/>
      <c r="C385" s="76"/>
    </row>
    <row r="386" spans="1:3" ht="15" customHeight="1" x14ac:dyDescent="0.25">
      <c r="A386" s="76"/>
      <c r="B386" s="76"/>
      <c r="C386" s="76"/>
    </row>
    <row r="387" spans="1:3" ht="15" customHeight="1" x14ac:dyDescent="0.25">
      <c r="A387" s="76"/>
      <c r="B387" s="76"/>
      <c r="C387" s="76"/>
    </row>
    <row r="388" spans="1:3" ht="15" customHeight="1" x14ac:dyDescent="0.25">
      <c r="A388" s="76"/>
      <c r="B388" s="76"/>
      <c r="C388" s="76"/>
    </row>
    <row r="389" spans="1:3" ht="15" customHeight="1" x14ac:dyDescent="0.25">
      <c r="A389" s="76"/>
      <c r="B389" s="76"/>
      <c r="C389" s="76"/>
    </row>
    <row r="390" spans="1:3" ht="15" customHeight="1" x14ac:dyDescent="0.25">
      <c r="A390" s="76"/>
      <c r="B390" s="76"/>
      <c r="C390" s="76"/>
    </row>
    <row r="391" spans="1:3" ht="15" customHeight="1" x14ac:dyDescent="0.25">
      <c r="A391" s="76"/>
      <c r="B391" s="76"/>
      <c r="C391" s="76"/>
    </row>
    <row r="392" spans="1:3" ht="15" customHeight="1" x14ac:dyDescent="0.25">
      <c r="A392" s="76"/>
      <c r="B392" s="76"/>
      <c r="C392" s="76"/>
    </row>
    <row r="393" spans="1:3" ht="15" customHeight="1" x14ac:dyDescent="0.25">
      <c r="A393" s="76"/>
      <c r="B393" s="76"/>
      <c r="C393" s="76"/>
    </row>
    <row r="394" spans="1:3" ht="15" customHeight="1" x14ac:dyDescent="0.25">
      <c r="A394" s="76"/>
      <c r="B394" s="76"/>
      <c r="C394" s="76"/>
    </row>
    <row r="395" spans="1:3" ht="15" customHeight="1" x14ac:dyDescent="0.25">
      <c r="A395" s="76"/>
      <c r="B395" s="76"/>
      <c r="C395" s="76"/>
    </row>
    <row r="396" spans="1:3" ht="15" customHeight="1" x14ac:dyDescent="0.25">
      <c r="A396" s="76"/>
      <c r="B396" s="76"/>
      <c r="C396" s="76"/>
    </row>
    <row r="397" spans="1:3" ht="15" customHeight="1" x14ac:dyDescent="0.25">
      <c r="A397" s="76"/>
      <c r="B397" s="76"/>
      <c r="C397" s="76"/>
    </row>
    <row r="398" spans="1:3" ht="15" customHeight="1" x14ac:dyDescent="0.25">
      <c r="A398" s="76"/>
      <c r="B398" s="76"/>
      <c r="C398" s="76"/>
    </row>
    <row r="399" spans="1:3" ht="15" customHeight="1" x14ac:dyDescent="0.25">
      <c r="A399" s="76"/>
      <c r="B399" s="76"/>
      <c r="C399" s="76"/>
    </row>
    <row r="400" spans="1:3" ht="15" customHeight="1" x14ac:dyDescent="0.25">
      <c r="A400" s="76"/>
      <c r="B400" s="76"/>
      <c r="C400" s="76"/>
    </row>
    <row r="401" spans="1:3" ht="15" customHeight="1" x14ac:dyDescent="0.25">
      <c r="A401" s="76"/>
      <c r="B401" s="76"/>
      <c r="C401" s="76"/>
    </row>
    <row r="402" spans="1:3" ht="15" customHeight="1" x14ac:dyDescent="0.25">
      <c r="A402" s="76"/>
      <c r="B402" s="76"/>
      <c r="C402" s="76"/>
    </row>
    <row r="403" spans="1:3" ht="15" customHeight="1" x14ac:dyDescent="0.25">
      <c r="A403" s="76"/>
      <c r="B403" s="76"/>
      <c r="C403" s="76"/>
    </row>
    <row r="404" spans="1:3" ht="15" customHeight="1" x14ac:dyDescent="0.25">
      <c r="A404" s="76"/>
      <c r="B404" s="76"/>
      <c r="C404" s="76"/>
    </row>
    <row r="405" spans="1:3" ht="15" customHeight="1" x14ac:dyDescent="0.25">
      <c r="A405" s="76"/>
      <c r="B405" s="76"/>
      <c r="C405" s="76"/>
    </row>
    <row r="406" spans="1:3" ht="15" customHeight="1" x14ac:dyDescent="0.25">
      <c r="A406" s="76"/>
      <c r="B406" s="76"/>
      <c r="C406" s="76"/>
    </row>
    <row r="407" spans="1:3" ht="15" customHeight="1" x14ac:dyDescent="0.25">
      <c r="A407" s="76"/>
      <c r="B407" s="76"/>
      <c r="C407" s="76"/>
    </row>
    <row r="408" spans="1:3" ht="15" customHeight="1" x14ac:dyDescent="0.25">
      <c r="A408" s="76"/>
      <c r="B408" s="76"/>
      <c r="C408" s="76"/>
    </row>
    <row r="409" spans="1:3" ht="15" customHeight="1" x14ac:dyDescent="0.25">
      <c r="A409" s="76"/>
      <c r="B409" s="76"/>
      <c r="C409" s="76"/>
    </row>
    <row r="410" spans="1:3" ht="15" customHeight="1" x14ac:dyDescent="0.25">
      <c r="A410" s="76"/>
      <c r="B410" s="76"/>
      <c r="C410" s="76"/>
    </row>
    <row r="411" spans="1:3" ht="15" customHeight="1" x14ac:dyDescent="0.25">
      <c r="A411" s="76"/>
      <c r="B411" s="76"/>
      <c r="C411" s="76"/>
    </row>
    <row r="412" spans="1:3" ht="15" customHeight="1" x14ac:dyDescent="0.25">
      <c r="A412" s="76"/>
      <c r="B412" s="76"/>
      <c r="C412" s="76"/>
    </row>
    <row r="413" spans="1:3" ht="15" customHeight="1" x14ac:dyDescent="0.25">
      <c r="A413" s="76"/>
      <c r="B413" s="76"/>
      <c r="C413" s="76"/>
    </row>
    <row r="414" spans="1:3" ht="15" customHeight="1" x14ac:dyDescent="0.25">
      <c r="A414" s="76"/>
      <c r="B414" s="76"/>
      <c r="C414" s="76"/>
    </row>
    <row r="415" spans="1:3" ht="15" customHeight="1" x14ac:dyDescent="0.25">
      <c r="A415" s="76"/>
      <c r="B415" s="76"/>
      <c r="C415" s="76"/>
    </row>
    <row r="416" spans="1:3" ht="15" customHeight="1" x14ac:dyDescent="0.25">
      <c r="A416" s="76"/>
      <c r="B416" s="76"/>
      <c r="C416" s="76"/>
    </row>
    <row r="417" spans="1:3" ht="15" customHeight="1" x14ac:dyDescent="0.25">
      <c r="A417" s="76"/>
      <c r="B417" s="76"/>
      <c r="C417" s="76"/>
    </row>
    <row r="418" spans="1:3" ht="15" customHeight="1" x14ac:dyDescent="0.25">
      <c r="A418" s="76"/>
      <c r="B418" s="76"/>
      <c r="C418" s="76"/>
    </row>
    <row r="419" spans="1:3" ht="15" customHeight="1" x14ac:dyDescent="0.25">
      <c r="A419" s="76"/>
      <c r="B419" s="76"/>
      <c r="C419" s="76"/>
    </row>
    <row r="420" spans="1:3" ht="15" customHeight="1" x14ac:dyDescent="0.25">
      <c r="A420" s="76"/>
      <c r="B420" s="76"/>
      <c r="C420" s="76"/>
    </row>
    <row r="421" spans="1:3" ht="15" customHeight="1" x14ac:dyDescent="0.25">
      <c r="A421" s="76"/>
      <c r="B421" s="76"/>
      <c r="C421" s="76"/>
    </row>
    <row r="422" spans="1:3" ht="15" customHeight="1" x14ac:dyDescent="0.25">
      <c r="A422" s="76"/>
      <c r="B422" s="76"/>
      <c r="C422" s="76"/>
    </row>
    <row r="423" spans="1:3" ht="15" customHeight="1" x14ac:dyDescent="0.25">
      <c r="A423" s="76"/>
      <c r="B423" s="76"/>
      <c r="C423" s="76"/>
    </row>
    <row r="424" spans="1:3" ht="15" customHeight="1" x14ac:dyDescent="0.25">
      <c r="A424" s="76"/>
      <c r="B424" s="76"/>
      <c r="C424" s="76"/>
    </row>
    <row r="425" spans="1:3" ht="15" customHeight="1" x14ac:dyDescent="0.25">
      <c r="A425" s="76"/>
      <c r="B425" s="76"/>
      <c r="C425" s="76"/>
    </row>
    <row r="426" spans="1:3" ht="15" customHeight="1" x14ac:dyDescent="0.25">
      <c r="A426" s="76"/>
      <c r="B426" s="76"/>
      <c r="C426" s="76"/>
    </row>
    <row r="427" spans="1:3" ht="15" customHeight="1" x14ac:dyDescent="0.25">
      <c r="A427" s="76"/>
      <c r="B427" s="76"/>
      <c r="C427" s="76"/>
    </row>
    <row r="428" spans="1:3" ht="15" customHeight="1" x14ac:dyDescent="0.25">
      <c r="A428" s="76"/>
      <c r="B428" s="76"/>
      <c r="C428" s="76"/>
    </row>
    <row r="429" spans="1:3" ht="15" customHeight="1" x14ac:dyDescent="0.25">
      <c r="A429" s="76"/>
      <c r="B429" s="76"/>
      <c r="C429" s="76"/>
    </row>
    <row r="430" spans="1:3" ht="15" customHeight="1" x14ac:dyDescent="0.25">
      <c r="A430" s="76"/>
      <c r="B430" s="76"/>
      <c r="C430" s="76"/>
    </row>
    <row r="431" spans="1:3" ht="15" customHeight="1" x14ac:dyDescent="0.25">
      <c r="A431" s="76"/>
      <c r="B431" s="76"/>
      <c r="C431" s="76"/>
    </row>
    <row r="432" spans="1:3" ht="15" customHeight="1" x14ac:dyDescent="0.25">
      <c r="A432" s="76"/>
      <c r="B432" s="76"/>
      <c r="C432" s="76"/>
    </row>
    <row r="433" spans="1:3" ht="15" customHeight="1" x14ac:dyDescent="0.25">
      <c r="A433" s="76"/>
      <c r="B433" s="76"/>
      <c r="C433" s="76"/>
    </row>
    <row r="434" spans="1:3" ht="15" customHeight="1" x14ac:dyDescent="0.25">
      <c r="A434" s="76"/>
      <c r="B434" s="76"/>
      <c r="C434" s="76"/>
    </row>
    <row r="435" spans="1:3" ht="15" customHeight="1" x14ac:dyDescent="0.25">
      <c r="A435" s="76"/>
      <c r="B435" s="76"/>
      <c r="C435" s="76"/>
    </row>
    <row r="436" spans="1:3" ht="15" customHeight="1" x14ac:dyDescent="0.25">
      <c r="A436" s="76"/>
      <c r="B436" s="76"/>
      <c r="C436" s="76"/>
    </row>
    <row r="437" spans="1:3" ht="15" customHeight="1" x14ac:dyDescent="0.25">
      <c r="A437" s="76"/>
      <c r="B437" s="76"/>
      <c r="C437" s="76"/>
    </row>
    <row r="438" spans="1:3" ht="15" customHeight="1" x14ac:dyDescent="0.25">
      <c r="A438" s="76"/>
      <c r="B438" s="76"/>
      <c r="C438" s="76"/>
    </row>
    <row r="439" spans="1:3" ht="15" customHeight="1" x14ac:dyDescent="0.25">
      <c r="A439" s="76"/>
      <c r="B439" s="76"/>
      <c r="C439" s="76"/>
    </row>
    <row r="440" spans="1:3" ht="15" customHeight="1" x14ac:dyDescent="0.25">
      <c r="A440" s="76"/>
      <c r="B440" s="76"/>
      <c r="C440" s="76"/>
    </row>
    <row r="441" spans="1:3" ht="15" customHeight="1" x14ac:dyDescent="0.25">
      <c r="A441" s="76"/>
      <c r="B441" s="76"/>
      <c r="C441" s="76"/>
    </row>
    <row r="442" spans="1:3" ht="15" customHeight="1" x14ac:dyDescent="0.25">
      <c r="A442" s="76"/>
      <c r="B442" s="76"/>
      <c r="C442" s="76"/>
    </row>
    <row r="443" spans="1:3" ht="15" customHeight="1" x14ac:dyDescent="0.25">
      <c r="A443" s="76"/>
      <c r="B443" s="76"/>
      <c r="C443" s="76"/>
    </row>
    <row r="444" spans="1:3" ht="15" customHeight="1" x14ac:dyDescent="0.25">
      <c r="A444" s="76"/>
      <c r="B444" s="76"/>
      <c r="C444" s="76"/>
    </row>
    <row r="445" spans="1:3" ht="15" customHeight="1" x14ac:dyDescent="0.25">
      <c r="A445" s="76"/>
      <c r="B445" s="76"/>
      <c r="C445" s="76"/>
    </row>
    <row r="446" spans="1:3" ht="15" customHeight="1" x14ac:dyDescent="0.25">
      <c r="A446" s="76"/>
      <c r="B446" s="76"/>
      <c r="C446" s="76"/>
    </row>
    <row r="447" spans="1:3" ht="15" customHeight="1" x14ac:dyDescent="0.25">
      <c r="A447" s="76"/>
      <c r="B447" s="76"/>
      <c r="C447" s="76"/>
    </row>
    <row r="448" spans="1:3" ht="15" customHeight="1" x14ac:dyDescent="0.25">
      <c r="A448" s="76"/>
      <c r="B448" s="76"/>
      <c r="C448" s="76"/>
    </row>
    <row r="449" spans="1:3" ht="15" customHeight="1" x14ac:dyDescent="0.25">
      <c r="A449" s="76"/>
      <c r="B449" s="76"/>
      <c r="C449" s="76"/>
    </row>
    <row r="450" spans="1:3" ht="15" customHeight="1" x14ac:dyDescent="0.25">
      <c r="A450" s="76"/>
      <c r="B450" s="76"/>
      <c r="C450" s="76"/>
    </row>
    <row r="451" spans="1:3" ht="15" customHeight="1" x14ac:dyDescent="0.25">
      <c r="A451" s="76"/>
      <c r="B451" s="76"/>
      <c r="C451" s="76"/>
    </row>
    <row r="452" spans="1:3" ht="15" customHeight="1" x14ac:dyDescent="0.25">
      <c r="A452" s="76"/>
      <c r="B452" s="76"/>
      <c r="C452" s="76"/>
    </row>
    <row r="453" spans="1:3" ht="15" customHeight="1" x14ac:dyDescent="0.25">
      <c r="A453" s="76"/>
      <c r="B453" s="76"/>
      <c r="C453" s="76"/>
    </row>
    <row r="454" spans="1:3" ht="15" customHeight="1" x14ac:dyDescent="0.25">
      <c r="A454" s="76"/>
      <c r="B454" s="76"/>
      <c r="C454" s="76"/>
    </row>
    <row r="455" spans="1:3" ht="15" customHeight="1" x14ac:dyDescent="0.25">
      <c r="A455" s="76"/>
      <c r="B455" s="76"/>
      <c r="C455" s="76"/>
    </row>
    <row r="456" spans="1:3" ht="15" customHeight="1" x14ac:dyDescent="0.25">
      <c r="A456" s="76"/>
      <c r="B456" s="76"/>
      <c r="C456" s="76"/>
    </row>
    <row r="457" spans="1:3" ht="15" customHeight="1" x14ac:dyDescent="0.25">
      <c r="A457" s="76"/>
      <c r="B457" s="76"/>
      <c r="C457" s="76"/>
    </row>
    <row r="458" spans="1:3" ht="15" customHeight="1" x14ac:dyDescent="0.25">
      <c r="A458" s="76"/>
      <c r="B458" s="76"/>
      <c r="C458" s="76"/>
    </row>
    <row r="459" spans="1:3" ht="15" customHeight="1" x14ac:dyDescent="0.25">
      <c r="A459" s="76"/>
      <c r="B459" s="76"/>
      <c r="C459" s="76"/>
    </row>
    <row r="460" spans="1:3" ht="15" customHeight="1" x14ac:dyDescent="0.25">
      <c r="A460" s="76"/>
      <c r="B460" s="76"/>
      <c r="C460" s="76"/>
    </row>
    <row r="461" spans="1:3" ht="15" customHeight="1" x14ac:dyDescent="0.25">
      <c r="A461" s="76"/>
      <c r="B461" s="76"/>
      <c r="C461" s="76"/>
    </row>
    <row r="462" spans="1:3" ht="15" customHeight="1" x14ac:dyDescent="0.25">
      <c r="A462" s="76"/>
      <c r="B462" s="76"/>
      <c r="C462" s="76"/>
    </row>
    <row r="463" spans="1:3" ht="15" customHeight="1" x14ac:dyDescent="0.25">
      <c r="A463" s="76"/>
      <c r="B463" s="76"/>
      <c r="C463" s="76"/>
    </row>
    <row r="464" spans="1:3" ht="15" customHeight="1" x14ac:dyDescent="0.25">
      <c r="A464" s="76"/>
      <c r="B464" s="76"/>
      <c r="C464" s="76"/>
    </row>
  </sheetData>
  <autoFilter ref="E1:E465"/>
  <mergeCells count="8">
    <mergeCell ref="F2:J2"/>
    <mergeCell ref="A4:J4"/>
    <mergeCell ref="A1:J1"/>
    <mergeCell ref="A2:A3"/>
    <mergeCell ref="B2:B3"/>
    <mergeCell ref="C2:C3"/>
    <mergeCell ref="D2:D3"/>
    <mergeCell ref="E2:E3"/>
  </mergeCells>
  <conditionalFormatting sqref="E5:E263">
    <cfRule type="expression" dxfId="3" priority="1">
      <formula>C5="OTHER"</formula>
    </cfRule>
    <cfRule type="expression" dxfId="2" priority="2">
      <formula>C5="BOF"</formula>
    </cfRule>
    <cfRule type="expression" dxfId="1" priority="3">
      <formula>C5="SWS"</formula>
    </cfRule>
    <cfRule type="expression" dxfId="0" priority="4">
      <formula>C5="BOD"</formula>
    </cfRule>
  </conditionalFormatting>
  <dataValidations count="1">
    <dataValidation type="list" allowBlank="1" showInputMessage="1" showErrorMessage="1" sqref="C5:C263">
      <formula1>"BOD, BOF, SWS, 1AX, 1GX, 1PX, 1VX, 1WX, 2CX, 6BX, ADX, ELX, OWX, MHQ, DFR, LPE, SRL, OTHER"</formula1>
    </dataValidation>
  </dataValidations>
  <pageMargins left="0.25" right="0.25" top="0.75" bottom="0.75" header="0.3" footer="0.3"/>
  <pageSetup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0" workbookViewId="0">
      <selection activeCell="M31" sqref="M31"/>
    </sheetView>
  </sheetViews>
  <sheetFormatPr defaultRowHeight="15" x14ac:dyDescent="0.25"/>
  <cols>
    <col min="2" max="2" width="14.28515625" customWidth="1"/>
    <col min="6" max="6" width="13.28515625" customWidth="1"/>
  </cols>
  <sheetData>
    <row r="1" spans="1:14" x14ac:dyDescent="0.25">
      <c r="A1" s="388" t="s">
        <v>1380</v>
      </c>
      <c r="B1" s="388" t="s">
        <v>1381</v>
      </c>
      <c r="C1" s="388" t="s">
        <v>1382</v>
      </c>
      <c r="D1" s="388"/>
      <c r="E1" s="388" t="s">
        <v>1383</v>
      </c>
      <c r="F1" s="388"/>
      <c r="G1" s="388" t="s">
        <v>1384</v>
      </c>
      <c r="H1" s="388"/>
      <c r="I1" s="388" t="s">
        <v>1385</v>
      </c>
      <c r="J1" s="388"/>
      <c r="K1" s="388" t="s">
        <v>1055</v>
      </c>
      <c r="L1" s="388"/>
      <c r="M1" s="388" t="s">
        <v>2</v>
      </c>
      <c r="N1" s="388"/>
    </row>
    <row r="2" spans="1:14" x14ac:dyDescent="0.25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4" ht="15.75" x14ac:dyDescent="0.25">
      <c r="A3" s="266">
        <v>1</v>
      </c>
      <c r="B3" s="266">
        <v>898</v>
      </c>
      <c r="C3" s="386">
        <v>3</v>
      </c>
      <c r="D3" s="387"/>
      <c r="E3" s="386" t="s">
        <v>1386</v>
      </c>
      <c r="F3" s="387"/>
      <c r="G3" s="386" t="s">
        <v>1387</v>
      </c>
      <c r="H3" s="387"/>
      <c r="I3" s="386">
        <v>43.247799999999998</v>
      </c>
      <c r="J3" s="387"/>
      <c r="K3" s="386">
        <v>116.01663000000001</v>
      </c>
      <c r="L3" s="387"/>
      <c r="M3" s="386">
        <v>0.1</v>
      </c>
      <c r="N3" s="387"/>
    </row>
    <row r="4" spans="1:14" ht="15.75" x14ac:dyDescent="0.25">
      <c r="A4" s="266">
        <f>A3+1</f>
        <v>2</v>
      </c>
      <c r="B4" s="266">
        <f>B3+1</f>
        <v>899</v>
      </c>
      <c r="C4" s="386">
        <v>18</v>
      </c>
      <c r="D4" s="387"/>
      <c r="E4" s="386" t="s">
        <v>1388</v>
      </c>
      <c r="F4" s="387"/>
      <c r="G4" s="386" t="s">
        <v>1389</v>
      </c>
      <c r="H4" s="387"/>
      <c r="I4" s="386">
        <v>43.211179999999999</v>
      </c>
      <c r="J4" s="387"/>
      <c r="K4" s="386">
        <v>116.03297999999999</v>
      </c>
      <c r="L4" s="387"/>
      <c r="M4" s="386">
        <v>0.1</v>
      </c>
      <c r="N4" s="387"/>
    </row>
    <row r="5" spans="1:14" ht="15.75" x14ac:dyDescent="0.25">
      <c r="A5" s="266">
        <f t="shared" ref="A5:B20" si="0">A4+1</f>
        <v>3</v>
      </c>
      <c r="B5" s="266">
        <f t="shared" si="0"/>
        <v>900</v>
      </c>
      <c r="C5" s="386">
        <v>19</v>
      </c>
      <c r="D5" s="387"/>
      <c r="E5" s="386" t="s">
        <v>1390</v>
      </c>
      <c r="F5" s="387"/>
      <c r="G5" s="386" t="s">
        <v>1391</v>
      </c>
      <c r="H5" s="387"/>
      <c r="I5" s="386">
        <v>43.212760000000003</v>
      </c>
      <c r="J5" s="387"/>
      <c r="K5" s="386">
        <v>116.03382999999999</v>
      </c>
      <c r="L5" s="387"/>
      <c r="M5" s="386">
        <v>0.1</v>
      </c>
      <c r="N5" s="387"/>
    </row>
    <row r="6" spans="1:14" ht="15.75" x14ac:dyDescent="0.25">
      <c r="A6" s="266">
        <f t="shared" si="0"/>
        <v>4</v>
      </c>
      <c r="B6" s="266">
        <f t="shared" si="0"/>
        <v>901</v>
      </c>
      <c r="C6" s="386">
        <v>52</v>
      </c>
      <c r="D6" s="387"/>
      <c r="E6" s="386" t="s">
        <v>1392</v>
      </c>
      <c r="F6" s="387"/>
      <c r="G6" s="386" t="s">
        <v>1393</v>
      </c>
      <c r="H6" s="387"/>
      <c r="I6" s="386">
        <v>43.250590000000003</v>
      </c>
      <c r="J6" s="387"/>
      <c r="K6" s="386">
        <v>116.16614</v>
      </c>
      <c r="L6" s="387"/>
      <c r="M6" s="386">
        <v>0.1</v>
      </c>
      <c r="N6" s="387"/>
    </row>
    <row r="7" spans="1:14" ht="15.75" x14ac:dyDescent="0.25">
      <c r="A7" s="266">
        <f t="shared" si="0"/>
        <v>5</v>
      </c>
      <c r="B7" s="266">
        <f t="shared" si="0"/>
        <v>902</v>
      </c>
      <c r="C7" s="321">
        <v>217</v>
      </c>
      <c r="D7" s="370"/>
      <c r="E7" s="316" t="s">
        <v>1394</v>
      </c>
      <c r="F7" s="316"/>
      <c r="G7" s="316" t="s">
        <v>1395</v>
      </c>
      <c r="H7" s="316"/>
      <c r="I7" s="316">
        <v>43.246949999999998</v>
      </c>
      <c r="J7" s="316"/>
      <c r="K7" s="316">
        <v>116.17431999999999</v>
      </c>
      <c r="L7" s="316"/>
      <c r="M7" s="316">
        <v>0.25</v>
      </c>
      <c r="N7" s="316"/>
    </row>
    <row r="8" spans="1:14" ht="15.75" x14ac:dyDescent="0.25">
      <c r="A8" s="266">
        <f t="shared" si="0"/>
        <v>6</v>
      </c>
      <c r="B8" s="266">
        <f t="shared" si="0"/>
        <v>903</v>
      </c>
      <c r="C8" s="316">
        <v>227</v>
      </c>
      <c r="D8" s="381"/>
      <c r="E8" s="381" t="s">
        <v>1396</v>
      </c>
      <c r="F8" s="382"/>
      <c r="G8" s="385" t="s">
        <v>1397</v>
      </c>
      <c r="H8" s="382"/>
      <c r="I8" s="381">
        <v>43.260028699999999</v>
      </c>
      <c r="J8" s="382"/>
      <c r="K8" s="381">
        <v>116.0823027</v>
      </c>
      <c r="L8" s="382"/>
      <c r="M8" s="381">
        <v>0.25</v>
      </c>
      <c r="N8" s="382"/>
    </row>
    <row r="9" spans="1:14" ht="15.75" x14ac:dyDescent="0.25">
      <c r="A9" s="266">
        <f t="shared" si="0"/>
        <v>7</v>
      </c>
      <c r="B9" s="266">
        <f t="shared" si="0"/>
        <v>904</v>
      </c>
      <c r="C9" s="316">
        <v>228</v>
      </c>
      <c r="D9" s="381"/>
      <c r="E9" s="316" t="s">
        <v>1398</v>
      </c>
      <c r="F9" s="316"/>
      <c r="G9" s="316" t="s">
        <v>1399</v>
      </c>
      <c r="H9" s="316"/>
      <c r="I9" s="316">
        <v>43.266250999999997</v>
      </c>
      <c r="J9" s="316"/>
      <c r="K9" s="316">
        <v>116.0800775</v>
      </c>
      <c r="L9" s="316"/>
      <c r="M9" s="316">
        <v>0.25</v>
      </c>
      <c r="N9" s="316"/>
    </row>
    <row r="10" spans="1:14" ht="15.75" x14ac:dyDescent="0.25">
      <c r="A10" s="266">
        <f t="shared" si="0"/>
        <v>8</v>
      </c>
      <c r="B10" s="266">
        <f t="shared" si="0"/>
        <v>905</v>
      </c>
      <c r="C10" s="316">
        <v>230</v>
      </c>
      <c r="D10" s="381"/>
      <c r="E10" s="316" t="s">
        <v>1400</v>
      </c>
      <c r="F10" s="316"/>
      <c r="G10" s="316" t="s">
        <v>1401</v>
      </c>
      <c r="H10" s="316"/>
      <c r="I10" s="316">
        <v>43.263779999999997</v>
      </c>
      <c r="J10" s="316"/>
      <c r="K10" s="316">
        <v>116.08143</v>
      </c>
      <c r="L10" s="316"/>
      <c r="M10" s="316">
        <v>0.25</v>
      </c>
      <c r="N10" s="316"/>
    </row>
    <row r="11" spans="1:14" ht="15.75" x14ac:dyDescent="0.25">
      <c r="A11" s="266">
        <f t="shared" si="0"/>
        <v>9</v>
      </c>
      <c r="B11" s="266">
        <f t="shared" si="0"/>
        <v>906</v>
      </c>
      <c r="C11" s="316">
        <v>243</v>
      </c>
      <c r="D11" s="381"/>
      <c r="E11" s="316" t="s">
        <v>1402</v>
      </c>
      <c r="F11" s="316"/>
      <c r="G11" s="316" t="s">
        <v>1403</v>
      </c>
      <c r="H11" s="316"/>
      <c r="I11" s="316">
        <v>43.296199999999999</v>
      </c>
      <c r="J11" s="316"/>
      <c r="K11" s="316">
        <v>116.20252000000001</v>
      </c>
      <c r="L11" s="316"/>
      <c r="M11" s="316">
        <v>0.1</v>
      </c>
      <c r="N11" s="316"/>
    </row>
    <row r="12" spans="1:14" ht="15.75" x14ac:dyDescent="0.25">
      <c r="A12" s="266">
        <f t="shared" si="0"/>
        <v>10</v>
      </c>
      <c r="B12" s="266">
        <f t="shared" si="0"/>
        <v>907</v>
      </c>
      <c r="C12" s="316">
        <v>247</v>
      </c>
      <c r="D12" s="381"/>
      <c r="E12" s="316" t="s">
        <v>1404</v>
      </c>
      <c r="F12" s="316"/>
      <c r="G12" s="316" t="s">
        <v>1405</v>
      </c>
      <c r="H12" s="316"/>
      <c r="I12" s="316">
        <v>43.263559999999998</v>
      </c>
      <c r="J12" s="316"/>
      <c r="K12" s="316">
        <v>116.19258000000001</v>
      </c>
      <c r="L12" s="316"/>
      <c r="M12" s="321">
        <v>0.25</v>
      </c>
      <c r="N12" s="321"/>
    </row>
    <row r="13" spans="1:14" ht="15.75" x14ac:dyDescent="0.25">
      <c r="A13" s="266">
        <f t="shared" si="0"/>
        <v>11</v>
      </c>
      <c r="B13" s="266">
        <f t="shared" si="0"/>
        <v>908</v>
      </c>
      <c r="C13" s="316">
        <v>248</v>
      </c>
      <c r="D13" s="381"/>
      <c r="E13" s="316" t="s">
        <v>1406</v>
      </c>
      <c r="F13" s="316"/>
      <c r="G13" s="316" t="s">
        <v>1407</v>
      </c>
      <c r="H13" s="316"/>
      <c r="I13" s="316">
        <v>43.278950000000002</v>
      </c>
      <c r="J13" s="316"/>
      <c r="K13" s="316">
        <v>116.1918</v>
      </c>
      <c r="L13" s="316"/>
      <c r="M13" s="382">
        <v>1</v>
      </c>
      <c r="N13" s="316"/>
    </row>
    <row r="14" spans="1:14" ht="15.75" x14ac:dyDescent="0.25">
      <c r="A14" s="266">
        <f t="shared" si="0"/>
        <v>12</v>
      </c>
      <c r="B14" s="266">
        <f t="shared" si="0"/>
        <v>909</v>
      </c>
      <c r="C14" s="316">
        <v>249</v>
      </c>
      <c r="D14" s="381"/>
      <c r="E14" s="316" t="s">
        <v>1408</v>
      </c>
      <c r="F14" s="316"/>
      <c r="G14" s="316" t="s">
        <v>1409</v>
      </c>
      <c r="H14" s="316"/>
      <c r="I14" s="316">
        <v>43.266480000000001</v>
      </c>
      <c r="J14" s="316"/>
      <c r="K14" s="316">
        <v>116.19759000000001</v>
      </c>
      <c r="L14" s="316"/>
      <c r="M14" s="382">
        <v>0.25</v>
      </c>
      <c r="N14" s="316"/>
    </row>
    <row r="15" spans="1:14" ht="15.75" x14ac:dyDescent="0.25">
      <c r="A15" s="266">
        <f t="shared" si="0"/>
        <v>13</v>
      </c>
      <c r="B15" s="266">
        <f t="shared" si="0"/>
        <v>910</v>
      </c>
      <c r="C15" s="316">
        <v>250</v>
      </c>
      <c r="D15" s="381"/>
      <c r="E15" s="316" t="s">
        <v>1410</v>
      </c>
      <c r="F15" s="316"/>
      <c r="G15" s="316" t="s">
        <v>1411</v>
      </c>
      <c r="H15" s="316"/>
      <c r="I15" s="316">
        <v>43.266739999999999</v>
      </c>
      <c r="J15" s="316"/>
      <c r="K15" s="316">
        <v>116.19672</v>
      </c>
      <c r="L15" s="316"/>
      <c r="M15" s="382">
        <v>0.25</v>
      </c>
      <c r="N15" s="316"/>
    </row>
    <row r="16" spans="1:14" ht="15.75" x14ac:dyDescent="0.25">
      <c r="A16" s="266">
        <f t="shared" si="0"/>
        <v>14</v>
      </c>
      <c r="B16" s="266">
        <f t="shared" si="0"/>
        <v>911</v>
      </c>
      <c r="C16" s="316">
        <v>251</v>
      </c>
      <c r="D16" s="381"/>
      <c r="E16" s="321" t="s">
        <v>1412</v>
      </c>
      <c r="F16" s="321"/>
      <c r="G16" s="321" t="s">
        <v>1413</v>
      </c>
      <c r="H16" s="321"/>
      <c r="I16" s="321">
        <v>43.268279999999997</v>
      </c>
      <c r="J16" s="321"/>
      <c r="K16" s="321">
        <v>116.1972</v>
      </c>
      <c r="L16" s="321"/>
      <c r="M16" s="382">
        <v>2</v>
      </c>
      <c r="N16" s="316"/>
    </row>
    <row r="17" spans="1:14" ht="15.75" x14ac:dyDescent="0.25">
      <c r="A17" s="266">
        <f t="shared" si="0"/>
        <v>15</v>
      </c>
      <c r="B17" s="266">
        <f t="shared" si="0"/>
        <v>912</v>
      </c>
      <c r="C17" s="316">
        <v>254</v>
      </c>
      <c r="D17" s="381"/>
      <c r="E17" s="316" t="s">
        <v>1414</v>
      </c>
      <c r="F17" s="316"/>
      <c r="G17" s="316" t="s">
        <v>1415</v>
      </c>
      <c r="H17" s="316"/>
      <c r="I17" s="316">
        <v>43.266739999999999</v>
      </c>
      <c r="J17" s="316"/>
      <c r="K17" s="316">
        <v>116.19696999999999</v>
      </c>
      <c r="L17" s="316"/>
      <c r="M17" s="382">
        <v>0.25</v>
      </c>
      <c r="N17" s="316"/>
    </row>
    <row r="18" spans="1:14" ht="15.75" x14ac:dyDescent="0.25">
      <c r="A18" s="266">
        <f t="shared" si="0"/>
        <v>16</v>
      </c>
      <c r="B18" s="266">
        <f t="shared" si="0"/>
        <v>913</v>
      </c>
      <c r="C18" s="316">
        <v>255</v>
      </c>
      <c r="D18" s="381"/>
      <c r="E18" s="316" t="s">
        <v>1414</v>
      </c>
      <c r="F18" s="316"/>
      <c r="G18" s="316" t="s">
        <v>1415</v>
      </c>
      <c r="H18" s="316"/>
      <c r="I18" s="316">
        <v>43.264830000000003</v>
      </c>
      <c r="J18" s="316"/>
      <c r="K18" s="316">
        <v>116.19367</v>
      </c>
      <c r="L18" s="316"/>
      <c r="M18" s="382">
        <v>1</v>
      </c>
      <c r="N18" s="316"/>
    </row>
    <row r="19" spans="1:14" ht="15.75" x14ac:dyDescent="0.25">
      <c r="A19" s="266">
        <f t="shared" si="0"/>
        <v>17</v>
      </c>
      <c r="B19" s="266">
        <f t="shared" si="0"/>
        <v>914</v>
      </c>
      <c r="C19" s="316">
        <v>258</v>
      </c>
      <c r="D19" s="381"/>
      <c r="E19" s="316" t="s">
        <v>1416</v>
      </c>
      <c r="F19" s="316"/>
      <c r="G19" s="316" t="s">
        <v>1417</v>
      </c>
      <c r="H19" s="316"/>
      <c r="I19" s="316">
        <v>43.266390000000001</v>
      </c>
      <c r="J19" s="316"/>
      <c r="K19" s="316">
        <v>116.19759000000001</v>
      </c>
      <c r="L19" s="316"/>
      <c r="M19" s="382">
        <v>0.5</v>
      </c>
      <c r="N19" s="316"/>
    </row>
    <row r="20" spans="1:14" ht="15.75" x14ac:dyDescent="0.25">
      <c r="A20" s="266">
        <f t="shared" si="0"/>
        <v>18</v>
      </c>
      <c r="B20" s="266">
        <f t="shared" si="0"/>
        <v>915</v>
      </c>
      <c r="C20" s="316">
        <v>260</v>
      </c>
      <c r="D20" s="381"/>
      <c r="E20" s="316" t="s">
        <v>1418</v>
      </c>
      <c r="F20" s="316"/>
      <c r="G20" s="316" t="s">
        <v>1419</v>
      </c>
      <c r="H20" s="316"/>
      <c r="I20" s="316">
        <v>43.265650000000001</v>
      </c>
      <c r="J20" s="316"/>
      <c r="K20" s="316">
        <v>116.19464000000001</v>
      </c>
      <c r="L20" s="316"/>
      <c r="M20" s="382">
        <v>0.5</v>
      </c>
      <c r="N20" s="316"/>
    </row>
    <row r="21" spans="1:14" ht="15.75" x14ac:dyDescent="0.25">
      <c r="A21" s="266">
        <f t="shared" ref="A21:B29" si="1">A20+1</f>
        <v>19</v>
      </c>
      <c r="B21" s="266">
        <f t="shared" si="1"/>
        <v>916</v>
      </c>
      <c r="C21" s="316">
        <v>284</v>
      </c>
      <c r="D21" s="381"/>
      <c r="E21" s="384" t="s">
        <v>1420</v>
      </c>
      <c r="F21" s="384"/>
      <c r="G21" s="384" t="s">
        <v>1421</v>
      </c>
      <c r="H21" s="384"/>
      <c r="I21" s="384">
        <v>43.356569999999998</v>
      </c>
      <c r="J21" s="384"/>
      <c r="K21" s="384">
        <v>116.23096</v>
      </c>
      <c r="L21" s="384"/>
      <c r="M21" s="382">
        <v>0.5</v>
      </c>
      <c r="N21" s="316"/>
    </row>
    <row r="22" spans="1:14" ht="15.75" x14ac:dyDescent="0.25">
      <c r="A22" s="266">
        <f t="shared" si="1"/>
        <v>20</v>
      </c>
      <c r="B22" s="266">
        <f t="shared" si="1"/>
        <v>917</v>
      </c>
      <c r="C22" s="316">
        <v>340</v>
      </c>
      <c r="D22" s="381"/>
      <c r="E22" s="381" t="s">
        <v>1422</v>
      </c>
      <c r="F22" s="382"/>
      <c r="G22" s="381" t="s">
        <v>1423</v>
      </c>
      <c r="H22" s="382"/>
      <c r="I22" s="370">
        <v>43.189300000000003</v>
      </c>
      <c r="J22" s="369"/>
      <c r="K22" s="370">
        <v>116.02285999999999</v>
      </c>
      <c r="L22" s="369"/>
      <c r="M22" s="382">
        <v>0.25</v>
      </c>
      <c r="N22" s="316"/>
    </row>
    <row r="23" spans="1:14" ht="15.75" x14ac:dyDescent="0.25">
      <c r="A23" s="266">
        <f t="shared" si="1"/>
        <v>21</v>
      </c>
      <c r="B23" s="266">
        <f t="shared" si="1"/>
        <v>918</v>
      </c>
      <c r="C23" s="316">
        <v>341</v>
      </c>
      <c r="D23" s="381"/>
      <c r="E23" s="381" t="s">
        <v>1424</v>
      </c>
      <c r="F23" s="382"/>
      <c r="G23" s="381" t="s">
        <v>1425</v>
      </c>
      <c r="H23" s="383"/>
      <c r="I23" s="316">
        <v>43.190289999999997</v>
      </c>
      <c r="J23" s="316"/>
      <c r="K23" s="316">
        <v>116.02248</v>
      </c>
      <c r="L23" s="316"/>
      <c r="M23" s="382">
        <v>0.25</v>
      </c>
      <c r="N23" s="316"/>
    </row>
    <row r="24" spans="1:14" ht="15.75" x14ac:dyDescent="0.25">
      <c r="A24" s="266">
        <f t="shared" si="1"/>
        <v>22</v>
      </c>
      <c r="B24" s="266">
        <f t="shared" si="1"/>
        <v>919</v>
      </c>
      <c r="C24" s="316">
        <v>342</v>
      </c>
      <c r="D24" s="381"/>
      <c r="E24" s="381" t="s">
        <v>1426</v>
      </c>
      <c r="F24" s="382"/>
      <c r="G24" s="381" t="s">
        <v>1427</v>
      </c>
      <c r="H24" s="383"/>
      <c r="I24" s="316">
        <v>43.16769</v>
      </c>
      <c r="J24" s="316"/>
      <c r="K24" s="316">
        <v>115.96219000000001</v>
      </c>
      <c r="L24" s="316"/>
      <c r="M24" s="382">
        <v>0.5</v>
      </c>
      <c r="N24" s="316"/>
    </row>
    <row r="25" spans="1:14" ht="15.75" x14ac:dyDescent="0.25">
      <c r="A25" s="266">
        <f t="shared" si="1"/>
        <v>23</v>
      </c>
      <c r="B25" s="266">
        <f t="shared" si="1"/>
        <v>920</v>
      </c>
      <c r="C25" s="316">
        <v>343</v>
      </c>
      <c r="D25" s="381"/>
      <c r="E25" s="381" t="s">
        <v>1428</v>
      </c>
      <c r="F25" s="382"/>
      <c r="G25" s="381" t="s">
        <v>1429</v>
      </c>
      <c r="H25" s="383"/>
      <c r="I25" s="316">
        <v>43.189349999999997</v>
      </c>
      <c r="J25" s="316"/>
      <c r="K25" s="316">
        <v>116.02852</v>
      </c>
      <c r="L25" s="316"/>
      <c r="M25" s="382">
        <v>0.25</v>
      </c>
      <c r="N25" s="316"/>
    </row>
    <row r="26" spans="1:14" ht="15.75" x14ac:dyDescent="0.25">
      <c r="A26" s="266">
        <f t="shared" si="1"/>
        <v>24</v>
      </c>
      <c r="B26" s="266">
        <f t="shared" si="1"/>
        <v>921</v>
      </c>
      <c r="C26" s="321">
        <v>344</v>
      </c>
      <c r="D26" s="370"/>
      <c r="E26" s="381" t="s">
        <v>1430</v>
      </c>
      <c r="F26" s="382"/>
      <c r="G26" s="381" t="s">
        <v>1431</v>
      </c>
      <c r="H26" s="383"/>
      <c r="I26" s="316">
        <v>43.189590000000003</v>
      </c>
      <c r="J26" s="316"/>
      <c r="K26" s="316">
        <v>116.02471</v>
      </c>
      <c r="L26" s="316"/>
      <c r="M26" s="369">
        <v>0.25</v>
      </c>
      <c r="N26" s="321"/>
    </row>
    <row r="27" spans="1:14" ht="15.75" x14ac:dyDescent="0.25">
      <c r="A27" s="266">
        <f t="shared" si="1"/>
        <v>25</v>
      </c>
      <c r="B27" s="266">
        <f t="shared" si="1"/>
        <v>922</v>
      </c>
      <c r="C27" s="316">
        <v>345</v>
      </c>
      <c r="D27" s="381"/>
      <c r="E27" s="381" t="s">
        <v>1432</v>
      </c>
      <c r="F27" s="382"/>
      <c r="G27" s="381" t="s">
        <v>1433</v>
      </c>
      <c r="H27" s="383"/>
      <c r="I27" s="316">
        <v>43.16769</v>
      </c>
      <c r="J27" s="316"/>
      <c r="K27" s="316">
        <v>115.96219000000001</v>
      </c>
      <c r="L27" s="316"/>
      <c r="M27" s="382">
        <v>0.5</v>
      </c>
      <c r="N27" s="316"/>
    </row>
    <row r="28" spans="1:14" ht="15.75" x14ac:dyDescent="0.25">
      <c r="A28" s="266">
        <f t="shared" si="1"/>
        <v>26</v>
      </c>
      <c r="B28" s="266">
        <f t="shared" si="1"/>
        <v>923</v>
      </c>
      <c r="C28" s="316">
        <v>346</v>
      </c>
      <c r="D28" s="381"/>
      <c r="E28" s="381" t="s">
        <v>1434</v>
      </c>
      <c r="F28" s="382"/>
      <c r="G28" s="381" t="s">
        <v>1435</v>
      </c>
      <c r="H28" s="383"/>
      <c r="I28" s="316">
        <v>43.189300000000003</v>
      </c>
      <c r="J28" s="316"/>
      <c r="K28" s="316">
        <v>116.02323</v>
      </c>
      <c r="L28" s="316"/>
      <c r="M28" s="382">
        <v>0.25</v>
      </c>
      <c r="N28" s="316"/>
    </row>
    <row r="29" spans="1:14" ht="15.75" x14ac:dyDescent="0.25">
      <c r="A29" s="266">
        <f t="shared" si="1"/>
        <v>27</v>
      </c>
      <c r="B29" s="266">
        <f t="shared" si="1"/>
        <v>924</v>
      </c>
      <c r="C29" s="316">
        <v>347</v>
      </c>
      <c r="D29" s="381"/>
      <c r="E29" s="381" t="s">
        <v>1436</v>
      </c>
      <c r="F29" s="382"/>
      <c r="G29" s="381" t="s">
        <v>1437</v>
      </c>
      <c r="H29" s="383"/>
      <c r="I29" s="316">
        <v>43.186669999999999</v>
      </c>
      <c r="J29" s="316"/>
      <c r="K29" s="316">
        <v>116.03091000000001</v>
      </c>
      <c r="L29" s="316"/>
      <c r="M29" s="382">
        <v>0.1</v>
      </c>
      <c r="N29" s="316"/>
    </row>
    <row r="31" spans="1:14" x14ac:dyDescent="0.25">
      <c r="M31">
        <f>SUM(M3:N29)</f>
        <v>10.35</v>
      </c>
    </row>
  </sheetData>
  <mergeCells count="170">
    <mergeCell ref="K1:L2"/>
    <mergeCell ref="M1:N2"/>
    <mergeCell ref="C3:D3"/>
    <mergeCell ref="E3:F3"/>
    <mergeCell ref="G3:H3"/>
    <mergeCell ref="I3:J3"/>
    <mergeCell ref="K3:L3"/>
    <mergeCell ref="M3:N3"/>
    <mergeCell ref="A1:A2"/>
    <mergeCell ref="B1:B2"/>
    <mergeCell ref="C1:D2"/>
    <mergeCell ref="E1:F2"/>
    <mergeCell ref="G1:H2"/>
    <mergeCell ref="I1:J2"/>
    <mergeCell ref="C5:D5"/>
    <mergeCell ref="E5:F5"/>
    <mergeCell ref="G5:H5"/>
    <mergeCell ref="I5:J5"/>
    <mergeCell ref="K5:L5"/>
    <mergeCell ref="M5:N5"/>
    <mergeCell ref="C4:D4"/>
    <mergeCell ref="E4:F4"/>
    <mergeCell ref="G4:H4"/>
    <mergeCell ref="I4:J4"/>
    <mergeCell ref="K4:L4"/>
    <mergeCell ref="M4:N4"/>
    <mergeCell ref="C7:D7"/>
    <mergeCell ref="E7:F7"/>
    <mergeCell ref="G7:H7"/>
    <mergeCell ref="I7:J7"/>
    <mergeCell ref="K7:L7"/>
    <mergeCell ref="M7:N7"/>
    <mergeCell ref="C6:D6"/>
    <mergeCell ref="E6:F6"/>
    <mergeCell ref="G6:H6"/>
    <mergeCell ref="I6:J6"/>
    <mergeCell ref="K6:L6"/>
    <mergeCell ref="M6:N6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8:N8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C13:D13"/>
    <mergeCell ref="E13:F13"/>
    <mergeCell ref="G13:H13"/>
    <mergeCell ref="I13:J13"/>
    <mergeCell ref="K13:L13"/>
    <mergeCell ref="M13:N13"/>
    <mergeCell ref="C12:D12"/>
    <mergeCell ref="E12:F12"/>
    <mergeCell ref="G12:H12"/>
    <mergeCell ref="I12:J12"/>
    <mergeCell ref="K12:L12"/>
    <mergeCell ref="M12:N12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5"/>
  <sheetViews>
    <sheetView topLeftCell="B61" workbookViewId="0">
      <selection activeCell="F81" sqref="F81"/>
    </sheetView>
  </sheetViews>
  <sheetFormatPr defaultRowHeight="15" x14ac:dyDescent="0.25"/>
  <cols>
    <col min="1" max="1" width="10.7109375" style="109" bestFit="1" customWidth="1"/>
    <col min="2" max="2" width="20.7109375" style="264" customWidth="1"/>
    <col min="3" max="3" width="17.140625" style="264" customWidth="1"/>
    <col min="4" max="4" width="14.85546875" style="264" customWidth="1"/>
    <col min="5" max="5" width="9.140625" style="81"/>
    <col min="6" max="6" width="9.140625" style="82"/>
    <col min="7" max="7" width="9.140625" style="83"/>
    <col min="8" max="8" width="9.140625" style="84"/>
    <col min="9" max="9" width="37.5703125" style="81" customWidth="1"/>
  </cols>
  <sheetData>
    <row r="1" spans="1:14" ht="15" customHeight="1" x14ac:dyDescent="0.25">
      <c r="A1" s="390" t="s">
        <v>73</v>
      </c>
      <c r="B1" s="391" t="s">
        <v>74</v>
      </c>
      <c r="C1" s="391" t="s">
        <v>75</v>
      </c>
      <c r="D1" s="391" t="s">
        <v>76</v>
      </c>
      <c r="E1" s="389" t="s">
        <v>182</v>
      </c>
      <c r="F1" s="78" t="s">
        <v>27</v>
      </c>
      <c r="G1" s="80" t="s">
        <v>28</v>
      </c>
      <c r="H1" s="79" t="s">
        <v>30</v>
      </c>
      <c r="I1" s="389" t="s">
        <v>77</v>
      </c>
    </row>
    <row r="2" spans="1:14" ht="49.5" customHeight="1" x14ac:dyDescent="0.25">
      <c r="A2" s="390"/>
      <c r="B2" s="391"/>
      <c r="C2" s="391"/>
      <c r="D2" s="391"/>
      <c r="E2" s="389"/>
      <c r="F2" s="78" t="s">
        <v>78</v>
      </c>
      <c r="G2" s="80" t="s">
        <v>78</v>
      </c>
      <c r="H2" s="79" t="s">
        <v>78</v>
      </c>
      <c r="I2" s="389"/>
      <c r="K2" s="199" t="s">
        <v>199</v>
      </c>
      <c r="L2" s="78" t="s">
        <v>27</v>
      </c>
      <c r="M2" s="80" t="s">
        <v>28</v>
      </c>
      <c r="N2" s="79" t="s">
        <v>30</v>
      </c>
    </row>
    <row r="3" spans="1:14" x14ac:dyDescent="0.25">
      <c r="A3" s="108">
        <v>43475</v>
      </c>
      <c r="B3" s="260" t="s">
        <v>211</v>
      </c>
      <c r="C3" s="242" t="s">
        <v>181</v>
      </c>
      <c r="D3" s="242" t="s">
        <v>183</v>
      </c>
      <c r="E3" s="77" t="s">
        <v>30</v>
      </c>
      <c r="F3" s="78"/>
      <c r="G3" s="80"/>
      <c r="H3" s="79">
        <v>30</v>
      </c>
      <c r="I3" s="242"/>
      <c r="K3" s="200"/>
      <c r="L3" s="200"/>
      <c r="M3" s="200"/>
      <c r="N3" s="200"/>
    </row>
    <row r="4" spans="1:14" x14ac:dyDescent="0.25">
      <c r="A4" s="108">
        <v>43516</v>
      </c>
      <c r="B4" s="259" t="s">
        <v>212</v>
      </c>
      <c r="C4" s="242" t="s">
        <v>215</v>
      </c>
      <c r="D4" s="242" t="s">
        <v>213</v>
      </c>
      <c r="E4" s="77" t="s">
        <v>8</v>
      </c>
      <c r="F4" s="78">
        <v>2</v>
      </c>
      <c r="G4" s="80"/>
      <c r="H4" s="79"/>
      <c r="I4" s="242" t="s">
        <v>214</v>
      </c>
      <c r="K4" s="200"/>
      <c r="L4" s="200">
        <f>SUM(F:F)</f>
        <v>14432</v>
      </c>
      <c r="M4" s="200">
        <f>SUM(G:G)</f>
        <v>4955.1000000000004</v>
      </c>
      <c r="N4" s="200">
        <f>SUM(H:H)</f>
        <v>700</v>
      </c>
    </row>
    <row r="5" spans="1:14" x14ac:dyDescent="0.25">
      <c r="A5" s="108">
        <v>43550</v>
      </c>
      <c r="B5" s="259" t="s">
        <v>210</v>
      </c>
      <c r="C5" s="242" t="s">
        <v>197</v>
      </c>
      <c r="D5" s="242" t="s">
        <v>196</v>
      </c>
      <c r="E5" s="203" t="s">
        <v>216</v>
      </c>
      <c r="F5" s="78">
        <v>207</v>
      </c>
      <c r="G5" s="80"/>
      <c r="H5" s="79"/>
      <c r="I5" s="242" t="s">
        <v>198</v>
      </c>
      <c r="K5" s="200"/>
      <c r="L5" s="200"/>
      <c r="M5" s="200"/>
      <c r="N5" s="200"/>
    </row>
    <row r="6" spans="1:14" x14ac:dyDescent="0.25">
      <c r="A6" s="108">
        <v>43579</v>
      </c>
      <c r="B6" s="259" t="s">
        <v>208</v>
      </c>
      <c r="C6" s="242" t="s">
        <v>197</v>
      </c>
      <c r="D6" s="242" t="s">
        <v>209</v>
      </c>
      <c r="E6" s="203" t="s">
        <v>217</v>
      </c>
      <c r="F6" s="78">
        <v>206</v>
      </c>
      <c r="G6" s="80"/>
      <c r="H6" s="79"/>
      <c r="I6" s="242"/>
      <c r="K6" s="200"/>
      <c r="L6" s="200"/>
      <c r="M6" s="200"/>
      <c r="N6" s="200"/>
    </row>
    <row r="7" spans="1:14" x14ac:dyDescent="0.25">
      <c r="A7" s="108">
        <v>43588</v>
      </c>
      <c r="B7" s="259" t="s">
        <v>219</v>
      </c>
      <c r="C7" s="242" t="s">
        <v>218</v>
      </c>
      <c r="D7" s="242" t="s">
        <v>220</v>
      </c>
      <c r="E7" s="77" t="s">
        <v>221</v>
      </c>
      <c r="F7" s="78"/>
      <c r="G7" s="80">
        <v>150</v>
      </c>
      <c r="H7" s="79"/>
      <c r="I7" s="242"/>
    </row>
    <row r="8" spans="1:14" x14ac:dyDescent="0.25">
      <c r="A8" s="108">
        <v>43598</v>
      </c>
      <c r="B8" s="259" t="s">
        <v>234</v>
      </c>
      <c r="C8" s="242" t="s">
        <v>218</v>
      </c>
      <c r="D8" s="242" t="s">
        <v>235</v>
      </c>
      <c r="E8" s="77" t="s">
        <v>221</v>
      </c>
      <c r="F8" s="78"/>
      <c r="G8" s="80">
        <v>202</v>
      </c>
      <c r="H8" s="79"/>
      <c r="I8" s="242"/>
    </row>
    <row r="9" spans="1:14" x14ac:dyDescent="0.25">
      <c r="A9" s="108">
        <v>43621</v>
      </c>
      <c r="B9" s="259" t="s">
        <v>272</v>
      </c>
      <c r="C9" s="242" t="s">
        <v>218</v>
      </c>
      <c r="D9" s="242" t="s">
        <v>270</v>
      </c>
      <c r="E9" s="77" t="s">
        <v>221</v>
      </c>
      <c r="F9" s="78"/>
      <c r="G9" s="80">
        <v>150</v>
      </c>
      <c r="H9" s="79"/>
      <c r="I9" s="242" t="s">
        <v>271</v>
      </c>
    </row>
    <row r="10" spans="1:14" x14ac:dyDescent="0.25">
      <c r="A10" s="108">
        <v>43641</v>
      </c>
      <c r="B10" s="259" t="s">
        <v>344</v>
      </c>
      <c r="C10" s="242" t="s">
        <v>345</v>
      </c>
      <c r="D10" s="242" t="s">
        <v>346</v>
      </c>
      <c r="E10" s="77" t="s">
        <v>221</v>
      </c>
      <c r="F10" s="78"/>
      <c r="G10" s="80">
        <v>0.1</v>
      </c>
      <c r="H10" s="79"/>
      <c r="I10" s="242"/>
    </row>
    <row r="11" spans="1:14" ht="30" x14ac:dyDescent="0.25">
      <c r="A11" s="108">
        <v>43717</v>
      </c>
      <c r="B11" s="259" t="s">
        <v>1278</v>
      </c>
      <c r="C11" s="242" t="s">
        <v>1279</v>
      </c>
      <c r="D11" s="242" t="s">
        <v>1280</v>
      </c>
      <c r="E11" s="77" t="s">
        <v>217</v>
      </c>
      <c r="F11" s="78">
        <v>300</v>
      </c>
      <c r="G11" s="80"/>
      <c r="H11" s="79"/>
      <c r="I11" s="242"/>
    </row>
    <row r="12" spans="1:14" ht="30" x14ac:dyDescent="0.25">
      <c r="A12" s="108">
        <v>43718</v>
      </c>
      <c r="B12" s="259" t="s">
        <v>1278</v>
      </c>
      <c r="C12" s="242" t="s">
        <v>1279</v>
      </c>
      <c r="D12" s="242" t="s">
        <v>1280</v>
      </c>
      <c r="E12" s="77" t="s">
        <v>217</v>
      </c>
      <c r="F12" s="78">
        <v>500</v>
      </c>
      <c r="G12" s="80"/>
      <c r="H12" s="79"/>
      <c r="I12" s="242"/>
    </row>
    <row r="13" spans="1:14" ht="30" x14ac:dyDescent="0.25">
      <c r="A13" s="108">
        <v>43719</v>
      </c>
      <c r="B13" s="259" t="s">
        <v>1278</v>
      </c>
      <c r="C13" s="242" t="s">
        <v>1279</v>
      </c>
      <c r="D13" s="242" t="s">
        <v>1280</v>
      </c>
      <c r="E13" s="77" t="s">
        <v>217</v>
      </c>
      <c r="F13" s="78">
        <v>4000</v>
      </c>
      <c r="G13" s="80"/>
      <c r="H13" s="79"/>
      <c r="I13" s="242"/>
    </row>
    <row r="14" spans="1:14" ht="30" x14ac:dyDescent="0.25">
      <c r="A14" s="108">
        <v>43720</v>
      </c>
      <c r="B14" s="259" t="s">
        <v>1278</v>
      </c>
      <c r="C14" s="242" t="s">
        <v>1279</v>
      </c>
      <c r="D14" s="242" t="s">
        <v>1280</v>
      </c>
      <c r="E14" s="77" t="s">
        <v>217</v>
      </c>
      <c r="F14" s="78">
        <v>3000</v>
      </c>
      <c r="G14" s="80"/>
      <c r="H14" s="79"/>
      <c r="I14" s="242"/>
    </row>
    <row r="15" spans="1:14" ht="30" x14ac:dyDescent="0.25">
      <c r="A15" s="108">
        <v>43721</v>
      </c>
      <c r="B15" s="259" t="s">
        <v>1278</v>
      </c>
      <c r="C15" s="242" t="s">
        <v>1279</v>
      </c>
      <c r="D15" s="242" t="s">
        <v>1280</v>
      </c>
      <c r="E15" s="261" t="s">
        <v>217</v>
      </c>
      <c r="F15" s="78">
        <v>3000</v>
      </c>
      <c r="G15" s="80"/>
      <c r="H15" s="79"/>
      <c r="I15" s="242"/>
    </row>
    <row r="16" spans="1:14" ht="30" x14ac:dyDescent="0.25">
      <c r="A16" s="108">
        <v>43722</v>
      </c>
      <c r="B16" s="259" t="s">
        <v>1278</v>
      </c>
      <c r="C16" s="242" t="s">
        <v>1279</v>
      </c>
      <c r="D16" s="242" t="s">
        <v>1280</v>
      </c>
      <c r="E16" s="261" t="s">
        <v>217</v>
      </c>
      <c r="F16" s="78">
        <v>2000</v>
      </c>
      <c r="G16" s="80"/>
      <c r="H16" s="79"/>
      <c r="I16" s="242"/>
    </row>
    <row r="17" spans="1:9" ht="30" x14ac:dyDescent="0.25">
      <c r="A17" s="108">
        <v>43723</v>
      </c>
      <c r="B17" s="259" t="s">
        <v>1278</v>
      </c>
      <c r="C17" s="242" t="s">
        <v>1279</v>
      </c>
      <c r="D17" s="242" t="s">
        <v>1280</v>
      </c>
      <c r="E17" s="261" t="s">
        <v>217</v>
      </c>
      <c r="F17" s="78">
        <v>900</v>
      </c>
      <c r="G17" s="80"/>
      <c r="H17" s="79"/>
      <c r="I17" s="242"/>
    </row>
    <row r="18" spans="1:9" ht="45" x14ac:dyDescent="0.25">
      <c r="A18" s="108">
        <v>43729</v>
      </c>
      <c r="B18" s="259" t="s">
        <v>1314</v>
      </c>
      <c r="C18" s="242" t="s">
        <v>1315</v>
      </c>
      <c r="D18" s="242" t="s">
        <v>1316</v>
      </c>
      <c r="E18" s="77" t="s">
        <v>473</v>
      </c>
      <c r="F18" s="78"/>
      <c r="G18" s="80">
        <v>10</v>
      </c>
      <c r="H18" s="79"/>
      <c r="I18" s="242" t="s">
        <v>1317</v>
      </c>
    </row>
    <row r="19" spans="1:9" ht="45" x14ac:dyDescent="0.25">
      <c r="A19" s="108">
        <v>43730</v>
      </c>
      <c r="B19" s="259" t="s">
        <v>1314</v>
      </c>
      <c r="C19" s="242" t="s">
        <v>1315</v>
      </c>
      <c r="D19" s="242" t="s">
        <v>1316</v>
      </c>
      <c r="E19" s="77" t="s">
        <v>473</v>
      </c>
      <c r="F19" s="78"/>
      <c r="G19" s="80">
        <v>100</v>
      </c>
      <c r="H19" s="79"/>
      <c r="I19" s="242" t="s">
        <v>1318</v>
      </c>
    </row>
    <row r="20" spans="1:9" ht="45" x14ac:dyDescent="0.25">
      <c r="A20" s="108">
        <v>43734</v>
      </c>
      <c r="B20" s="259" t="s">
        <v>1314</v>
      </c>
      <c r="C20" s="242" t="s">
        <v>1315</v>
      </c>
      <c r="D20" s="242" t="s">
        <v>1316</v>
      </c>
      <c r="E20" s="77" t="s">
        <v>473</v>
      </c>
      <c r="F20" s="78"/>
      <c r="G20" s="80">
        <v>57</v>
      </c>
      <c r="H20" s="79"/>
      <c r="I20" s="242" t="s">
        <v>1318</v>
      </c>
    </row>
    <row r="21" spans="1:9" x14ac:dyDescent="0.25">
      <c r="A21" s="108">
        <v>43734</v>
      </c>
      <c r="B21" s="259" t="s">
        <v>1344</v>
      </c>
      <c r="C21" s="242" t="s">
        <v>1357</v>
      </c>
      <c r="D21" s="242" t="s">
        <v>1345</v>
      </c>
      <c r="E21" s="77" t="s">
        <v>277</v>
      </c>
      <c r="F21" s="78"/>
      <c r="G21" s="80">
        <v>75</v>
      </c>
      <c r="H21" s="79"/>
      <c r="I21" s="242"/>
    </row>
    <row r="22" spans="1:9" x14ac:dyDescent="0.25">
      <c r="A22" s="108">
        <v>43735</v>
      </c>
      <c r="B22" s="259" t="s">
        <v>1344</v>
      </c>
      <c r="C22" s="242" t="s">
        <v>1357</v>
      </c>
      <c r="D22" s="242" t="s">
        <v>1345</v>
      </c>
      <c r="E22" s="262" t="s">
        <v>277</v>
      </c>
      <c r="F22" s="78"/>
      <c r="G22" s="80">
        <v>89</v>
      </c>
      <c r="H22" s="79"/>
      <c r="I22" s="242"/>
    </row>
    <row r="23" spans="1:9" ht="30" x14ac:dyDescent="0.25">
      <c r="A23" s="108">
        <v>43735</v>
      </c>
      <c r="B23" s="259" t="s">
        <v>1358</v>
      </c>
      <c r="C23" s="242" t="s">
        <v>1359</v>
      </c>
      <c r="D23" s="242" t="s">
        <v>1360</v>
      </c>
      <c r="E23" s="263" t="s">
        <v>473</v>
      </c>
      <c r="F23" s="78"/>
      <c r="G23" s="80">
        <v>5</v>
      </c>
      <c r="H23" s="79"/>
      <c r="I23" s="242" t="s">
        <v>1361</v>
      </c>
    </row>
    <row r="24" spans="1:9" x14ac:dyDescent="0.25">
      <c r="A24" s="108">
        <v>43735</v>
      </c>
      <c r="B24" s="259" t="s">
        <v>1346</v>
      </c>
      <c r="C24" s="242" t="s">
        <v>1347</v>
      </c>
      <c r="D24" s="242" t="s">
        <v>1348</v>
      </c>
      <c r="E24" s="77" t="s">
        <v>30</v>
      </c>
      <c r="F24" s="78"/>
      <c r="G24" s="80"/>
      <c r="H24" s="79">
        <v>15</v>
      </c>
      <c r="I24" s="242"/>
    </row>
    <row r="25" spans="1:9" x14ac:dyDescent="0.25">
      <c r="A25" s="108">
        <v>43736</v>
      </c>
      <c r="B25" s="259" t="s">
        <v>1346</v>
      </c>
      <c r="C25" s="242" t="s">
        <v>1347</v>
      </c>
      <c r="D25" s="242" t="s">
        <v>1348</v>
      </c>
      <c r="E25" s="77" t="s">
        <v>30</v>
      </c>
      <c r="F25" s="78"/>
      <c r="G25" s="80"/>
      <c r="H25" s="79">
        <v>50</v>
      </c>
      <c r="I25" s="242"/>
    </row>
    <row r="26" spans="1:9" ht="30" x14ac:dyDescent="0.25">
      <c r="A26" s="108">
        <v>43738</v>
      </c>
      <c r="B26" s="259" t="s">
        <v>1358</v>
      </c>
      <c r="C26" s="242" t="s">
        <v>1315</v>
      </c>
      <c r="D26" s="242" t="s">
        <v>1372</v>
      </c>
      <c r="E26" s="77" t="s">
        <v>473</v>
      </c>
      <c r="F26" s="78"/>
      <c r="G26" s="80">
        <v>60</v>
      </c>
      <c r="H26" s="79"/>
      <c r="I26" s="242" t="s">
        <v>1318</v>
      </c>
    </row>
    <row r="27" spans="1:9" ht="30" x14ac:dyDescent="0.25">
      <c r="A27" s="108">
        <v>43739</v>
      </c>
      <c r="B27" s="259" t="s">
        <v>1358</v>
      </c>
      <c r="C27" s="242" t="s">
        <v>1315</v>
      </c>
      <c r="D27" s="242" t="s">
        <v>1360</v>
      </c>
      <c r="E27" s="267" t="s">
        <v>473</v>
      </c>
      <c r="F27" s="78"/>
      <c r="G27" s="80">
        <v>35</v>
      </c>
      <c r="H27" s="79"/>
      <c r="I27" s="242" t="s">
        <v>1361</v>
      </c>
    </row>
    <row r="28" spans="1:9" ht="30" x14ac:dyDescent="0.25">
      <c r="A28" s="108">
        <v>43740</v>
      </c>
      <c r="B28" s="259" t="s">
        <v>1358</v>
      </c>
      <c r="C28" s="242" t="s">
        <v>1315</v>
      </c>
      <c r="D28" s="242" t="s">
        <v>1442</v>
      </c>
      <c r="E28" s="77" t="s">
        <v>473</v>
      </c>
      <c r="F28" s="78"/>
      <c r="G28" s="80">
        <v>30</v>
      </c>
      <c r="H28" s="79"/>
      <c r="I28" s="242" t="s">
        <v>1441</v>
      </c>
    </row>
    <row r="29" spans="1:9" x14ac:dyDescent="0.25">
      <c r="A29" s="108">
        <v>43740</v>
      </c>
      <c r="B29" s="259" t="s">
        <v>344</v>
      </c>
      <c r="C29" s="242" t="s">
        <v>345</v>
      </c>
      <c r="D29" s="242" t="s">
        <v>1443</v>
      </c>
      <c r="E29" s="77" t="s">
        <v>221</v>
      </c>
      <c r="F29" s="78"/>
      <c r="G29" s="80">
        <v>500</v>
      </c>
      <c r="H29" s="79"/>
      <c r="I29" s="242" t="s">
        <v>1444</v>
      </c>
    </row>
    <row r="30" spans="1:9" x14ac:dyDescent="0.25">
      <c r="A30" s="108">
        <v>43741</v>
      </c>
      <c r="B30" s="259" t="s">
        <v>1346</v>
      </c>
      <c r="C30" s="242" t="s">
        <v>1347</v>
      </c>
      <c r="D30" s="242" t="s">
        <v>1348</v>
      </c>
      <c r="E30" s="268" t="s">
        <v>30</v>
      </c>
      <c r="F30" s="78"/>
      <c r="G30" s="80"/>
      <c r="H30" s="79">
        <v>25</v>
      </c>
      <c r="I30" s="242"/>
    </row>
    <row r="31" spans="1:9" x14ac:dyDescent="0.25">
      <c r="A31" s="108">
        <v>43741</v>
      </c>
      <c r="B31" s="259" t="s">
        <v>344</v>
      </c>
      <c r="C31" s="242" t="s">
        <v>345</v>
      </c>
      <c r="D31" s="242" t="s">
        <v>1453</v>
      </c>
      <c r="E31" s="268" t="s">
        <v>221</v>
      </c>
      <c r="F31" s="78"/>
      <c r="G31" s="80">
        <v>500</v>
      </c>
      <c r="H31" s="79"/>
      <c r="I31" s="242"/>
    </row>
    <row r="32" spans="1:9" x14ac:dyDescent="0.25">
      <c r="A32" s="108">
        <v>43742</v>
      </c>
      <c r="B32" s="259" t="s">
        <v>344</v>
      </c>
      <c r="C32" s="242" t="s">
        <v>345</v>
      </c>
      <c r="D32" s="242" t="s">
        <v>1454</v>
      </c>
      <c r="E32" s="268" t="s">
        <v>221</v>
      </c>
      <c r="F32" s="78"/>
      <c r="G32" s="80">
        <v>500</v>
      </c>
      <c r="H32" s="79"/>
      <c r="I32" s="242"/>
    </row>
    <row r="33" spans="1:9" x14ac:dyDescent="0.25">
      <c r="A33" s="108">
        <v>43743</v>
      </c>
      <c r="B33" s="259" t="s">
        <v>344</v>
      </c>
      <c r="C33" s="242" t="s">
        <v>345</v>
      </c>
      <c r="D33" s="242" t="s">
        <v>1455</v>
      </c>
      <c r="E33" s="268" t="s">
        <v>221</v>
      </c>
      <c r="F33" s="78"/>
      <c r="G33" s="80">
        <v>500</v>
      </c>
      <c r="H33" s="79"/>
      <c r="I33" s="242"/>
    </row>
    <row r="34" spans="1:9" x14ac:dyDescent="0.25">
      <c r="A34" s="108">
        <v>43743</v>
      </c>
      <c r="B34" s="259" t="s">
        <v>211</v>
      </c>
      <c r="C34" s="242" t="s">
        <v>1347</v>
      </c>
      <c r="D34" s="242" t="s">
        <v>1456</v>
      </c>
      <c r="E34" s="77" t="s">
        <v>30</v>
      </c>
      <c r="F34" s="78"/>
      <c r="G34" s="80"/>
      <c r="H34" s="79">
        <v>100</v>
      </c>
      <c r="I34" s="242"/>
    </row>
    <row r="35" spans="1:9" ht="30" x14ac:dyDescent="0.25">
      <c r="A35" s="108">
        <v>43746</v>
      </c>
      <c r="B35" s="259" t="s">
        <v>1358</v>
      </c>
      <c r="C35" s="242" t="s">
        <v>1315</v>
      </c>
      <c r="D35" s="242" t="s">
        <v>1442</v>
      </c>
      <c r="E35" s="77" t="s">
        <v>473</v>
      </c>
      <c r="F35" s="78"/>
      <c r="G35" s="80">
        <v>4</v>
      </c>
      <c r="H35" s="79"/>
      <c r="I35" s="242"/>
    </row>
    <row r="36" spans="1:9" x14ac:dyDescent="0.25">
      <c r="A36" s="108">
        <v>43746</v>
      </c>
      <c r="B36" s="259" t="s">
        <v>211</v>
      </c>
      <c r="C36" s="242" t="s">
        <v>1347</v>
      </c>
      <c r="D36" s="242" t="s">
        <v>1456</v>
      </c>
      <c r="E36" s="77" t="s">
        <v>30</v>
      </c>
      <c r="F36" s="78"/>
      <c r="G36" s="80"/>
      <c r="H36" s="79">
        <v>50</v>
      </c>
      <c r="I36" s="242"/>
    </row>
    <row r="37" spans="1:9" ht="30" x14ac:dyDescent="0.25">
      <c r="A37" s="108">
        <v>43747</v>
      </c>
      <c r="B37" s="259" t="s">
        <v>1358</v>
      </c>
      <c r="C37" s="242" t="s">
        <v>1315</v>
      </c>
      <c r="D37" s="242" t="s">
        <v>1442</v>
      </c>
      <c r="E37" s="269" t="s">
        <v>473</v>
      </c>
      <c r="F37" s="78"/>
      <c r="G37" s="80">
        <v>270</v>
      </c>
      <c r="H37" s="79"/>
      <c r="I37" s="242"/>
    </row>
    <row r="38" spans="1:9" ht="30" x14ac:dyDescent="0.25">
      <c r="A38" s="108">
        <v>43747</v>
      </c>
      <c r="B38" s="259" t="s">
        <v>1457</v>
      </c>
      <c r="C38" s="242" t="s">
        <v>1458</v>
      </c>
      <c r="D38" s="242" t="s">
        <v>1459</v>
      </c>
      <c r="E38" s="77" t="s">
        <v>277</v>
      </c>
      <c r="F38" s="78"/>
      <c r="G38" s="80">
        <v>15</v>
      </c>
      <c r="H38" s="79"/>
      <c r="I38" s="242"/>
    </row>
    <row r="39" spans="1:9" ht="30" x14ac:dyDescent="0.25">
      <c r="A39" s="108">
        <v>43748</v>
      </c>
      <c r="B39" s="259" t="s">
        <v>1457</v>
      </c>
      <c r="C39" s="242" t="s">
        <v>1458</v>
      </c>
      <c r="D39" s="242" t="s">
        <v>1459</v>
      </c>
      <c r="E39" s="77" t="s">
        <v>277</v>
      </c>
      <c r="F39" s="78"/>
      <c r="G39" s="80">
        <v>10</v>
      </c>
      <c r="H39" s="79"/>
      <c r="I39" s="242"/>
    </row>
    <row r="40" spans="1:9" ht="30" x14ac:dyDescent="0.25">
      <c r="A40" s="108">
        <v>43748</v>
      </c>
      <c r="B40" s="259" t="s">
        <v>1358</v>
      </c>
      <c r="C40" s="242" t="s">
        <v>1315</v>
      </c>
      <c r="D40" s="242" t="s">
        <v>1442</v>
      </c>
      <c r="E40" s="270" t="s">
        <v>473</v>
      </c>
      <c r="F40" s="78"/>
      <c r="G40" s="80">
        <v>1</v>
      </c>
      <c r="H40" s="79"/>
      <c r="I40" s="242"/>
    </row>
    <row r="41" spans="1:9" ht="30" x14ac:dyDescent="0.25">
      <c r="A41" s="108">
        <v>43749</v>
      </c>
      <c r="B41" s="259" t="s">
        <v>1457</v>
      </c>
      <c r="C41" s="242" t="s">
        <v>1458</v>
      </c>
      <c r="D41" s="242" t="s">
        <v>1459</v>
      </c>
      <c r="E41" s="77" t="s">
        <v>277</v>
      </c>
      <c r="F41" s="78"/>
      <c r="G41" s="80">
        <v>10</v>
      </c>
      <c r="H41" s="79"/>
      <c r="I41" s="242"/>
    </row>
    <row r="42" spans="1:9" ht="30" x14ac:dyDescent="0.25">
      <c r="A42" s="108">
        <v>43753</v>
      </c>
      <c r="B42" s="259" t="s">
        <v>1457</v>
      </c>
      <c r="C42" s="242" t="s">
        <v>1458</v>
      </c>
      <c r="D42" s="242" t="s">
        <v>1459</v>
      </c>
      <c r="E42" s="272" t="s">
        <v>277</v>
      </c>
      <c r="F42" s="78"/>
      <c r="G42" s="80">
        <v>50</v>
      </c>
      <c r="H42" s="79"/>
      <c r="I42" s="242"/>
    </row>
    <row r="43" spans="1:9" x14ac:dyDescent="0.25">
      <c r="A43" s="108">
        <v>43753</v>
      </c>
      <c r="B43" s="242" t="s">
        <v>219</v>
      </c>
      <c r="C43" s="242" t="s">
        <v>1484</v>
      </c>
      <c r="D43" s="242" t="s">
        <v>220</v>
      </c>
      <c r="E43" s="77" t="s">
        <v>221</v>
      </c>
      <c r="F43" s="78"/>
      <c r="G43" s="80">
        <v>160</v>
      </c>
      <c r="H43" s="79"/>
      <c r="I43" s="242"/>
    </row>
    <row r="44" spans="1:9" x14ac:dyDescent="0.25">
      <c r="A44" s="108">
        <v>43754</v>
      </c>
      <c r="B44" s="242" t="s">
        <v>1490</v>
      </c>
      <c r="C44" s="242" t="s">
        <v>1494</v>
      </c>
      <c r="D44" s="242" t="s">
        <v>1495</v>
      </c>
      <c r="E44" s="273" t="s">
        <v>246</v>
      </c>
      <c r="F44" s="78"/>
      <c r="G44" s="80">
        <v>26</v>
      </c>
      <c r="H44" s="79"/>
      <c r="I44" s="242"/>
    </row>
    <row r="45" spans="1:9" ht="45" x14ac:dyDescent="0.25">
      <c r="A45" s="108">
        <v>43754</v>
      </c>
      <c r="B45" s="242" t="s">
        <v>1314</v>
      </c>
      <c r="C45" s="242" t="s">
        <v>1496</v>
      </c>
      <c r="D45" s="242" t="s">
        <v>1497</v>
      </c>
      <c r="E45" s="274" t="s">
        <v>473</v>
      </c>
      <c r="F45" s="78"/>
      <c r="G45" s="80">
        <v>98</v>
      </c>
      <c r="H45" s="79"/>
      <c r="I45" s="242"/>
    </row>
    <row r="46" spans="1:9" x14ac:dyDescent="0.25">
      <c r="A46" s="108">
        <v>43754</v>
      </c>
      <c r="B46" s="242" t="s">
        <v>1485</v>
      </c>
      <c r="C46" s="242" t="s">
        <v>680</v>
      </c>
      <c r="D46" s="242" t="s">
        <v>1486</v>
      </c>
      <c r="E46" s="77" t="s">
        <v>237</v>
      </c>
      <c r="F46" s="78"/>
      <c r="G46" s="80">
        <v>6</v>
      </c>
      <c r="H46" s="79"/>
      <c r="I46" s="242"/>
    </row>
    <row r="47" spans="1:9" x14ac:dyDescent="0.25">
      <c r="A47" s="108">
        <v>43755</v>
      </c>
      <c r="B47" s="242" t="s">
        <v>1485</v>
      </c>
      <c r="C47" s="242" t="s">
        <v>1464</v>
      </c>
      <c r="D47" s="242" t="s">
        <v>1486</v>
      </c>
      <c r="E47" s="77" t="s">
        <v>237</v>
      </c>
      <c r="F47" s="78"/>
      <c r="G47" s="80">
        <v>44</v>
      </c>
      <c r="H47" s="79"/>
      <c r="I47" s="242"/>
    </row>
    <row r="48" spans="1:9" x14ac:dyDescent="0.25">
      <c r="A48" s="108">
        <v>43755</v>
      </c>
      <c r="B48" s="242" t="s">
        <v>344</v>
      </c>
      <c r="C48" s="242" t="s">
        <v>345</v>
      </c>
      <c r="D48" s="242" t="s">
        <v>1443</v>
      </c>
      <c r="E48" s="77" t="s">
        <v>221</v>
      </c>
      <c r="F48" s="78"/>
      <c r="G48" s="80">
        <v>100</v>
      </c>
      <c r="H48" s="79"/>
      <c r="I48" s="242"/>
    </row>
    <row r="49" spans="1:9" ht="30" x14ac:dyDescent="0.25">
      <c r="A49" s="108">
        <v>43755</v>
      </c>
      <c r="B49" s="242" t="s">
        <v>1457</v>
      </c>
      <c r="C49" s="242" t="s">
        <v>1458</v>
      </c>
      <c r="D49" s="242" t="s">
        <v>1459</v>
      </c>
      <c r="E49" s="77" t="s">
        <v>277</v>
      </c>
      <c r="F49" s="78"/>
      <c r="G49" s="80">
        <v>81</v>
      </c>
      <c r="H49" s="79"/>
      <c r="I49" s="242"/>
    </row>
    <row r="50" spans="1:9" x14ac:dyDescent="0.25">
      <c r="A50" s="108">
        <v>43759</v>
      </c>
      <c r="B50" s="242" t="s">
        <v>1510</v>
      </c>
      <c r="C50" s="242" t="s">
        <v>1511</v>
      </c>
      <c r="D50" s="242" t="s">
        <v>1512</v>
      </c>
      <c r="E50" s="77" t="s">
        <v>30</v>
      </c>
      <c r="F50" s="78"/>
      <c r="G50" s="80"/>
      <c r="H50" s="79">
        <v>5</v>
      </c>
      <c r="I50" s="242"/>
    </row>
    <row r="51" spans="1:9" x14ac:dyDescent="0.25">
      <c r="A51" s="108">
        <v>43760</v>
      </c>
      <c r="B51" s="242" t="s">
        <v>1510</v>
      </c>
      <c r="C51" s="242" t="s">
        <v>1511</v>
      </c>
      <c r="D51" s="242" t="s">
        <v>1512</v>
      </c>
      <c r="E51" s="77" t="s">
        <v>30</v>
      </c>
      <c r="F51" s="78"/>
      <c r="G51" s="80"/>
      <c r="H51" s="79">
        <v>5</v>
      </c>
      <c r="I51" s="242"/>
    </row>
    <row r="52" spans="1:9" ht="30" x14ac:dyDescent="0.25">
      <c r="A52" s="108">
        <v>43760</v>
      </c>
      <c r="B52" s="242" t="s">
        <v>1358</v>
      </c>
      <c r="C52" s="242" t="s">
        <v>1315</v>
      </c>
      <c r="D52" s="242" t="s">
        <v>1442</v>
      </c>
      <c r="E52" s="77" t="s">
        <v>473</v>
      </c>
      <c r="F52" s="78"/>
      <c r="G52" s="80">
        <v>468</v>
      </c>
      <c r="H52" s="79"/>
      <c r="I52" s="242"/>
    </row>
    <row r="53" spans="1:9" ht="30" x14ac:dyDescent="0.25">
      <c r="A53" s="108">
        <v>43760</v>
      </c>
      <c r="B53" s="242" t="s">
        <v>1457</v>
      </c>
      <c r="C53" s="242" t="s">
        <v>1458</v>
      </c>
      <c r="D53" s="242" t="s">
        <v>1459</v>
      </c>
      <c r="E53" s="77" t="s">
        <v>277</v>
      </c>
      <c r="F53" s="78"/>
      <c r="G53" s="80">
        <v>2</v>
      </c>
      <c r="H53" s="79"/>
      <c r="I53" s="242"/>
    </row>
    <row r="54" spans="1:9" x14ac:dyDescent="0.25">
      <c r="A54" s="108">
        <v>43762</v>
      </c>
      <c r="B54" s="242" t="s">
        <v>1513</v>
      </c>
      <c r="C54" s="242" t="s">
        <v>1347</v>
      </c>
      <c r="D54" s="242" t="s">
        <v>1514</v>
      </c>
      <c r="E54" s="77" t="s">
        <v>30</v>
      </c>
      <c r="F54" s="78"/>
      <c r="G54" s="80"/>
      <c r="H54" s="79">
        <v>50</v>
      </c>
      <c r="I54" s="242"/>
    </row>
    <row r="55" spans="1:9" ht="30" x14ac:dyDescent="0.25">
      <c r="A55" s="108">
        <v>43762</v>
      </c>
      <c r="B55" s="242" t="s">
        <v>1516</v>
      </c>
      <c r="C55" s="242" t="s">
        <v>1515</v>
      </c>
      <c r="D55" s="242" t="s">
        <v>1517</v>
      </c>
      <c r="E55" s="77" t="s">
        <v>221</v>
      </c>
      <c r="F55" s="78"/>
      <c r="G55" s="80">
        <v>150</v>
      </c>
      <c r="H55" s="79"/>
      <c r="I55" s="242"/>
    </row>
    <row r="56" spans="1:9" ht="30" x14ac:dyDescent="0.25">
      <c r="A56" s="108">
        <v>43763</v>
      </c>
      <c r="B56" s="242" t="s">
        <v>1516</v>
      </c>
      <c r="C56" s="242" t="s">
        <v>345</v>
      </c>
      <c r="D56" s="242" t="s">
        <v>1518</v>
      </c>
      <c r="E56" s="275" t="s">
        <v>221</v>
      </c>
      <c r="F56" s="78"/>
      <c r="G56" s="80">
        <v>150</v>
      </c>
      <c r="H56" s="79"/>
      <c r="I56" s="242"/>
    </row>
    <row r="57" spans="1:9" x14ac:dyDescent="0.25">
      <c r="A57" s="108">
        <v>43766</v>
      </c>
      <c r="B57" s="242" t="s">
        <v>211</v>
      </c>
      <c r="C57" s="242" t="s">
        <v>1347</v>
      </c>
      <c r="D57" s="242" t="s">
        <v>1456</v>
      </c>
      <c r="E57" s="77" t="s">
        <v>30</v>
      </c>
      <c r="F57" s="78"/>
      <c r="G57" s="80"/>
      <c r="H57" s="79">
        <v>20</v>
      </c>
      <c r="I57" s="242"/>
    </row>
    <row r="58" spans="1:9" ht="30" x14ac:dyDescent="0.25">
      <c r="A58" s="108">
        <v>43768</v>
      </c>
      <c r="B58" s="242" t="s">
        <v>1516</v>
      </c>
      <c r="C58" s="242" t="s">
        <v>345</v>
      </c>
      <c r="D58" s="242" t="s">
        <v>1518</v>
      </c>
      <c r="E58" s="77" t="s">
        <v>221</v>
      </c>
      <c r="F58" s="78"/>
      <c r="G58" s="80">
        <v>0</v>
      </c>
      <c r="H58" s="79"/>
      <c r="I58" s="242" t="s">
        <v>1519</v>
      </c>
    </row>
    <row r="59" spans="1:9" ht="30" x14ac:dyDescent="0.25">
      <c r="A59" s="108">
        <v>43769</v>
      </c>
      <c r="B59" s="242" t="s">
        <v>1516</v>
      </c>
      <c r="C59" s="242" t="s">
        <v>345</v>
      </c>
      <c r="D59" s="242" t="s">
        <v>1518</v>
      </c>
      <c r="E59" s="77" t="s">
        <v>221</v>
      </c>
      <c r="F59" s="78"/>
      <c r="G59" s="80">
        <v>20</v>
      </c>
      <c r="H59" s="79"/>
      <c r="I59" s="242" t="s">
        <v>1519</v>
      </c>
    </row>
    <row r="60" spans="1:9" ht="30" x14ac:dyDescent="0.25">
      <c r="A60" s="108">
        <v>43769</v>
      </c>
      <c r="B60" s="242" t="s">
        <v>1358</v>
      </c>
      <c r="C60" s="242" t="s">
        <v>1315</v>
      </c>
      <c r="D60" s="242" t="s">
        <v>1442</v>
      </c>
      <c r="E60" s="77" t="s">
        <v>473</v>
      </c>
      <c r="F60" s="78"/>
      <c r="G60" s="80">
        <v>170</v>
      </c>
      <c r="H60" s="79"/>
      <c r="I60" s="242"/>
    </row>
    <row r="61" spans="1:9" ht="30" x14ac:dyDescent="0.25">
      <c r="A61" s="108">
        <v>43782</v>
      </c>
      <c r="B61" s="242" t="s">
        <v>1516</v>
      </c>
      <c r="C61" s="242" t="s">
        <v>345</v>
      </c>
      <c r="D61" s="242" t="s">
        <v>1577</v>
      </c>
      <c r="E61" s="77" t="s">
        <v>221</v>
      </c>
      <c r="F61" s="78"/>
      <c r="G61" s="80">
        <v>50</v>
      </c>
      <c r="H61" s="79"/>
      <c r="I61" s="242" t="s">
        <v>1519</v>
      </c>
    </row>
    <row r="62" spans="1:9" x14ac:dyDescent="0.25">
      <c r="A62" s="108">
        <v>43790</v>
      </c>
      <c r="B62" s="242" t="s">
        <v>1513</v>
      </c>
      <c r="C62" s="242" t="s">
        <v>1347</v>
      </c>
      <c r="D62" s="242" t="s">
        <v>1594</v>
      </c>
      <c r="E62" s="77" t="s">
        <v>30</v>
      </c>
      <c r="F62" s="78"/>
      <c r="G62" s="80"/>
      <c r="H62" s="79">
        <v>15</v>
      </c>
      <c r="I62" s="242"/>
    </row>
    <row r="63" spans="1:9" x14ac:dyDescent="0.25">
      <c r="A63" s="108">
        <v>43794</v>
      </c>
      <c r="B63" s="242" t="s">
        <v>1513</v>
      </c>
      <c r="C63" s="242" t="s">
        <v>1347</v>
      </c>
      <c r="D63" s="242" t="s">
        <v>1594</v>
      </c>
      <c r="E63" s="77" t="s">
        <v>30</v>
      </c>
      <c r="F63" s="78"/>
      <c r="G63" s="80"/>
      <c r="H63" s="79">
        <v>75</v>
      </c>
      <c r="I63" s="242"/>
    </row>
    <row r="64" spans="1:9" x14ac:dyDescent="0.25">
      <c r="A64" s="108">
        <v>43802</v>
      </c>
      <c r="B64" s="242" t="s">
        <v>1595</v>
      </c>
      <c r="C64" s="242" t="s">
        <v>1596</v>
      </c>
      <c r="D64" s="242" t="s">
        <v>1597</v>
      </c>
      <c r="E64" s="77" t="s">
        <v>8</v>
      </c>
      <c r="F64" s="78">
        <v>80</v>
      </c>
      <c r="G64" s="80"/>
      <c r="H64" s="79"/>
      <c r="I64" s="242" t="s">
        <v>1598</v>
      </c>
    </row>
    <row r="65" spans="1:9" x14ac:dyDescent="0.25">
      <c r="A65" s="108">
        <v>43802</v>
      </c>
      <c r="B65" s="242" t="s">
        <v>1595</v>
      </c>
      <c r="C65" s="242" t="s">
        <v>1599</v>
      </c>
      <c r="D65" s="242" t="s">
        <v>1600</v>
      </c>
      <c r="E65" s="77" t="s">
        <v>8</v>
      </c>
      <c r="F65" s="78">
        <v>28</v>
      </c>
      <c r="G65" s="80"/>
      <c r="H65" s="79"/>
      <c r="I65" s="242" t="s">
        <v>1601</v>
      </c>
    </row>
    <row r="66" spans="1:9" x14ac:dyDescent="0.25">
      <c r="A66" s="108">
        <v>43802</v>
      </c>
      <c r="B66" s="242" t="s">
        <v>1513</v>
      </c>
      <c r="C66" s="242" t="s">
        <v>1347</v>
      </c>
      <c r="D66" s="242" t="s">
        <v>1606</v>
      </c>
      <c r="E66" s="77" t="s">
        <v>30</v>
      </c>
      <c r="F66" s="78"/>
      <c r="G66" s="80"/>
      <c r="H66" s="79">
        <v>30</v>
      </c>
      <c r="I66" s="242"/>
    </row>
    <row r="67" spans="1:9" x14ac:dyDescent="0.25">
      <c r="A67" s="108">
        <v>43803</v>
      </c>
      <c r="B67" s="242" t="s">
        <v>1595</v>
      </c>
      <c r="C67" s="242"/>
      <c r="D67" s="242"/>
      <c r="E67" s="77" t="s">
        <v>8</v>
      </c>
      <c r="F67" s="78">
        <v>72</v>
      </c>
      <c r="G67" s="80"/>
      <c r="H67" s="79"/>
      <c r="I67" s="242" t="s">
        <v>1607</v>
      </c>
    </row>
    <row r="68" spans="1:9" x14ac:dyDescent="0.25">
      <c r="A68" s="108">
        <v>43803</v>
      </c>
      <c r="B68" s="242" t="s">
        <v>1608</v>
      </c>
      <c r="C68" s="242"/>
      <c r="D68" s="242"/>
      <c r="E68" s="77"/>
      <c r="F68" s="78">
        <v>69</v>
      </c>
      <c r="G68" s="80"/>
      <c r="H68" s="79"/>
      <c r="I68" s="242"/>
    </row>
    <row r="69" spans="1:9" x14ac:dyDescent="0.25">
      <c r="A69" s="108">
        <v>43803</v>
      </c>
      <c r="B69" s="242" t="s">
        <v>1609</v>
      </c>
      <c r="C69" s="242" t="s">
        <v>1613</v>
      </c>
      <c r="D69" s="242"/>
      <c r="E69" s="77"/>
      <c r="F69" s="78"/>
      <c r="G69" s="80"/>
      <c r="H69" s="79">
        <v>30</v>
      </c>
      <c r="I69" s="242"/>
    </row>
    <row r="70" spans="1:9" x14ac:dyDescent="0.25">
      <c r="A70" s="108">
        <v>43803</v>
      </c>
      <c r="B70" s="242" t="s">
        <v>1610</v>
      </c>
      <c r="C70" s="242" t="s">
        <v>1494</v>
      </c>
      <c r="D70" s="242"/>
      <c r="E70" s="77" t="s">
        <v>246</v>
      </c>
      <c r="F70" s="78"/>
      <c r="G70" s="80">
        <v>40</v>
      </c>
      <c r="H70" s="79"/>
      <c r="I70" s="242"/>
    </row>
    <row r="71" spans="1:9" x14ac:dyDescent="0.25">
      <c r="A71" s="108">
        <v>43804</v>
      </c>
      <c r="B71" s="242" t="s">
        <v>1595</v>
      </c>
      <c r="C71" s="242"/>
      <c r="D71" s="242"/>
      <c r="E71" s="77" t="s">
        <v>8</v>
      </c>
      <c r="F71" s="78">
        <v>68</v>
      </c>
      <c r="G71" s="80"/>
      <c r="H71" s="79"/>
      <c r="I71" s="242" t="s">
        <v>1611</v>
      </c>
    </row>
    <row r="72" spans="1:9" x14ac:dyDescent="0.25">
      <c r="A72" s="108">
        <v>43804</v>
      </c>
      <c r="B72" s="242" t="s">
        <v>1612</v>
      </c>
      <c r="C72" s="242" t="s">
        <v>1347</v>
      </c>
      <c r="D72" s="242"/>
      <c r="E72" s="77"/>
      <c r="F72" s="78"/>
      <c r="G72" s="80"/>
      <c r="H72" s="79">
        <v>100</v>
      </c>
      <c r="I72" s="242"/>
    </row>
    <row r="73" spans="1:9" x14ac:dyDescent="0.25">
      <c r="A73" s="108">
        <v>43804</v>
      </c>
      <c r="B73" s="242" t="s">
        <v>1610</v>
      </c>
      <c r="C73" s="242" t="s">
        <v>1494</v>
      </c>
      <c r="D73" s="242"/>
      <c r="E73" s="77"/>
      <c r="F73" s="78"/>
      <c r="G73" s="80">
        <v>60</v>
      </c>
      <c r="H73" s="79"/>
      <c r="I73" s="242" t="s">
        <v>1616</v>
      </c>
    </row>
    <row r="74" spans="1:9" x14ac:dyDescent="0.25">
      <c r="A74" s="108">
        <v>43804</v>
      </c>
      <c r="B74" s="242" t="s">
        <v>1614</v>
      </c>
      <c r="C74" s="242" t="s">
        <v>1615</v>
      </c>
      <c r="D74" s="242"/>
      <c r="E74" s="77"/>
      <c r="F74" s="78"/>
      <c r="G74" s="80">
        <v>7</v>
      </c>
      <c r="H74" s="79"/>
      <c r="I74" s="242" t="s">
        <v>1617</v>
      </c>
    </row>
    <row r="75" spans="1:9" x14ac:dyDescent="0.25">
      <c r="A75" s="108"/>
      <c r="B75" s="242" t="s">
        <v>1618</v>
      </c>
      <c r="C75" s="242"/>
      <c r="D75" s="242"/>
      <c r="E75" s="77"/>
      <c r="F75" s="78"/>
      <c r="G75" s="80"/>
      <c r="H75" s="79">
        <v>100</v>
      </c>
      <c r="I75" s="242" t="s">
        <v>1619</v>
      </c>
    </row>
    <row r="76" spans="1:9" x14ac:dyDescent="0.25">
      <c r="A76" s="108"/>
      <c r="B76" s="242"/>
      <c r="C76" s="242"/>
      <c r="D76" s="242"/>
      <c r="E76" s="77"/>
      <c r="F76" s="78"/>
      <c r="G76" s="80"/>
      <c r="H76" s="79"/>
      <c r="I76" s="242"/>
    </row>
    <row r="77" spans="1:9" x14ac:dyDescent="0.25">
      <c r="A77" s="108"/>
      <c r="B77" s="242"/>
      <c r="C77" s="242"/>
      <c r="D77" s="242"/>
      <c r="E77" s="77"/>
      <c r="F77" s="78"/>
      <c r="G77" s="80"/>
      <c r="H77" s="79"/>
      <c r="I77" s="242"/>
    </row>
    <row r="78" spans="1:9" x14ac:dyDescent="0.25">
      <c r="A78" s="108"/>
      <c r="B78" s="242"/>
      <c r="C78" s="242"/>
      <c r="D78" s="242"/>
      <c r="E78" s="77"/>
      <c r="F78" s="78"/>
      <c r="G78" s="80"/>
      <c r="H78" s="79"/>
      <c r="I78" s="242"/>
    </row>
    <row r="79" spans="1:9" x14ac:dyDescent="0.25">
      <c r="A79" s="108"/>
      <c r="B79" s="242"/>
      <c r="C79" s="242"/>
      <c r="D79" s="242"/>
      <c r="E79" s="77"/>
      <c r="F79" s="78"/>
      <c r="G79" s="80"/>
      <c r="H79" s="79"/>
      <c r="I79" s="242"/>
    </row>
    <row r="80" spans="1:9" x14ac:dyDescent="0.25">
      <c r="A80" s="108"/>
      <c r="B80" s="242"/>
      <c r="C80" s="242"/>
      <c r="D80" s="242"/>
      <c r="E80" s="77"/>
      <c r="F80" s="78"/>
      <c r="G80" s="80"/>
      <c r="H80" s="79"/>
      <c r="I80" s="242"/>
    </row>
    <row r="81" spans="1:9" x14ac:dyDescent="0.25">
      <c r="A81" s="108"/>
      <c r="B81" s="242"/>
      <c r="C81" s="242"/>
      <c r="D81" s="242"/>
      <c r="E81" s="77"/>
      <c r="F81" s="78"/>
      <c r="G81" s="80"/>
      <c r="H81" s="79"/>
      <c r="I81" s="242"/>
    </row>
    <row r="82" spans="1:9" x14ac:dyDescent="0.25">
      <c r="A82" s="108"/>
      <c r="B82" s="242"/>
      <c r="C82" s="242"/>
      <c r="D82" s="242"/>
      <c r="E82" s="77"/>
      <c r="F82" s="78"/>
      <c r="G82" s="80"/>
      <c r="H82" s="79"/>
      <c r="I82" s="242"/>
    </row>
    <row r="83" spans="1:9" x14ac:dyDescent="0.25">
      <c r="A83" s="108"/>
      <c r="B83" s="242"/>
      <c r="C83" s="242"/>
      <c r="D83" s="242"/>
      <c r="E83" s="77"/>
      <c r="F83" s="78"/>
      <c r="G83" s="80"/>
      <c r="H83" s="79"/>
      <c r="I83" s="242"/>
    </row>
    <row r="84" spans="1:9" x14ac:dyDescent="0.25">
      <c r="A84" s="108"/>
      <c r="B84" s="242"/>
      <c r="C84" s="242"/>
      <c r="D84" s="242"/>
      <c r="E84" s="77"/>
      <c r="F84" s="78"/>
      <c r="G84" s="80"/>
      <c r="H84" s="79"/>
      <c r="I84" s="242"/>
    </row>
    <row r="85" spans="1:9" x14ac:dyDescent="0.25">
      <c r="A85" s="108"/>
      <c r="B85" s="242"/>
      <c r="C85" s="242"/>
      <c r="D85" s="242"/>
      <c r="E85" s="77"/>
      <c r="F85" s="78"/>
      <c r="G85" s="80"/>
      <c r="H85" s="79"/>
      <c r="I85" s="242"/>
    </row>
    <row r="86" spans="1:9" x14ac:dyDescent="0.25">
      <c r="A86" s="108"/>
      <c r="B86" s="242"/>
      <c r="C86" s="242"/>
      <c r="D86" s="242"/>
      <c r="E86" s="77"/>
      <c r="F86" s="78"/>
      <c r="G86" s="80"/>
      <c r="H86" s="79"/>
      <c r="I86" s="242"/>
    </row>
    <row r="87" spans="1:9" x14ac:dyDescent="0.25">
      <c r="A87" s="108"/>
      <c r="B87" s="242"/>
      <c r="C87" s="242"/>
      <c r="D87" s="242"/>
      <c r="E87" s="77"/>
      <c r="F87" s="78"/>
      <c r="G87" s="80"/>
      <c r="H87" s="79"/>
      <c r="I87" s="242"/>
    </row>
    <row r="88" spans="1:9" x14ac:dyDescent="0.25">
      <c r="A88" s="108"/>
      <c r="B88" s="242"/>
      <c r="C88" s="242"/>
      <c r="D88" s="242"/>
      <c r="E88" s="77"/>
      <c r="F88" s="78"/>
      <c r="G88" s="80"/>
      <c r="H88" s="79"/>
      <c r="I88" s="242"/>
    </row>
    <row r="89" spans="1:9" x14ac:dyDescent="0.25">
      <c r="A89" s="108"/>
      <c r="B89" s="242"/>
      <c r="C89" s="242"/>
      <c r="D89" s="242"/>
      <c r="E89" s="77"/>
      <c r="F89" s="78"/>
      <c r="G89" s="80"/>
      <c r="H89" s="79"/>
      <c r="I89" s="242"/>
    </row>
    <row r="90" spans="1:9" x14ac:dyDescent="0.25">
      <c r="A90" s="108"/>
      <c r="B90" s="242"/>
      <c r="C90" s="242"/>
      <c r="D90" s="242"/>
      <c r="E90" s="77"/>
      <c r="F90" s="78"/>
      <c r="G90" s="80"/>
      <c r="H90" s="79"/>
      <c r="I90" s="242"/>
    </row>
    <row r="91" spans="1:9" x14ac:dyDescent="0.25">
      <c r="A91" s="108"/>
      <c r="B91" s="242"/>
      <c r="C91" s="242"/>
      <c r="D91" s="242"/>
      <c r="E91" s="77"/>
      <c r="F91" s="78"/>
      <c r="G91" s="80"/>
      <c r="H91" s="79"/>
      <c r="I91" s="242"/>
    </row>
    <row r="92" spans="1:9" x14ac:dyDescent="0.25">
      <c r="A92" s="108"/>
      <c r="B92" s="242"/>
      <c r="C92" s="242"/>
      <c r="D92" s="242"/>
      <c r="E92" s="77"/>
      <c r="F92" s="78"/>
      <c r="G92" s="80"/>
      <c r="H92" s="79"/>
      <c r="I92" s="242"/>
    </row>
    <row r="93" spans="1:9" x14ac:dyDescent="0.25">
      <c r="A93" s="108"/>
      <c r="B93" s="242"/>
      <c r="C93" s="242"/>
      <c r="D93" s="242"/>
      <c r="E93" s="77"/>
      <c r="F93" s="78"/>
      <c r="G93" s="80"/>
      <c r="H93" s="79"/>
      <c r="I93" s="242"/>
    </row>
    <row r="94" spans="1:9" x14ac:dyDescent="0.25">
      <c r="A94" s="108"/>
      <c r="B94" s="242"/>
      <c r="C94" s="242"/>
      <c r="D94" s="242"/>
      <c r="E94" s="77"/>
      <c r="F94" s="78"/>
      <c r="G94" s="80"/>
      <c r="H94" s="79"/>
      <c r="I94" s="242"/>
    </row>
    <row r="95" spans="1:9" x14ac:dyDescent="0.25">
      <c r="A95" s="108"/>
      <c r="B95" s="242"/>
      <c r="C95" s="242"/>
      <c r="D95" s="242"/>
      <c r="E95" s="77"/>
      <c r="F95" s="78"/>
      <c r="G95" s="80"/>
      <c r="H95" s="79"/>
      <c r="I95" s="242"/>
    </row>
    <row r="96" spans="1:9" x14ac:dyDescent="0.25">
      <c r="A96" s="108"/>
      <c r="B96" s="242"/>
      <c r="C96" s="242"/>
      <c r="D96" s="242"/>
      <c r="E96" s="77"/>
      <c r="F96" s="78"/>
      <c r="G96" s="80"/>
      <c r="H96" s="79"/>
      <c r="I96" s="242"/>
    </row>
    <row r="97" spans="1:9" x14ac:dyDescent="0.25">
      <c r="A97" s="108"/>
      <c r="B97" s="242"/>
      <c r="C97" s="242"/>
      <c r="D97" s="242"/>
      <c r="E97" s="77"/>
      <c r="F97" s="78"/>
      <c r="G97" s="80"/>
      <c r="H97" s="79"/>
      <c r="I97" s="242"/>
    </row>
    <row r="98" spans="1:9" x14ac:dyDescent="0.25">
      <c r="A98" s="108"/>
      <c r="B98" s="242"/>
      <c r="C98" s="242"/>
      <c r="D98" s="242"/>
      <c r="E98" s="77"/>
      <c r="F98" s="78"/>
      <c r="G98" s="80"/>
      <c r="H98" s="79"/>
      <c r="I98" s="242"/>
    </row>
    <row r="99" spans="1:9" x14ac:dyDescent="0.25">
      <c r="A99" s="108"/>
      <c r="B99" s="242"/>
      <c r="C99" s="242"/>
      <c r="D99" s="242"/>
      <c r="E99" s="77"/>
      <c r="F99" s="78"/>
      <c r="G99" s="80"/>
      <c r="H99" s="79"/>
      <c r="I99" s="242"/>
    </row>
    <row r="100" spans="1:9" x14ac:dyDescent="0.25">
      <c r="A100" s="108"/>
      <c r="B100" s="242"/>
      <c r="C100" s="242"/>
      <c r="D100" s="242"/>
      <c r="E100" s="77"/>
      <c r="F100" s="78"/>
      <c r="G100" s="80"/>
      <c r="H100" s="79"/>
      <c r="I100" s="242"/>
    </row>
    <row r="101" spans="1:9" x14ac:dyDescent="0.25">
      <c r="A101" s="108"/>
      <c r="B101" s="242"/>
      <c r="C101" s="242"/>
      <c r="D101" s="242"/>
      <c r="E101" s="77"/>
      <c r="F101" s="78"/>
      <c r="G101" s="80"/>
      <c r="H101" s="79"/>
      <c r="I101" s="242"/>
    </row>
    <row r="102" spans="1:9" x14ac:dyDescent="0.25">
      <c r="A102" s="108"/>
      <c r="B102" s="242"/>
      <c r="C102" s="242"/>
      <c r="D102" s="242"/>
      <c r="E102" s="77"/>
      <c r="F102" s="78"/>
      <c r="G102" s="80"/>
      <c r="H102" s="79"/>
      <c r="I102" s="242"/>
    </row>
    <row r="103" spans="1:9" x14ac:dyDescent="0.25">
      <c r="A103" s="108"/>
      <c r="B103" s="242"/>
      <c r="C103" s="242"/>
      <c r="D103" s="242"/>
      <c r="E103" s="77"/>
      <c r="F103" s="78"/>
      <c r="G103" s="80"/>
      <c r="H103" s="79"/>
      <c r="I103" s="242"/>
    </row>
    <row r="104" spans="1:9" x14ac:dyDescent="0.25">
      <c r="A104" s="108"/>
      <c r="B104" s="242"/>
      <c r="C104" s="242"/>
      <c r="D104" s="242"/>
      <c r="E104" s="77"/>
      <c r="F104" s="78"/>
      <c r="G104" s="80"/>
      <c r="H104" s="79"/>
      <c r="I104" s="242"/>
    </row>
    <row r="105" spans="1:9" x14ac:dyDescent="0.25">
      <c r="A105" s="108"/>
      <c r="B105" s="242"/>
      <c r="C105" s="242"/>
      <c r="D105" s="242"/>
      <c r="E105" s="77"/>
      <c r="F105" s="78"/>
      <c r="G105" s="80"/>
      <c r="H105" s="79"/>
      <c r="I105" s="242"/>
    </row>
    <row r="106" spans="1:9" x14ac:dyDescent="0.25">
      <c r="A106" s="108"/>
      <c r="B106" s="242"/>
      <c r="C106" s="242"/>
      <c r="D106" s="242"/>
      <c r="E106" s="77"/>
      <c r="F106" s="78"/>
      <c r="G106" s="80"/>
      <c r="H106" s="79"/>
      <c r="I106" s="242"/>
    </row>
    <row r="107" spans="1:9" x14ac:dyDescent="0.25">
      <c r="A107" s="108"/>
      <c r="B107" s="242"/>
      <c r="C107" s="242"/>
      <c r="D107" s="242"/>
      <c r="E107" s="77"/>
      <c r="F107" s="78"/>
      <c r="G107" s="80"/>
      <c r="H107" s="79"/>
      <c r="I107" s="242"/>
    </row>
    <row r="108" spans="1:9" x14ac:dyDescent="0.25">
      <c r="A108" s="108"/>
      <c r="B108" s="242"/>
      <c r="C108" s="242"/>
      <c r="D108" s="242"/>
      <c r="E108" s="77"/>
      <c r="F108" s="78"/>
      <c r="G108" s="80"/>
      <c r="H108" s="79"/>
      <c r="I108" s="242"/>
    </row>
    <row r="109" spans="1:9" x14ac:dyDescent="0.25">
      <c r="A109" s="108"/>
      <c r="B109" s="242"/>
      <c r="C109" s="242"/>
      <c r="D109" s="242"/>
      <c r="E109" s="77"/>
      <c r="F109" s="78"/>
      <c r="G109" s="80"/>
      <c r="H109" s="79"/>
      <c r="I109" s="242"/>
    </row>
    <row r="110" spans="1:9" x14ac:dyDescent="0.25">
      <c r="A110" s="108"/>
      <c r="B110" s="242"/>
      <c r="C110" s="242"/>
      <c r="D110" s="242"/>
      <c r="E110" s="77"/>
      <c r="F110" s="78"/>
      <c r="G110" s="80"/>
      <c r="H110" s="79"/>
      <c r="I110" s="242"/>
    </row>
    <row r="111" spans="1:9" x14ac:dyDescent="0.25">
      <c r="A111" s="108"/>
      <c r="B111" s="242"/>
      <c r="C111" s="242"/>
      <c r="D111" s="242"/>
      <c r="E111" s="77"/>
      <c r="F111" s="78"/>
      <c r="G111" s="80"/>
      <c r="H111" s="79"/>
      <c r="I111" s="242"/>
    </row>
    <row r="112" spans="1:9" x14ac:dyDescent="0.25">
      <c r="A112" s="108"/>
      <c r="B112" s="242"/>
      <c r="C112" s="242"/>
      <c r="D112" s="242"/>
      <c r="E112" s="77"/>
      <c r="F112" s="78"/>
      <c r="G112" s="80"/>
      <c r="H112" s="79"/>
      <c r="I112" s="242"/>
    </row>
    <row r="113" spans="1:9" x14ac:dyDescent="0.25">
      <c r="A113" s="108"/>
      <c r="B113" s="242"/>
      <c r="C113" s="242"/>
      <c r="D113" s="242"/>
      <c r="E113" s="77"/>
      <c r="F113" s="78"/>
      <c r="G113" s="80"/>
      <c r="H113" s="79"/>
      <c r="I113" s="242"/>
    </row>
    <row r="114" spans="1:9" x14ac:dyDescent="0.25">
      <c r="A114" s="108"/>
      <c r="B114" s="242"/>
      <c r="C114" s="242"/>
      <c r="D114" s="242"/>
      <c r="E114" s="77"/>
      <c r="F114" s="78"/>
      <c r="G114" s="80"/>
      <c r="H114" s="79"/>
      <c r="I114" s="242"/>
    </row>
    <row r="115" spans="1:9" x14ac:dyDescent="0.25">
      <c r="A115" s="108"/>
      <c r="B115" s="242"/>
      <c r="C115" s="242"/>
      <c r="D115" s="242"/>
      <c r="E115" s="77"/>
      <c r="F115" s="78"/>
      <c r="G115" s="80"/>
      <c r="H115" s="79"/>
      <c r="I115" s="242"/>
    </row>
    <row r="116" spans="1:9" x14ac:dyDescent="0.25">
      <c r="A116" s="108"/>
      <c r="B116" s="242"/>
      <c r="C116" s="242"/>
      <c r="D116" s="242"/>
      <c r="E116" s="77"/>
      <c r="F116" s="78"/>
      <c r="G116" s="80"/>
      <c r="H116" s="79"/>
      <c r="I116" s="242"/>
    </row>
    <row r="117" spans="1:9" x14ac:dyDescent="0.25">
      <c r="A117" s="108"/>
      <c r="B117" s="242"/>
      <c r="C117" s="242"/>
      <c r="D117" s="242"/>
      <c r="E117" s="77"/>
      <c r="F117" s="78"/>
      <c r="G117" s="80"/>
      <c r="H117" s="79"/>
      <c r="I117" s="242"/>
    </row>
    <row r="118" spans="1:9" x14ac:dyDescent="0.25">
      <c r="A118" s="108"/>
      <c r="B118" s="242"/>
      <c r="C118" s="242"/>
      <c r="D118" s="242"/>
      <c r="E118" s="77"/>
      <c r="F118" s="78"/>
      <c r="G118" s="80"/>
      <c r="H118" s="79"/>
      <c r="I118" s="242"/>
    </row>
    <row r="119" spans="1:9" x14ac:dyDescent="0.25">
      <c r="A119" s="108"/>
      <c r="B119" s="242"/>
      <c r="C119" s="242"/>
      <c r="D119" s="242"/>
      <c r="E119" s="77"/>
      <c r="F119" s="78"/>
      <c r="G119" s="80"/>
      <c r="H119" s="79"/>
      <c r="I119" s="242"/>
    </row>
    <row r="120" spans="1:9" x14ac:dyDescent="0.25">
      <c r="A120" s="108"/>
      <c r="B120" s="242"/>
      <c r="C120" s="242"/>
      <c r="D120" s="242"/>
      <c r="E120" s="77"/>
      <c r="F120" s="78"/>
      <c r="G120" s="80"/>
      <c r="H120" s="79"/>
      <c r="I120" s="242"/>
    </row>
    <row r="121" spans="1:9" x14ac:dyDescent="0.25">
      <c r="A121" s="108"/>
      <c r="B121" s="242"/>
      <c r="C121" s="242"/>
      <c r="D121" s="242"/>
      <c r="E121" s="77"/>
      <c r="F121" s="78"/>
      <c r="G121" s="80"/>
      <c r="H121" s="79"/>
      <c r="I121" s="242"/>
    </row>
    <row r="122" spans="1:9" x14ac:dyDescent="0.25">
      <c r="A122" s="108"/>
      <c r="B122" s="242"/>
      <c r="C122" s="242"/>
      <c r="D122" s="242"/>
      <c r="E122" s="77"/>
      <c r="F122" s="78"/>
      <c r="G122" s="80"/>
      <c r="H122" s="79"/>
      <c r="I122" s="242"/>
    </row>
    <row r="123" spans="1:9" x14ac:dyDescent="0.25">
      <c r="A123" s="108"/>
      <c r="B123" s="242"/>
      <c r="C123" s="242"/>
      <c r="D123" s="242"/>
      <c r="E123" s="77"/>
      <c r="F123" s="78"/>
      <c r="G123" s="80"/>
      <c r="H123" s="79"/>
      <c r="I123" s="242"/>
    </row>
    <row r="124" spans="1:9" x14ac:dyDescent="0.25">
      <c r="A124" s="108"/>
      <c r="B124" s="242"/>
      <c r="C124" s="242"/>
      <c r="D124" s="242"/>
      <c r="E124" s="77"/>
      <c r="F124" s="78"/>
      <c r="G124" s="80"/>
      <c r="H124" s="79"/>
      <c r="I124" s="242"/>
    </row>
    <row r="125" spans="1:9" x14ac:dyDescent="0.25">
      <c r="A125" s="108"/>
      <c r="B125" s="242"/>
      <c r="C125" s="242"/>
      <c r="D125" s="242"/>
      <c r="E125" s="77"/>
      <c r="F125" s="78"/>
      <c r="G125" s="80"/>
      <c r="H125" s="79"/>
      <c r="I125" s="242"/>
    </row>
    <row r="126" spans="1:9" x14ac:dyDescent="0.25">
      <c r="A126" s="108"/>
      <c r="B126" s="242"/>
      <c r="C126" s="242"/>
      <c r="D126" s="242"/>
      <c r="E126" s="77"/>
      <c r="F126" s="78"/>
      <c r="G126" s="80"/>
      <c r="H126" s="79"/>
      <c r="I126" s="242"/>
    </row>
    <row r="127" spans="1:9" x14ac:dyDescent="0.25">
      <c r="A127" s="108"/>
      <c r="B127" s="242"/>
      <c r="C127" s="242"/>
      <c r="D127" s="242"/>
      <c r="E127" s="77"/>
      <c r="F127" s="78"/>
      <c r="G127" s="80"/>
      <c r="H127" s="79"/>
      <c r="I127" s="242"/>
    </row>
    <row r="128" spans="1:9" x14ac:dyDescent="0.25">
      <c r="A128" s="108"/>
      <c r="B128" s="242"/>
      <c r="C128" s="242"/>
      <c r="D128" s="242"/>
      <c r="E128" s="77"/>
      <c r="F128" s="78"/>
      <c r="G128" s="80"/>
      <c r="H128" s="79"/>
      <c r="I128" s="242"/>
    </row>
    <row r="129" spans="1:9" x14ac:dyDescent="0.25">
      <c r="A129" s="108"/>
      <c r="B129" s="242"/>
      <c r="C129" s="242"/>
      <c r="D129" s="242"/>
      <c r="E129" s="77"/>
      <c r="F129" s="78"/>
      <c r="G129" s="80"/>
      <c r="H129" s="79"/>
      <c r="I129" s="242"/>
    </row>
    <row r="130" spans="1:9" x14ac:dyDescent="0.25">
      <c r="A130" s="108"/>
      <c r="B130" s="242"/>
      <c r="C130" s="242"/>
      <c r="D130" s="242"/>
      <c r="E130" s="77"/>
      <c r="F130" s="78"/>
      <c r="G130" s="80"/>
      <c r="H130" s="79"/>
      <c r="I130" s="242"/>
    </row>
    <row r="131" spans="1:9" x14ac:dyDescent="0.25">
      <c r="A131" s="108"/>
      <c r="B131" s="242"/>
      <c r="C131" s="242"/>
      <c r="D131" s="242"/>
      <c r="E131" s="77"/>
      <c r="F131" s="78"/>
      <c r="G131" s="80"/>
      <c r="H131" s="79"/>
      <c r="I131" s="242"/>
    </row>
    <row r="132" spans="1:9" x14ac:dyDescent="0.25">
      <c r="A132" s="108"/>
      <c r="B132" s="242"/>
      <c r="C132" s="242"/>
      <c r="D132" s="242"/>
      <c r="E132" s="77"/>
      <c r="F132" s="78"/>
      <c r="G132" s="80"/>
      <c r="H132" s="79"/>
      <c r="I132" s="242"/>
    </row>
    <row r="133" spans="1:9" x14ac:dyDescent="0.25">
      <c r="A133" s="108"/>
      <c r="B133" s="242"/>
      <c r="C133" s="242"/>
      <c r="D133" s="242"/>
      <c r="E133" s="77"/>
      <c r="F133" s="78"/>
      <c r="G133" s="80"/>
      <c r="H133" s="79"/>
      <c r="I133" s="242"/>
    </row>
    <row r="134" spans="1:9" x14ac:dyDescent="0.25">
      <c r="A134" s="108"/>
      <c r="B134" s="242"/>
      <c r="C134" s="242"/>
      <c r="D134" s="242"/>
      <c r="E134" s="77"/>
      <c r="F134" s="78"/>
      <c r="G134" s="80"/>
      <c r="H134" s="79"/>
      <c r="I134" s="242"/>
    </row>
    <row r="135" spans="1:9" x14ac:dyDescent="0.25">
      <c r="A135" s="108"/>
      <c r="B135" s="242"/>
      <c r="C135" s="242"/>
      <c r="D135" s="242"/>
      <c r="E135" s="77"/>
      <c r="F135" s="78"/>
      <c r="G135" s="80"/>
      <c r="H135" s="79"/>
      <c r="I135" s="242"/>
    </row>
    <row r="136" spans="1:9" x14ac:dyDescent="0.25">
      <c r="A136" s="108"/>
      <c r="B136" s="242"/>
      <c r="C136" s="242"/>
      <c r="D136" s="242"/>
      <c r="E136" s="77"/>
      <c r="F136" s="78"/>
      <c r="G136" s="80"/>
      <c r="H136" s="79"/>
      <c r="I136" s="242"/>
    </row>
    <row r="137" spans="1:9" x14ac:dyDescent="0.25">
      <c r="A137" s="108"/>
      <c r="B137" s="242"/>
      <c r="C137" s="242"/>
      <c r="D137" s="242"/>
      <c r="E137" s="77"/>
      <c r="F137" s="78"/>
      <c r="G137" s="80"/>
      <c r="H137" s="79"/>
      <c r="I137" s="242"/>
    </row>
    <row r="138" spans="1:9" x14ac:dyDescent="0.25">
      <c r="A138" s="108"/>
      <c r="B138" s="242"/>
      <c r="C138" s="242"/>
      <c r="D138" s="242"/>
      <c r="E138" s="77"/>
      <c r="F138" s="78"/>
      <c r="G138" s="80"/>
      <c r="H138" s="79"/>
      <c r="I138" s="242"/>
    </row>
    <row r="139" spans="1:9" x14ac:dyDescent="0.25">
      <c r="A139" s="108"/>
      <c r="B139" s="242"/>
      <c r="C139" s="242"/>
      <c r="D139" s="242"/>
      <c r="E139" s="77"/>
      <c r="F139" s="78"/>
      <c r="G139" s="80"/>
      <c r="H139" s="79"/>
      <c r="I139" s="242"/>
    </row>
    <row r="140" spans="1:9" x14ac:dyDescent="0.25">
      <c r="A140" s="108"/>
      <c r="B140" s="242"/>
      <c r="C140" s="242"/>
      <c r="D140" s="242"/>
      <c r="E140" s="77"/>
      <c r="F140" s="78"/>
      <c r="G140" s="80"/>
      <c r="H140" s="79"/>
      <c r="I140" s="242"/>
    </row>
    <row r="141" spans="1:9" x14ac:dyDescent="0.25">
      <c r="A141" s="108"/>
      <c r="B141" s="242"/>
      <c r="C141" s="242"/>
      <c r="D141" s="242"/>
      <c r="E141" s="77"/>
      <c r="F141" s="78"/>
      <c r="G141" s="80"/>
      <c r="H141" s="79"/>
      <c r="I141" s="242"/>
    </row>
    <row r="142" spans="1:9" x14ac:dyDescent="0.25">
      <c r="A142" s="108"/>
      <c r="B142" s="242"/>
      <c r="C142" s="242"/>
      <c r="D142" s="242"/>
      <c r="E142" s="77"/>
      <c r="F142" s="78"/>
      <c r="G142" s="80"/>
      <c r="H142" s="79"/>
      <c r="I142" s="242"/>
    </row>
    <row r="143" spans="1:9" x14ac:dyDescent="0.25">
      <c r="A143" s="108"/>
      <c r="B143" s="242"/>
      <c r="C143" s="242"/>
      <c r="D143" s="242"/>
      <c r="E143" s="77"/>
      <c r="F143" s="78"/>
      <c r="G143" s="80"/>
      <c r="H143" s="79"/>
      <c r="I143" s="242"/>
    </row>
    <row r="144" spans="1:9" x14ac:dyDescent="0.25">
      <c r="A144" s="108"/>
      <c r="B144" s="242"/>
      <c r="C144" s="242"/>
      <c r="D144" s="242"/>
      <c r="E144" s="77"/>
      <c r="F144" s="78"/>
      <c r="G144" s="80"/>
      <c r="H144" s="79"/>
      <c r="I144" s="242"/>
    </row>
    <row r="145" spans="1:9" x14ac:dyDescent="0.25">
      <c r="A145" s="108"/>
      <c r="B145" s="242"/>
      <c r="C145" s="242"/>
      <c r="D145" s="242"/>
      <c r="E145" s="77"/>
      <c r="F145" s="78"/>
      <c r="G145" s="80"/>
      <c r="H145" s="79"/>
      <c r="I145" s="242"/>
    </row>
    <row r="146" spans="1:9" x14ac:dyDescent="0.25">
      <c r="A146" s="108"/>
      <c r="B146" s="242"/>
      <c r="C146" s="242"/>
      <c r="D146" s="242"/>
      <c r="E146" s="77"/>
      <c r="F146" s="78"/>
      <c r="G146" s="80"/>
      <c r="H146" s="79"/>
      <c r="I146" s="242"/>
    </row>
    <row r="147" spans="1:9" x14ac:dyDescent="0.25">
      <c r="A147" s="108"/>
      <c r="B147" s="242"/>
      <c r="C147" s="242"/>
      <c r="D147" s="242"/>
      <c r="E147" s="77"/>
      <c r="F147" s="78"/>
      <c r="G147" s="80"/>
      <c r="H147" s="79"/>
      <c r="I147" s="242"/>
    </row>
    <row r="148" spans="1:9" x14ac:dyDescent="0.25">
      <c r="A148" s="108"/>
      <c r="B148" s="242"/>
      <c r="C148" s="242"/>
      <c r="D148" s="242"/>
      <c r="E148" s="77"/>
      <c r="F148" s="78"/>
      <c r="G148" s="80"/>
      <c r="H148" s="79"/>
      <c r="I148" s="242"/>
    </row>
    <row r="149" spans="1:9" x14ac:dyDescent="0.25">
      <c r="A149" s="108"/>
      <c r="B149" s="242"/>
      <c r="C149" s="242"/>
      <c r="D149" s="242"/>
      <c r="E149" s="77"/>
      <c r="F149" s="78"/>
      <c r="G149" s="80"/>
      <c r="H149" s="79"/>
      <c r="I149" s="242"/>
    </row>
    <row r="150" spans="1:9" x14ac:dyDescent="0.25">
      <c r="A150" s="108"/>
      <c r="B150" s="242"/>
      <c r="C150" s="242"/>
      <c r="D150" s="242"/>
      <c r="E150" s="77"/>
      <c r="F150" s="78"/>
      <c r="G150" s="80"/>
      <c r="H150" s="79"/>
      <c r="I150" s="242"/>
    </row>
    <row r="151" spans="1:9" x14ac:dyDescent="0.25">
      <c r="A151" s="108"/>
      <c r="B151" s="242"/>
      <c r="C151" s="242"/>
      <c r="D151" s="242"/>
      <c r="E151" s="77"/>
      <c r="F151" s="78"/>
      <c r="G151" s="80"/>
      <c r="H151" s="79"/>
      <c r="I151" s="242"/>
    </row>
    <row r="152" spans="1:9" x14ac:dyDescent="0.25">
      <c r="A152" s="108"/>
      <c r="B152" s="242"/>
      <c r="C152" s="242"/>
      <c r="D152" s="242"/>
      <c r="E152" s="77"/>
      <c r="F152" s="78"/>
      <c r="G152" s="80"/>
      <c r="H152" s="79"/>
      <c r="I152" s="242"/>
    </row>
    <row r="153" spans="1:9" x14ac:dyDescent="0.25">
      <c r="A153" s="108"/>
      <c r="B153" s="242"/>
      <c r="C153" s="242"/>
      <c r="D153" s="242"/>
      <c r="E153" s="77"/>
      <c r="F153" s="78"/>
      <c r="G153" s="80"/>
      <c r="H153" s="79"/>
      <c r="I153" s="242"/>
    </row>
    <row r="154" spans="1:9" x14ac:dyDescent="0.25">
      <c r="A154" s="108"/>
      <c r="B154" s="242"/>
      <c r="C154" s="242"/>
      <c r="D154" s="242"/>
      <c r="E154" s="77"/>
      <c r="F154" s="78"/>
      <c r="G154" s="80"/>
      <c r="H154" s="79"/>
      <c r="I154" s="242"/>
    </row>
    <row r="155" spans="1:9" x14ac:dyDescent="0.25">
      <c r="A155" s="108"/>
      <c r="B155" s="242"/>
      <c r="C155" s="242"/>
      <c r="D155" s="242"/>
      <c r="E155" s="77"/>
      <c r="F155" s="78"/>
      <c r="G155" s="80"/>
      <c r="H155" s="79"/>
      <c r="I155" s="242"/>
    </row>
    <row r="156" spans="1:9" x14ac:dyDescent="0.25">
      <c r="A156" s="108"/>
      <c r="B156" s="242"/>
      <c r="C156" s="242"/>
      <c r="D156" s="242"/>
      <c r="E156" s="77"/>
      <c r="F156" s="78"/>
      <c r="G156" s="80"/>
      <c r="H156" s="79"/>
      <c r="I156" s="242"/>
    </row>
    <row r="157" spans="1:9" x14ac:dyDescent="0.25">
      <c r="A157" s="108"/>
      <c r="B157" s="242"/>
      <c r="C157" s="242"/>
      <c r="D157" s="242"/>
      <c r="E157" s="77"/>
      <c r="F157" s="78"/>
      <c r="G157" s="80"/>
      <c r="H157" s="79"/>
      <c r="I157" s="242"/>
    </row>
    <row r="158" spans="1:9" x14ac:dyDescent="0.25">
      <c r="A158" s="108"/>
      <c r="B158" s="242"/>
      <c r="C158" s="242"/>
      <c r="D158" s="242"/>
      <c r="E158" s="77"/>
      <c r="F158" s="78"/>
      <c r="G158" s="80"/>
      <c r="H158" s="79"/>
      <c r="I158" s="242"/>
    </row>
    <row r="159" spans="1:9" x14ac:dyDescent="0.25">
      <c r="A159" s="108"/>
      <c r="B159" s="242"/>
      <c r="C159" s="242"/>
      <c r="D159" s="242"/>
      <c r="E159" s="77"/>
      <c r="F159" s="78"/>
      <c r="G159" s="80"/>
      <c r="H159" s="79"/>
      <c r="I159" s="242"/>
    </row>
    <row r="160" spans="1:9" x14ac:dyDescent="0.25">
      <c r="A160" s="108"/>
      <c r="B160" s="242"/>
      <c r="C160" s="242"/>
      <c r="D160" s="242"/>
      <c r="E160" s="77"/>
      <c r="F160" s="78"/>
      <c r="G160" s="80"/>
      <c r="H160" s="79"/>
      <c r="I160" s="242"/>
    </row>
    <row r="161" spans="1:9" x14ac:dyDescent="0.25">
      <c r="A161" s="108"/>
      <c r="B161" s="242"/>
      <c r="C161" s="242"/>
      <c r="D161" s="242"/>
      <c r="E161" s="77"/>
      <c r="F161" s="78"/>
      <c r="G161" s="80"/>
      <c r="H161" s="79"/>
      <c r="I161" s="242"/>
    </row>
    <row r="162" spans="1:9" x14ac:dyDescent="0.25">
      <c r="A162" s="108"/>
      <c r="B162" s="242"/>
      <c r="C162" s="242"/>
      <c r="D162" s="242"/>
      <c r="E162" s="77"/>
      <c r="F162" s="78"/>
      <c r="G162" s="80"/>
      <c r="H162" s="79"/>
      <c r="I162" s="242"/>
    </row>
    <row r="163" spans="1:9" x14ac:dyDescent="0.25">
      <c r="A163" s="108"/>
      <c r="B163" s="242"/>
      <c r="C163" s="242"/>
      <c r="D163" s="242"/>
      <c r="E163" s="77"/>
      <c r="F163" s="78"/>
      <c r="G163" s="80"/>
      <c r="H163" s="79"/>
      <c r="I163" s="242"/>
    </row>
    <row r="164" spans="1:9" x14ac:dyDescent="0.25">
      <c r="A164" s="108"/>
      <c r="B164" s="242"/>
      <c r="C164" s="242"/>
      <c r="D164" s="242"/>
      <c r="E164" s="77"/>
      <c r="F164" s="78"/>
      <c r="G164" s="80"/>
      <c r="H164" s="79"/>
      <c r="I164" s="242"/>
    </row>
    <row r="165" spans="1:9" x14ac:dyDescent="0.25">
      <c r="A165" s="108"/>
      <c r="B165" s="242"/>
      <c r="C165" s="242"/>
      <c r="D165" s="242"/>
      <c r="E165" s="77"/>
      <c r="F165" s="78"/>
      <c r="G165" s="80"/>
      <c r="H165" s="79"/>
      <c r="I165" s="242"/>
    </row>
    <row r="166" spans="1:9" x14ac:dyDescent="0.25">
      <c r="A166" s="108"/>
      <c r="B166" s="242"/>
      <c r="C166" s="242"/>
      <c r="D166" s="242"/>
      <c r="E166" s="77"/>
      <c r="F166" s="78"/>
      <c r="G166" s="80"/>
      <c r="H166" s="79"/>
      <c r="I166" s="242"/>
    </row>
    <row r="167" spans="1:9" x14ac:dyDescent="0.25">
      <c r="A167" s="108"/>
      <c r="B167" s="242"/>
      <c r="C167" s="242"/>
      <c r="D167" s="242"/>
      <c r="E167" s="77"/>
      <c r="F167" s="78"/>
      <c r="G167" s="80"/>
      <c r="H167" s="79"/>
      <c r="I167" s="242"/>
    </row>
    <row r="168" spans="1:9" x14ac:dyDescent="0.25">
      <c r="A168" s="108"/>
      <c r="B168" s="242"/>
      <c r="C168" s="242"/>
      <c r="D168" s="242"/>
      <c r="E168" s="77"/>
      <c r="F168" s="78"/>
      <c r="G168" s="80"/>
      <c r="H168" s="79"/>
      <c r="I168" s="242"/>
    </row>
    <row r="169" spans="1:9" x14ac:dyDescent="0.25">
      <c r="A169" s="108"/>
      <c r="B169" s="242"/>
      <c r="C169" s="242"/>
      <c r="D169" s="242"/>
      <c r="E169" s="77"/>
      <c r="F169" s="78"/>
      <c r="G169" s="80"/>
      <c r="H169" s="79"/>
      <c r="I169" s="242"/>
    </row>
    <row r="170" spans="1:9" x14ac:dyDescent="0.25">
      <c r="A170" s="108"/>
      <c r="B170" s="242"/>
      <c r="C170" s="242"/>
      <c r="D170" s="242"/>
      <c r="E170" s="77"/>
      <c r="F170" s="78"/>
      <c r="G170" s="80"/>
      <c r="H170" s="79"/>
      <c r="I170" s="242"/>
    </row>
    <row r="171" spans="1:9" x14ac:dyDescent="0.25">
      <c r="A171" s="108"/>
      <c r="B171" s="242"/>
      <c r="C171" s="242"/>
      <c r="D171" s="242"/>
      <c r="E171" s="77"/>
      <c r="F171" s="78"/>
      <c r="G171" s="80"/>
      <c r="H171" s="79"/>
      <c r="I171" s="242"/>
    </row>
    <row r="172" spans="1:9" x14ac:dyDescent="0.25">
      <c r="A172" s="108"/>
      <c r="B172" s="242"/>
      <c r="C172" s="242"/>
      <c r="D172" s="242"/>
      <c r="E172" s="77"/>
      <c r="F172" s="78"/>
      <c r="G172" s="80"/>
      <c r="H172" s="79"/>
      <c r="I172" s="242"/>
    </row>
    <row r="173" spans="1:9" x14ac:dyDescent="0.25">
      <c r="A173" s="108"/>
      <c r="B173" s="242"/>
      <c r="C173" s="242"/>
      <c r="D173" s="242"/>
      <c r="E173" s="77"/>
      <c r="F173" s="78"/>
      <c r="G173" s="80"/>
      <c r="H173" s="79"/>
      <c r="I173" s="242"/>
    </row>
    <row r="174" spans="1:9" x14ac:dyDescent="0.25">
      <c r="A174" s="108"/>
      <c r="B174" s="242"/>
      <c r="C174" s="242"/>
      <c r="D174" s="242"/>
      <c r="E174" s="77"/>
      <c r="F174" s="78"/>
      <c r="G174" s="80"/>
      <c r="H174" s="79"/>
      <c r="I174" s="242"/>
    </row>
    <row r="175" spans="1:9" x14ac:dyDescent="0.25">
      <c r="A175" s="108"/>
      <c r="B175" s="242"/>
      <c r="C175" s="242"/>
      <c r="D175" s="242"/>
      <c r="E175" s="77"/>
      <c r="F175" s="78"/>
      <c r="G175" s="80"/>
      <c r="H175" s="79"/>
      <c r="I175" s="242"/>
    </row>
    <row r="176" spans="1:9" x14ac:dyDescent="0.25">
      <c r="A176" s="108"/>
      <c r="B176" s="242"/>
      <c r="C176" s="242"/>
      <c r="D176" s="242"/>
      <c r="E176" s="77"/>
      <c r="F176" s="78"/>
      <c r="G176" s="80"/>
      <c r="H176" s="79"/>
      <c r="I176" s="242"/>
    </row>
    <row r="177" spans="1:9" x14ac:dyDescent="0.25">
      <c r="A177" s="108"/>
      <c r="B177" s="242"/>
      <c r="C177" s="242"/>
      <c r="D177" s="242"/>
      <c r="E177" s="77"/>
      <c r="F177" s="78"/>
      <c r="G177" s="80"/>
      <c r="H177" s="79"/>
      <c r="I177" s="242"/>
    </row>
    <row r="178" spans="1:9" x14ac:dyDescent="0.25">
      <c r="A178" s="108"/>
      <c r="B178" s="242"/>
      <c r="C178" s="242"/>
      <c r="D178" s="242"/>
      <c r="E178" s="77"/>
      <c r="F178" s="78"/>
      <c r="G178" s="80"/>
      <c r="H178" s="79"/>
      <c r="I178" s="242"/>
    </row>
    <row r="179" spans="1:9" x14ac:dyDescent="0.25">
      <c r="A179" s="108"/>
      <c r="B179" s="242"/>
      <c r="C179" s="242"/>
      <c r="D179" s="242"/>
      <c r="E179" s="77"/>
      <c r="F179" s="78"/>
      <c r="G179" s="80"/>
      <c r="H179" s="79"/>
      <c r="I179" s="242"/>
    </row>
    <row r="180" spans="1:9" x14ac:dyDescent="0.25">
      <c r="A180" s="108"/>
      <c r="B180" s="242"/>
      <c r="C180" s="242"/>
      <c r="D180" s="242"/>
      <c r="E180" s="77"/>
      <c r="F180" s="78"/>
      <c r="G180" s="80"/>
      <c r="H180" s="79"/>
      <c r="I180" s="242"/>
    </row>
    <row r="181" spans="1:9" x14ac:dyDescent="0.25">
      <c r="A181" s="108"/>
      <c r="B181" s="242"/>
      <c r="C181" s="242"/>
      <c r="D181" s="242"/>
      <c r="E181" s="77"/>
      <c r="F181" s="78"/>
      <c r="G181" s="80"/>
      <c r="H181" s="79"/>
      <c r="I181" s="242"/>
    </row>
    <row r="182" spans="1:9" x14ac:dyDescent="0.25">
      <c r="A182" s="108"/>
      <c r="B182" s="242"/>
      <c r="C182" s="242"/>
      <c r="D182" s="242"/>
      <c r="E182" s="77"/>
      <c r="F182" s="78"/>
      <c r="G182" s="80"/>
      <c r="H182" s="79"/>
      <c r="I182" s="242"/>
    </row>
    <row r="183" spans="1:9" x14ac:dyDescent="0.25">
      <c r="A183" s="108"/>
      <c r="B183" s="242"/>
      <c r="C183" s="242"/>
      <c r="D183" s="242"/>
      <c r="E183" s="77"/>
      <c r="F183" s="78"/>
      <c r="G183" s="80"/>
      <c r="H183" s="79"/>
      <c r="I183" s="242"/>
    </row>
    <row r="184" spans="1:9" x14ac:dyDescent="0.25">
      <c r="A184" s="108"/>
      <c r="B184" s="242"/>
      <c r="C184" s="242"/>
      <c r="D184" s="242"/>
      <c r="E184" s="77"/>
      <c r="F184" s="78"/>
      <c r="G184" s="80"/>
      <c r="H184" s="79"/>
      <c r="I184" s="242"/>
    </row>
    <row r="185" spans="1:9" x14ac:dyDescent="0.25">
      <c r="A185" s="108"/>
      <c r="B185" s="242"/>
      <c r="C185" s="242"/>
      <c r="D185" s="242"/>
      <c r="E185" s="77"/>
      <c r="F185" s="78"/>
      <c r="G185" s="80"/>
      <c r="H185" s="79"/>
      <c r="I185" s="242"/>
    </row>
    <row r="186" spans="1:9" x14ac:dyDescent="0.25">
      <c r="A186" s="108"/>
      <c r="B186" s="242"/>
      <c r="C186" s="242"/>
      <c r="D186" s="242"/>
      <c r="E186" s="77"/>
      <c r="F186" s="78"/>
      <c r="G186" s="80"/>
      <c r="H186" s="79"/>
      <c r="I186" s="242"/>
    </row>
    <row r="187" spans="1:9" x14ac:dyDescent="0.25">
      <c r="A187" s="108"/>
      <c r="B187" s="242"/>
      <c r="C187" s="242"/>
      <c r="D187" s="242"/>
      <c r="E187" s="77"/>
      <c r="F187" s="78"/>
      <c r="G187" s="80"/>
      <c r="H187" s="79"/>
      <c r="I187" s="242"/>
    </row>
    <row r="188" spans="1:9" x14ac:dyDescent="0.25">
      <c r="A188" s="108"/>
      <c r="B188" s="242"/>
      <c r="C188" s="242"/>
      <c r="D188" s="242"/>
      <c r="E188" s="77"/>
      <c r="F188" s="78"/>
      <c r="G188" s="80"/>
      <c r="H188" s="79"/>
      <c r="I188" s="242"/>
    </row>
    <row r="189" spans="1:9" x14ac:dyDescent="0.25">
      <c r="A189" s="108"/>
      <c r="B189" s="242"/>
      <c r="C189" s="242"/>
      <c r="D189" s="242"/>
      <c r="E189" s="77"/>
      <c r="F189" s="78"/>
      <c r="G189" s="80"/>
      <c r="H189" s="79"/>
      <c r="I189" s="242"/>
    </row>
    <row r="190" spans="1:9" x14ac:dyDescent="0.25">
      <c r="A190" s="108"/>
      <c r="B190" s="242"/>
      <c r="C190" s="242"/>
      <c r="D190" s="242"/>
      <c r="E190" s="77"/>
      <c r="F190" s="78"/>
      <c r="G190" s="80"/>
      <c r="H190" s="79"/>
      <c r="I190" s="242"/>
    </row>
    <row r="191" spans="1:9" x14ac:dyDescent="0.25">
      <c r="A191" s="108"/>
      <c r="B191" s="242"/>
      <c r="C191" s="242"/>
      <c r="D191" s="242"/>
      <c r="E191" s="77"/>
      <c r="F191" s="78"/>
      <c r="G191" s="80"/>
      <c r="H191" s="79"/>
      <c r="I191" s="242"/>
    </row>
    <row r="192" spans="1:9" x14ac:dyDescent="0.25">
      <c r="A192" s="108"/>
      <c r="B192" s="242"/>
      <c r="C192" s="242"/>
      <c r="D192" s="242"/>
      <c r="E192" s="77"/>
      <c r="F192" s="78"/>
      <c r="G192" s="80"/>
      <c r="H192" s="79"/>
      <c r="I192" s="242"/>
    </row>
    <row r="193" spans="1:9" x14ac:dyDescent="0.25">
      <c r="A193" s="108"/>
      <c r="B193" s="242"/>
      <c r="C193" s="242"/>
      <c r="D193" s="242"/>
      <c r="E193" s="77"/>
      <c r="F193" s="78"/>
      <c r="G193" s="80"/>
      <c r="H193" s="79"/>
      <c r="I193" s="242"/>
    </row>
    <row r="194" spans="1:9" x14ac:dyDescent="0.25">
      <c r="A194" s="108"/>
      <c r="B194" s="242"/>
      <c r="C194" s="242"/>
      <c r="D194" s="242"/>
      <c r="E194" s="77"/>
      <c r="F194" s="78"/>
      <c r="G194" s="80"/>
      <c r="H194" s="79"/>
      <c r="I194" s="242"/>
    </row>
    <row r="195" spans="1:9" x14ac:dyDescent="0.25">
      <c r="A195" s="108"/>
      <c r="B195" s="242"/>
      <c r="C195" s="242"/>
      <c r="D195" s="242"/>
      <c r="E195" s="77"/>
      <c r="F195" s="78"/>
      <c r="G195" s="80"/>
      <c r="H195" s="79"/>
      <c r="I195" s="242"/>
    </row>
    <row r="196" spans="1:9" x14ac:dyDescent="0.25">
      <c r="A196" s="108"/>
      <c r="B196" s="242"/>
      <c r="C196" s="242"/>
      <c r="D196" s="242"/>
      <c r="E196" s="77"/>
      <c r="F196" s="78"/>
      <c r="G196" s="80"/>
      <c r="H196" s="79"/>
      <c r="I196" s="242"/>
    </row>
    <row r="197" spans="1:9" x14ac:dyDescent="0.25">
      <c r="A197" s="108"/>
      <c r="B197" s="242"/>
      <c r="C197" s="242"/>
      <c r="D197" s="242"/>
      <c r="E197" s="77"/>
      <c r="F197" s="78"/>
      <c r="G197" s="80"/>
      <c r="H197" s="79"/>
      <c r="I197" s="242"/>
    </row>
    <row r="198" spans="1:9" x14ac:dyDescent="0.25">
      <c r="A198" s="108"/>
      <c r="B198" s="242"/>
      <c r="C198" s="242"/>
      <c r="D198" s="242"/>
      <c r="E198" s="77"/>
      <c r="F198" s="78"/>
      <c r="G198" s="80"/>
      <c r="H198" s="79"/>
      <c r="I198" s="242"/>
    </row>
    <row r="199" spans="1:9" x14ac:dyDescent="0.25">
      <c r="A199" s="108"/>
      <c r="B199" s="242"/>
      <c r="C199" s="242"/>
      <c r="D199" s="242"/>
      <c r="E199" s="77"/>
      <c r="F199" s="78"/>
      <c r="G199" s="80"/>
      <c r="H199" s="79"/>
      <c r="I199" s="242"/>
    </row>
    <row r="200" spans="1:9" x14ac:dyDescent="0.25">
      <c r="A200" s="108"/>
      <c r="B200" s="242"/>
      <c r="C200" s="242"/>
      <c r="D200" s="242"/>
      <c r="E200" s="77"/>
      <c r="F200" s="78"/>
      <c r="G200" s="80"/>
      <c r="H200" s="79"/>
      <c r="I200" s="242"/>
    </row>
    <row r="201" spans="1:9" x14ac:dyDescent="0.25">
      <c r="A201" s="108"/>
      <c r="B201" s="242"/>
      <c r="C201" s="242"/>
      <c r="D201" s="242"/>
      <c r="E201" s="77"/>
      <c r="F201" s="78"/>
      <c r="G201" s="80"/>
      <c r="H201" s="79"/>
      <c r="I201" s="242"/>
    </row>
    <row r="202" spans="1:9" x14ac:dyDescent="0.25">
      <c r="A202" s="108"/>
      <c r="B202" s="242"/>
      <c r="C202" s="242"/>
      <c r="D202" s="242"/>
      <c r="E202" s="77"/>
      <c r="F202" s="78"/>
      <c r="G202" s="80"/>
      <c r="H202" s="79"/>
      <c r="I202" s="242"/>
    </row>
    <row r="203" spans="1:9" x14ac:dyDescent="0.25">
      <c r="A203" s="108"/>
      <c r="B203" s="242"/>
      <c r="C203" s="242"/>
      <c r="D203" s="242"/>
      <c r="E203" s="77"/>
      <c r="F203" s="78"/>
      <c r="G203" s="80"/>
      <c r="H203" s="79"/>
      <c r="I203" s="242"/>
    </row>
    <row r="204" spans="1:9" x14ac:dyDescent="0.25">
      <c r="A204" s="108"/>
      <c r="B204" s="242"/>
      <c r="C204" s="242"/>
      <c r="D204" s="242"/>
      <c r="E204" s="77"/>
      <c r="F204" s="78"/>
      <c r="G204" s="80"/>
      <c r="H204" s="79"/>
      <c r="I204" s="242"/>
    </row>
    <row r="205" spans="1:9" x14ac:dyDescent="0.25">
      <c r="A205" s="108"/>
      <c r="B205" s="242"/>
      <c r="C205" s="242"/>
      <c r="D205" s="242"/>
      <c r="E205" s="77"/>
      <c r="F205" s="78"/>
      <c r="G205" s="80"/>
      <c r="H205" s="79"/>
      <c r="I205" s="242"/>
    </row>
    <row r="206" spans="1:9" x14ac:dyDescent="0.25">
      <c r="A206" s="108"/>
      <c r="B206" s="242"/>
      <c r="C206" s="242"/>
      <c r="D206" s="242"/>
      <c r="E206" s="77"/>
      <c r="F206" s="78"/>
      <c r="G206" s="80"/>
      <c r="H206" s="79"/>
      <c r="I206" s="242"/>
    </row>
    <row r="207" spans="1:9" x14ac:dyDescent="0.25">
      <c r="A207" s="108"/>
      <c r="B207" s="242"/>
      <c r="C207" s="242"/>
      <c r="D207" s="242"/>
      <c r="E207" s="77"/>
      <c r="F207" s="78"/>
      <c r="G207" s="80"/>
      <c r="H207" s="79"/>
      <c r="I207" s="242"/>
    </row>
    <row r="208" spans="1:9" x14ac:dyDescent="0.25">
      <c r="A208" s="108"/>
      <c r="B208" s="242"/>
      <c r="C208" s="242"/>
      <c r="D208" s="242"/>
      <c r="E208" s="77"/>
      <c r="F208" s="78"/>
      <c r="G208" s="80"/>
      <c r="H208" s="79"/>
      <c r="I208" s="242"/>
    </row>
    <row r="209" spans="1:9" x14ac:dyDescent="0.25">
      <c r="A209" s="108"/>
      <c r="B209" s="242"/>
      <c r="C209" s="242"/>
      <c r="D209" s="242"/>
      <c r="E209" s="77"/>
      <c r="F209" s="78"/>
      <c r="G209" s="80"/>
      <c r="H209" s="79"/>
      <c r="I209" s="242"/>
    </row>
    <row r="210" spans="1:9" x14ac:dyDescent="0.25">
      <c r="A210" s="108"/>
      <c r="B210" s="242"/>
      <c r="C210" s="242"/>
      <c r="D210" s="242"/>
      <c r="E210" s="77"/>
      <c r="F210" s="78"/>
      <c r="G210" s="80"/>
      <c r="H210" s="79"/>
      <c r="I210" s="242"/>
    </row>
    <row r="211" spans="1:9" x14ac:dyDescent="0.25">
      <c r="A211" s="108"/>
      <c r="B211" s="242"/>
      <c r="C211" s="242"/>
      <c r="D211" s="242"/>
      <c r="E211" s="77"/>
      <c r="F211" s="78"/>
      <c r="G211" s="80"/>
      <c r="H211" s="79"/>
      <c r="I211" s="242"/>
    </row>
    <row r="212" spans="1:9" x14ac:dyDescent="0.25">
      <c r="A212" s="108"/>
      <c r="B212" s="242"/>
      <c r="C212" s="242"/>
      <c r="D212" s="242"/>
      <c r="E212" s="77"/>
      <c r="F212" s="78"/>
      <c r="G212" s="80"/>
      <c r="H212" s="79"/>
      <c r="I212" s="242"/>
    </row>
    <row r="213" spans="1:9" x14ac:dyDescent="0.25">
      <c r="A213" s="108"/>
      <c r="B213" s="242"/>
      <c r="C213" s="242"/>
      <c r="D213" s="242"/>
      <c r="E213" s="77"/>
      <c r="F213" s="78"/>
      <c r="G213" s="80"/>
      <c r="H213" s="79"/>
      <c r="I213" s="242"/>
    </row>
    <row r="214" spans="1:9" x14ac:dyDescent="0.25">
      <c r="A214" s="108"/>
      <c r="B214" s="242"/>
      <c r="C214" s="242"/>
      <c r="D214" s="242"/>
      <c r="E214" s="77"/>
      <c r="F214" s="78"/>
      <c r="G214" s="80"/>
      <c r="H214" s="79"/>
      <c r="I214" s="242"/>
    </row>
    <row r="215" spans="1:9" x14ac:dyDescent="0.25">
      <c r="A215" s="108"/>
      <c r="B215" s="242"/>
      <c r="C215" s="242"/>
      <c r="D215" s="242"/>
      <c r="E215" s="77"/>
      <c r="F215" s="78"/>
      <c r="G215" s="80"/>
      <c r="H215" s="79"/>
      <c r="I215" s="242"/>
    </row>
    <row r="216" spans="1:9" x14ac:dyDescent="0.25">
      <c r="A216" s="108"/>
      <c r="B216" s="242"/>
      <c r="C216" s="242"/>
      <c r="D216" s="242"/>
      <c r="E216" s="77"/>
      <c r="F216" s="78"/>
      <c r="G216" s="80"/>
      <c r="H216" s="79"/>
      <c r="I216" s="242"/>
    </row>
    <row r="217" spans="1:9" x14ac:dyDescent="0.25">
      <c r="A217" s="108"/>
      <c r="B217" s="242"/>
      <c r="C217" s="242"/>
      <c r="D217" s="242"/>
      <c r="E217" s="77"/>
      <c r="F217" s="78"/>
      <c r="G217" s="80"/>
      <c r="H217" s="79"/>
      <c r="I217" s="242"/>
    </row>
    <row r="218" spans="1:9" x14ac:dyDescent="0.25">
      <c r="A218" s="108"/>
      <c r="B218" s="242"/>
      <c r="C218" s="242"/>
      <c r="D218" s="242"/>
      <c r="E218" s="77"/>
      <c r="F218" s="78"/>
      <c r="G218" s="80"/>
      <c r="H218" s="79"/>
      <c r="I218" s="242"/>
    </row>
    <row r="219" spans="1:9" x14ac:dyDescent="0.25">
      <c r="A219" s="108"/>
      <c r="B219" s="242"/>
      <c r="C219" s="242"/>
      <c r="D219" s="242"/>
      <c r="E219" s="77"/>
      <c r="F219" s="78"/>
      <c r="G219" s="80"/>
      <c r="H219" s="79"/>
      <c r="I219" s="242"/>
    </row>
    <row r="220" spans="1:9" x14ac:dyDescent="0.25">
      <c r="A220" s="108"/>
      <c r="B220" s="242"/>
      <c r="C220" s="242"/>
      <c r="D220" s="242"/>
      <c r="E220" s="77"/>
      <c r="F220" s="78"/>
      <c r="G220" s="80"/>
      <c r="H220" s="79"/>
      <c r="I220" s="242"/>
    </row>
    <row r="221" spans="1:9" x14ac:dyDescent="0.25">
      <c r="A221" s="108"/>
      <c r="B221" s="242"/>
      <c r="C221" s="242"/>
      <c r="D221" s="242"/>
      <c r="E221" s="77"/>
      <c r="F221" s="78"/>
      <c r="G221" s="80"/>
      <c r="H221" s="79"/>
      <c r="I221" s="77"/>
    </row>
    <row r="222" spans="1:9" x14ac:dyDescent="0.25">
      <c r="A222" s="108"/>
      <c r="B222" s="242"/>
      <c r="C222" s="242"/>
      <c r="D222" s="242"/>
      <c r="E222" s="77"/>
      <c r="F222" s="78"/>
      <c r="G222" s="80"/>
      <c r="H222" s="79"/>
      <c r="I222" s="77"/>
    </row>
    <row r="223" spans="1:9" x14ac:dyDescent="0.25">
      <c r="A223" s="108"/>
      <c r="B223" s="242"/>
      <c r="C223" s="242"/>
      <c r="D223" s="242"/>
      <c r="E223" s="77"/>
      <c r="F223" s="78"/>
      <c r="G223" s="80"/>
      <c r="H223" s="79"/>
      <c r="I223" s="77"/>
    </row>
    <row r="224" spans="1:9" x14ac:dyDescent="0.25">
      <c r="A224" s="108"/>
      <c r="B224" s="242"/>
      <c r="C224" s="242"/>
      <c r="D224" s="242"/>
      <c r="E224" s="77"/>
      <c r="F224" s="78"/>
      <c r="G224" s="80"/>
      <c r="H224" s="79"/>
      <c r="I224" s="77"/>
    </row>
    <row r="225" spans="1:9" x14ac:dyDescent="0.25">
      <c r="A225" s="108"/>
      <c r="B225" s="242"/>
      <c r="C225" s="242"/>
      <c r="D225" s="242"/>
      <c r="E225" s="77"/>
      <c r="F225" s="78"/>
      <c r="G225" s="80"/>
      <c r="H225" s="79"/>
      <c r="I225" s="77"/>
    </row>
    <row r="226" spans="1:9" x14ac:dyDescent="0.25">
      <c r="A226" s="108"/>
      <c r="B226" s="242"/>
      <c r="C226" s="242"/>
      <c r="D226" s="242"/>
      <c r="E226" s="77"/>
      <c r="F226" s="78"/>
      <c r="G226" s="80"/>
      <c r="H226" s="79"/>
      <c r="I226" s="77"/>
    </row>
    <row r="227" spans="1:9" x14ac:dyDescent="0.25">
      <c r="A227" s="108"/>
      <c r="B227" s="242"/>
      <c r="C227" s="242"/>
      <c r="D227" s="242"/>
      <c r="E227" s="77"/>
      <c r="F227" s="78"/>
      <c r="G227" s="80"/>
      <c r="H227" s="79"/>
      <c r="I227" s="77"/>
    </row>
    <row r="228" spans="1:9" x14ac:dyDescent="0.25">
      <c r="A228" s="108"/>
      <c r="B228" s="242"/>
      <c r="C228" s="242"/>
      <c r="D228" s="242"/>
      <c r="E228" s="77"/>
      <c r="F228" s="78"/>
      <c r="G228" s="80"/>
      <c r="H228" s="79"/>
      <c r="I228" s="77"/>
    </row>
    <row r="229" spans="1:9" x14ac:dyDescent="0.25">
      <c r="A229" s="108"/>
      <c r="B229" s="242"/>
      <c r="C229" s="242"/>
      <c r="D229" s="242"/>
      <c r="E229" s="77"/>
      <c r="F229" s="78"/>
      <c r="G229" s="80"/>
      <c r="H229" s="79"/>
      <c r="I229" s="77"/>
    </row>
    <row r="230" spans="1:9" x14ac:dyDescent="0.25">
      <c r="A230" s="108"/>
      <c r="B230" s="242"/>
      <c r="C230" s="242"/>
      <c r="D230" s="242"/>
      <c r="E230" s="77"/>
      <c r="F230" s="78"/>
      <c r="G230" s="80"/>
      <c r="H230" s="79"/>
      <c r="I230" s="77"/>
    </row>
    <row r="231" spans="1:9" x14ac:dyDescent="0.25">
      <c r="A231" s="108"/>
      <c r="B231" s="242"/>
      <c r="C231" s="242"/>
      <c r="D231" s="242"/>
      <c r="E231" s="77"/>
      <c r="F231" s="78"/>
      <c r="G231" s="80"/>
      <c r="H231" s="79"/>
      <c r="I231" s="77"/>
    </row>
    <row r="232" spans="1:9" x14ac:dyDescent="0.25">
      <c r="A232" s="108"/>
      <c r="B232" s="242"/>
      <c r="C232" s="242"/>
      <c r="D232" s="242"/>
      <c r="E232" s="77"/>
      <c r="F232" s="78"/>
      <c r="G232" s="80"/>
      <c r="H232" s="79"/>
      <c r="I232" s="77"/>
    </row>
    <row r="233" spans="1:9" x14ac:dyDescent="0.25">
      <c r="A233" s="108"/>
      <c r="B233" s="242"/>
      <c r="C233" s="242"/>
      <c r="D233" s="242"/>
      <c r="E233" s="77"/>
      <c r="F233" s="78"/>
      <c r="G233" s="80"/>
      <c r="H233" s="79"/>
      <c r="I233" s="77"/>
    </row>
    <row r="234" spans="1:9" x14ac:dyDescent="0.25">
      <c r="A234" s="108"/>
      <c r="B234" s="242"/>
      <c r="C234" s="242"/>
      <c r="D234" s="242"/>
      <c r="E234" s="77"/>
      <c r="F234" s="78"/>
      <c r="G234" s="80"/>
      <c r="H234" s="79"/>
      <c r="I234" s="77"/>
    </row>
    <row r="235" spans="1:9" x14ac:dyDescent="0.25">
      <c r="A235" s="108"/>
      <c r="B235" s="242"/>
      <c r="C235" s="242"/>
      <c r="D235" s="242"/>
      <c r="E235" s="77"/>
      <c r="F235" s="78"/>
      <c r="G235" s="80"/>
      <c r="H235" s="79"/>
      <c r="I235" s="77"/>
    </row>
    <row r="236" spans="1:9" x14ac:dyDescent="0.25">
      <c r="A236" s="108"/>
      <c r="B236" s="242"/>
      <c r="C236" s="242"/>
      <c r="D236" s="242"/>
      <c r="E236" s="77"/>
      <c r="F236" s="78"/>
      <c r="G236" s="80"/>
      <c r="H236" s="79"/>
      <c r="I236" s="77"/>
    </row>
    <row r="237" spans="1:9" x14ac:dyDescent="0.25">
      <c r="A237" s="108"/>
      <c r="B237" s="242"/>
      <c r="C237" s="242"/>
      <c r="D237" s="242"/>
      <c r="E237" s="77"/>
      <c r="F237" s="78"/>
      <c r="G237" s="80"/>
      <c r="H237" s="79"/>
      <c r="I237" s="77"/>
    </row>
    <row r="238" spans="1:9" x14ac:dyDescent="0.25">
      <c r="A238" s="108"/>
      <c r="B238" s="242"/>
      <c r="C238" s="242"/>
      <c r="D238" s="242"/>
      <c r="E238" s="77"/>
      <c r="F238" s="78"/>
      <c r="G238" s="80"/>
      <c r="H238" s="79"/>
      <c r="I238" s="77"/>
    </row>
    <row r="239" spans="1:9" x14ac:dyDescent="0.25">
      <c r="A239" s="108"/>
      <c r="B239" s="242"/>
      <c r="C239" s="242"/>
      <c r="D239" s="242"/>
      <c r="E239" s="77"/>
      <c r="F239" s="78"/>
      <c r="G239" s="80"/>
      <c r="H239" s="79"/>
      <c r="I239" s="77"/>
    </row>
    <row r="240" spans="1:9" x14ac:dyDescent="0.25">
      <c r="A240" s="108"/>
      <c r="B240" s="242"/>
      <c r="C240" s="242"/>
      <c r="D240" s="242"/>
      <c r="E240" s="77"/>
      <c r="F240" s="78"/>
      <c r="G240" s="80"/>
      <c r="H240" s="79"/>
      <c r="I240" s="77"/>
    </row>
    <row r="241" spans="1:9" x14ac:dyDescent="0.25">
      <c r="A241" s="108"/>
      <c r="B241" s="242"/>
      <c r="C241" s="242"/>
      <c r="D241" s="242"/>
      <c r="E241" s="77"/>
      <c r="F241" s="78"/>
      <c r="G241" s="80"/>
      <c r="H241" s="79"/>
      <c r="I241" s="77"/>
    </row>
    <row r="242" spans="1:9" x14ac:dyDescent="0.25">
      <c r="A242" s="108"/>
      <c r="B242" s="242"/>
      <c r="C242" s="242"/>
      <c r="D242" s="242"/>
      <c r="E242" s="77"/>
      <c r="F242" s="78"/>
      <c r="G242" s="80"/>
      <c r="H242" s="79"/>
      <c r="I242" s="77"/>
    </row>
    <row r="243" spans="1:9" x14ac:dyDescent="0.25">
      <c r="A243" s="108"/>
      <c r="B243" s="242"/>
      <c r="C243" s="242"/>
      <c r="D243" s="242"/>
      <c r="E243" s="77"/>
      <c r="F243" s="78"/>
      <c r="G243" s="80"/>
      <c r="H243" s="79"/>
      <c r="I243" s="77"/>
    </row>
    <row r="244" spans="1:9" x14ac:dyDescent="0.25">
      <c r="A244" s="108"/>
      <c r="B244" s="242"/>
      <c r="C244" s="242"/>
      <c r="D244" s="242"/>
      <c r="E244" s="77"/>
      <c r="F244" s="78"/>
      <c r="G244" s="80"/>
      <c r="H244" s="79"/>
      <c r="I244" s="77"/>
    </row>
    <row r="245" spans="1:9" x14ac:dyDescent="0.25">
      <c r="A245" s="108"/>
      <c r="B245" s="242"/>
      <c r="C245" s="242"/>
      <c r="D245" s="242"/>
      <c r="E245" s="77"/>
      <c r="F245" s="78"/>
      <c r="G245" s="80"/>
      <c r="H245" s="79"/>
      <c r="I245" s="77"/>
    </row>
    <row r="246" spans="1:9" x14ac:dyDescent="0.25">
      <c r="A246" s="108"/>
      <c r="B246" s="242"/>
      <c r="C246" s="242"/>
      <c r="D246" s="242"/>
      <c r="E246" s="77"/>
      <c r="F246" s="78"/>
      <c r="G246" s="80"/>
      <c r="H246" s="79"/>
      <c r="I246" s="77"/>
    </row>
    <row r="247" spans="1:9" x14ac:dyDescent="0.25">
      <c r="A247" s="108"/>
      <c r="B247" s="242"/>
      <c r="C247" s="242"/>
      <c r="D247" s="242"/>
      <c r="E247" s="77"/>
      <c r="F247" s="78"/>
      <c r="G247" s="80"/>
      <c r="H247" s="79"/>
      <c r="I247" s="77"/>
    </row>
    <row r="248" spans="1:9" x14ac:dyDescent="0.25">
      <c r="A248" s="108"/>
      <c r="B248" s="242"/>
      <c r="C248" s="242"/>
      <c r="D248" s="242"/>
      <c r="E248" s="77"/>
      <c r="F248" s="78"/>
      <c r="G248" s="80"/>
      <c r="H248" s="79"/>
      <c r="I248" s="77"/>
    </row>
    <row r="249" spans="1:9" x14ac:dyDescent="0.25">
      <c r="A249" s="108"/>
      <c r="B249" s="242"/>
      <c r="C249" s="242"/>
      <c r="D249" s="242"/>
      <c r="E249" s="77"/>
      <c r="F249" s="78"/>
      <c r="G249" s="80"/>
      <c r="H249" s="79"/>
      <c r="I249" s="77"/>
    </row>
    <row r="250" spans="1:9" x14ac:dyDescent="0.25">
      <c r="A250" s="108"/>
      <c r="B250" s="242"/>
      <c r="C250" s="242"/>
      <c r="D250" s="242"/>
      <c r="E250" s="77"/>
      <c r="F250" s="78"/>
      <c r="G250" s="80"/>
      <c r="H250" s="79"/>
      <c r="I250" s="77"/>
    </row>
    <row r="251" spans="1:9" x14ac:dyDescent="0.25">
      <c r="A251" s="108"/>
      <c r="B251" s="242"/>
      <c r="C251" s="242"/>
      <c r="D251" s="242"/>
      <c r="E251" s="77"/>
      <c r="F251" s="78"/>
      <c r="G251" s="80"/>
      <c r="H251" s="79"/>
      <c r="I251" s="77"/>
    </row>
    <row r="252" spans="1:9" x14ac:dyDescent="0.25">
      <c r="A252" s="108"/>
      <c r="B252" s="242"/>
      <c r="C252" s="242"/>
      <c r="D252" s="242"/>
      <c r="E252" s="77"/>
      <c r="F252" s="78"/>
      <c r="G252" s="80"/>
      <c r="H252" s="79"/>
      <c r="I252" s="77"/>
    </row>
    <row r="253" spans="1:9" x14ac:dyDescent="0.25">
      <c r="A253" s="108"/>
      <c r="B253" s="242"/>
      <c r="C253" s="242"/>
      <c r="D253" s="242"/>
      <c r="E253" s="77"/>
      <c r="F253" s="78"/>
      <c r="G253" s="80"/>
      <c r="H253" s="79"/>
      <c r="I253" s="77"/>
    </row>
    <row r="254" spans="1:9" x14ac:dyDescent="0.25">
      <c r="A254" s="108"/>
      <c r="B254" s="242"/>
      <c r="C254" s="242"/>
      <c r="D254" s="242"/>
      <c r="E254" s="77"/>
      <c r="F254" s="78"/>
      <c r="G254" s="80"/>
      <c r="H254" s="79"/>
      <c r="I254" s="77"/>
    </row>
    <row r="255" spans="1:9" x14ac:dyDescent="0.25">
      <c r="A255" s="108"/>
      <c r="B255" s="242"/>
      <c r="C255" s="242"/>
      <c r="D255" s="242"/>
      <c r="E255" s="77"/>
      <c r="F255" s="78"/>
      <c r="G255" s="80"/>
      <c r="H255" s="79"/>
      <c r="I255" s="77"/>
    </row>
    <row r="256" spans="1:9" x14ac:dyDescent="0.25">
      <c r="A256" s="108"/>
      <c r="B256" s="242"/>
      <c r="C256" s="242"/>
      <c r="D256" s="242"/>
      <c r="E256" s="77"/>
      <c r="F256" s="78"/>
      <c r="G256" s="80"/>
      <c r="H256" s="79"/>
      <c r="I256" s="77"/>
    </row>
    <row r="257" spans="1:9" x14ac:dyDescent="0.25">
      <c r="A257" s="108"/>
      <c r="B257" s="242"/>
      <c r="C257" s="242"/>
      <c r="D257" s="242"/>
      <c r="E257" s="77"/>
      <c r="F257" s="78"/>
      <c r="G257" s="80"/>
      <c r="H257" s="79"/>
      <c r="I257" s="77"/>
    </row>
    <row r="258" spans="1:9" x14ac:dyDescent="0.25">
      <c r="A258" s="108"/>
      <c r="B258" s="242"/>
      <c r="C258" s="242"/>
      <c r="D258" s="242"/>
      <c r="E258" s="77"/>
      <c r="F258" s="78"/>
      <c r="G258" s="80"/>
      <c r="H258" s="79"/>
      <c r="I258" s="77"/>
    </row>
    <row r="259" spans="1:9" x14ac:dyDescent="0.25">
      <c r="A259" s="108"/>
      <c r="B259" s="242"/>
      <c r="C259" s="242"/>
      <c r="D259" s="242"/>
      <c r="E259" s="77"/>
      <c r="F259" s="78"/>
      <c r="G259" s="80"/>
      <c r="H259" s="79"/>
      <c r="I259" s="77"/>
    </row>
    <row r="260" spans="1:9" x14ac:dyDescent="0.25">
      <c r="A260" s="108"/>
      <c r="B260" s="242"/>
      <c r="C260" s="242"/>
      <c r="D260" s="242"/>
      <c r="E260" s="77"/>
      <c r="F260" s="78"/>
      <c r="G260" s="80"/>
      <c r="H260" s="79"/>
      <c r="I260" s="77"/>
    </row>
    <row r="261" spans="1:9" x14ac:dyDescent="0.25">
      <c r="A261" s="108"/>
      <c r="B261" s="242"/>
      <c r="C261" s="242"/>
      <c r="D261" s="242"/>
      <c r="E261" s="77"/>
      <c r="F261" s="78"/>
      <c r="G261" s="80"/>
      <c r="H261" s="79"/>
      <c r="I261" s="77"/>
    </row>
    <row r="262" spans="1:9" x14ac:dyDescent="0.25">
      <c r="A262" s="108"/>
      <c r="B262" s="242"/>
      <c r="C262" s="242"/>
      <c r="D262" s="242"/>
      <c r="E262" s="77"/>
      <c r="F262" s="78"/>
      <c r="G262" s="80"/>
      <c r="H262" s="79"/>
      <c r="I262" s="77"/>
    </row>
    <row r="263" spans="1:9" x14ac:dyDescent="0.25">
      <c r="A263" s="108"/>
      <c r="B263" s="242"/>
      <c r="C263" s="242"/>
      <c r="D263" s="242"/>
      <c r="E263" s="77"/>
      <c r="F263" s="78"/>
      <c r="G263" s="80"/>
      <c r="H263" s="79"/>
      <c r="I263" s="77"/>
    </row>
    <row r="264" spans="1:9" x14ac:dyDescent="0.25">
      <c r="A264" s="108"/>
      <c r="B264" s="242"/>
      <c r="C264" s="242"/>
      <c r="D264" s="242"/>
      <c r="E264" s="77"/>
      <c r="F264" s="78"/>
      <c r="G264" s="80"/>
      <c r="H264" s="79"/>
      <c r="I264" s="77"/>
    </row>
    <row r="265" spans="1:9" x14ac:dyDescent="0.25">
      <c r="A265" s="108"/>
      <c r="B265" s="242"/>
      <c r="C265" s="242"/>
      <c r="D265" s="242"/>
      <c r="E265" s="77"/>
      <c r="F265" s="78"/>
      <c r="G265" s="80"/>
      <c r="H265" s="79"/>
      <c r="I265" s="77"/>
    </row>
    <row r="266" spans="1:9" x14ac:dyDescent="0.25">
      <c r="A266" s="108"/>
      <c r="B266" s="242"/>
      <c r="C266" s="242"/>
      <c r="D266" s="242"/>
      <c r="E266" s="77"/>
      <c r="F266" s="78"/>
      <c r="G266" s="80"/>
      <c r="H266" s="79"/>
      <c r="I266" s="77"/>
    </row>
    <row r="267" spans="1:9" x14ac:dyDescent="0.25">
      <c r="A267" s="108"/>
      <c r="B267" s="242"/>
      <c r="C267" s="242"/>
      <c r="D267" s="242"/>
      <c r="E267" s="77"/>
      <c r="F267" s="78"/>
      <c r="G267" s="80"/>
      <c r="H267" s="79"/>
      <c r="I267" s="77"/>
    </row>
    <row r="268" spans="1:9" x14ac:dyDescent="0.25">
      <c r="A268" s="108"/>
      <c r="B268" s="242"/>
      <c r="C268" s="242"/>
      <c r="D268" s="242"/>
      <c r="E268" s="77"/>
      <c r="F268" s="78"/>
      <c r="G268" s="80"/>
      <c r="H268" s="79"/>
      <c r="I268" s="77"/>
    </row>
    <row r="269" spans="1:9" x14ac:dyDescent="0.25">
      <c r="A269" s="108"/>
      <c r="B269" s="242"/>
      <c r="C269" s="242"/>
      <c r="D269" s="242"/>
      <c r="E269" s="77"/>
      <c r="F269" s="78"/>
      <c r="G269" s="80"/>
      <c r="H269" s="79"/>
      <c r="I269" s="77"/>
    </row>
    <row r="270" spans="1:9" x14ac:dyDescent="0.25">
      <c r="A270" s="108"/>
      <c r="B270" s="242"/>
      <c r="C270" s="242"/>
      <c r="D270" s="242"/>
      <c r="E270" s="77"/>
      <c r="F270" s="78"/>
      <c r="G270" s="80"/>
      <c r="H270" s="79"/>
      <c r="I270" s="77"/>
    </row>
    <row r="271" spans="1:9" x14ac:dyDescent="0.25">
      <c r="A271" s="108"/>
      <c r="B271" s="242"/>
      <c r="C271" s="242"/>
      <c r="D271" s="242"/>
      <c r="E271" s="77"/>
      <c r="F271" s="78"/>
      <c r="G271" s="80"/>
      <c r="H271" s="79"/>
      <c r="I271" s="77"/>
    </row>
    <row r="272" spans="1:9" x14ac:dyDescent="0.25">
      <c r="A272" s="108"/>
      <c r="B272" s="242"/>
      <c r="C272" s="242"/>
      <c r="D272" s="242"/>
      <c r="E272" s="77"/>
      <c r="F272" s="78"/>
      <c r="G272" s="80"/>
      <c r="H272" s="79"/>
      <c r="I272" s="77"/>
    </row>
    <row r="273" spans="1:9" x14ac:dyDescent="0.25">
      <c r="A273" s="108"/>
      <c r="B273" s="242"/>
      <c r="C273" s="242"/>
      <c r="D273" s="242"/>
      <c r="E273" s="77"/>
      <c r="F273" s="78"/>
      <c r="G273" s="80"/>
      <c r="H273" s="79"/>
      <c r="I273" s="77"/>
    </row>
    <row r="274" spans="1:9" x14ac:dyDescent="0.25">
      <c r="A274" s="108"/>
      <c r="B274" s="242"/>
      <c r="C274" s="242"/>
      <c r="D274" s="242"/>
      <c r="E274" s="77"/>
      <c r="F274" s="78"/>
      <c r="G274" s="80"/>
      <c r="H274" s="79"/>
      <c r="I274" s="77"/>
    </row>
    <row r="275" spans="1:9" x14ac:dyDescent="0.25">
      <c r="A275" s="108"/>
      <c r="B275" s="242"/>
      <c r="C275" s="242"/>
      <c r="D275" s="242"/>
      <c r="E275" s="77"/>
      <c r="F275" s="78"/>
      <c r="G275" s="80"/>
      <c r="H275" s="79"/>
      <c r="I275" s="77"/>
    </row>
    <row r="276" spans="1:9" x14ac:dyDescent="0.25">
      <c r="A276" s="108"/>
      <c r="B276" s="242"/>
      <c r="C276" s="242"/>
      <c r="D276" s="242"/>
      <c r="E276" s="77"/>
      <c r="F276" s="78"/>
      <c r="G276" s="80"/>
      <c r="H276" s="79"/>
      <c r="I276" s="77"/>
    </row>
    <row r="277" spans="1:9" x14ac:dyDescent="0.25">
      <c r="A277" s="108"/>
      <c r="B277" s="242"/>
      <c r="C277" s="242"/>
      <c r="D277" s="242"/>
      <c r="E277" s="77"/>
      <c r="F277" s="78"/>
      <c r="G277" s="80"/>
      <c r="H277" s="79"/>
      <c r="I277" s="77"/>
    </row>
    <row r="278" spans="1:9" x14ac:dyDescent="0.25">
      <c r="A278" s="108"/>
      <c r="B278" s="242"/>
      <c r="C278" s="242"/>
      <c r="D278" s="242"/>
      <c r="E278" s="77"/>
      <c r="F278" s="78"/>
      <c r="G278" s="80"/>
      <c r="H278" s="79"/>
      <c r="I278" s="77"/>
    </row>
    <row r="279" spans="1:9" x14ac:dyDescent="0.25">
      <c r="A279" s="108"/>
      <c r="B279" s="242"/>
      <c r="C279" s="242"/>
      <c r="D279" s="242"/>
      <c r="E279" s="77"/>
      <c r="F279" s="78"/>
      <c r="G279" s="80"/>
      <c r="H279" s="79"/>
      <c r="I279" s="77"/>
    </row>
    <row r="280" spans="1:9" x14ac:dyDescent="0.25">
      <c r="A280" s="108"/>
      <c r="B280" s="242"/>
      <c r="C280" s="242"/>
      <c r="D280" s="242"/>
      <c r="E280" s="77"/>
      <c r="F280" s="78"/>
      <c r="G280" s="80"/>
      <c r="H280" s="79"/>
      <c r="I280" s="77"/>
    </row>
    <row r="281" spans="1:9" x14ac:dyDescent="0.25">
      <c r="A281" s="108"/>
      <c r="B281" s="242"/>
      <c r="C281" s="242"/>
      <c r="D281" s="242"/>
      <c r="E281" s="77"/>
      <c r="F281" s="78"/>
      <c r="G281" s="80"/>
      <c r="H281" s="79"/>
      <c r="I281" s="77"/>
    </row>
    <row r="282" spans="1:9" x14ac:dyDescent="0.25">
      <c r="A282" s="108"/>
      <c r="B282" s="242"/>
      <c r="C282" s="242"/>
      <c r="D282" s="242"/>
      <c r="E282" s="77"/>
      <c r="F282" s="78"/>
      <c r="G282" s="80"/>
      <c r="H282" s="79"/>
      <c r="I282" s="77"/>
    </row>
    <row r="283" spans="1:9" x14ac:dyDescent="0.25">
      <c r="A283" s="108"/>
      <c r="B283" s="242"/>
      <c r="C283" s="242"/>
      <c r="D283" s="242"/>
      <c r="E283" s="77"/>
      <c r="F283" s="78"/>
      <c r="G283" s="80"/>
      <c r="H283" s="79"/>
      <c r="I283" s="77"/>
    </row>
    <row r="284" spans="1:9" x14ac:dyDescent="0.25">
      <c r="A284" s="108"/>
      <c r="B284" s="242"/>
      <c r="C284" s="242"/>
      <c r="D284" s="242"/>
      <c r="E284" s="77"/>
      <c r="F284" s="78"/>
      <c r="G284" s="80"/>
      <c r="H284" s="79"/>
      <c r="I284" s="77"/>
    </row>
    <row r="285" spans="1:9" x14ac:dyDescent="0.25">
      <c r="A285" s="108"/>
      <c r="B285" s="242"/>
      <c r="C285" s="242"/>
      <c r="D285" s="242"/>
      <c r="E285" s="77"/>
      <c r="F285" s="78"/>
      <c r="G285" s="80"/>
      <c r="H285" s="79"/>
      <c r="I285" s="77"/>
    </row>
    <row r="286" spans="1:9" x14ac:dyDescent="0.25">
      <c r="A286" s="108"/>
      <c r="B286" s="242"/>
      <c r="C286" s="242"/>
      <c r="D286" s="242"/>
      <c r="E286" s="77"/>
      <c r="F286" s="78"/>
      <c r="G286" s="80"/>
      <c r="H286" s="79"/>
      <c r="I286" s="77"/>
    </row>
    <row r="287" spans="1:9" x14ac:dyDescent="0.25">
      <c r="A287" s="108"/>
      <c r="B287" s="242"/>
      <c r="C287" s="242"/>
      <c r="D287" s="242"/>
      <c r="E287" s="77"/>
      <c r="F287" s="78"/>
      <c r="G287" s="80"/>
      <c r="H287" s="79"/>
      <c r="I287" s="77"/>
    </row>
    <row r="288" spans="1:9" x14ac:dyDescent="0.25">
      <c r="A288" s="108"/>
      <c r="B288" s="242"/>
      <c r="C288" s="242"/>
      <c r="D288" s="242"/>
      <c r="E288" s="77"/>
      <c r="F288" s="78"/>
      <c r="G288" s="80"/>
      <c r="H288" s="79"/>
      <c r="I288" s="77"/>
    </row>
    <row r="289" spans="1:9" x14ac:dyDescent="0.25">
      <c r="A289" s="108"/>
      <c r="B289" s="242"/>
      <c r="C289" s="242"/>
      <c r="D289" s="242"/>
      <c r="E289" s="77"/>
      <c r="F289" s="78"/>
      <c r="G289" s="80"/>
      <c r="H289" s="79"/>
      <c r="I289" s="77"/>
    </row>
    <row r="290" spans="1:9" x14ac:dyDescent="0.25">
      <c r="A290" s="108"/>
      <c r="B290" s="242"/>
      <c r="C290" s="242"/>
      <c r="D290" s="242"/>
      <c r="E290" s="77"/>
      <c r="F290" s="78"/>
      <c r="G290" s="80"/>
      <c r="H290" s="79"/>
      <c r="I290" s="77"/>
    </row>
    <row r="291" spans="1:9" x14ac:dyDescent="0.25">
      <c r="A291" s="108"/>
      <c r="B291" s="242"/>
      <c r="C291" s="242"/>
      <c r="D291" s="242"/>
      <c r="E291" s="77"/>
      <c r="F291" s="78"/>
      <c r="G291" s="80"/>
      <c r="H291" s="79"/>
      <c r="I291" s="77"/>
    </row>
    <row r="292" spans="1:9" x14ac:dyDescent="0.25">
      <c r="A292" s="108"/>
      <c r="B292" s="242"/>
      <c r="C292" s="242"/>
      <c r="D292" s="242"/>
      <c r="E292" s="77"/>
      <c r="F292" s="78"/>
      <c r="G292" s="80"/>
      <c r="H292" s="79"/>
      <c r="I292" s="77"/>
    </row>
    <row r="293" spans="1:9" x14ac:dyDescent="0.25">
      <c r="A293" s="108"/>
      <c r="B293" s="242"/>
      <c r="C293" s="242"/>
      <c r="D293" s="242"/>
      <c r="E293" s="77"/>
      <c r="F293" s="78"/>
      <c r="G293" s="80"/>
      <c r="H293" s="79"/>
      <c r="I293" s="77"/>
    </row>
    <row r="294" spans="1:9" x14ac:dyDescent="0.25">
      <c r="A294" s="108"/>
      <c r="B294" s="242"/>
      <c r="C294" s="242"/>
      <c r="D294" s="242"/>
      <c r="E294" s="77"/>
      <c r="F294" s="78"/>
      <c r="G294" s="80"/>
      <c r="H294" s="79"/>
      <c r="I294" s="77"/>
    </row>
    <row r="295" spans="1:9" x14ac:dyDescent="0.25">
      <c r="A295" s="108"/>
      <c r="B295" s="242"/>
      <c r="C295" s="242"/>
      <c r="D295" s="242"/>
      <c r="E295" s="77"/>
      <c r="F295" s="78"/>
      <c r="G295" s="80"/>
      <c r="H295" s="79"/>
      <c r="I295" s="77"/>
    </row>
    <row r="296" spans="1:9" x14ac:dyDescent="0.25">
      <c r="A296" s="108"/>
      <c r="B296" s="242"/>
      <c r="C296" s="242"/>
      <c r="D296" s="242"/>
      <c r="E296" s="77"/>
      <c r="F296" s="78"/>
      <c r="G296" s="80"/>
      <c r="H296" s="79"/>
      <c r="I296" s="77"/>
    </row>
    <row r="297" spans="1:9" x14ac:dyDescent="0.25">
      <c r="A297" s="108"/>
      <c r="B297" s="242"/>
      <c r="C297" s="242"/>
      <c r="D297" s="242"/>
      <c r="E297" s="77"/>
      <c r="F297" s="78"/>
      <c r="G297" s="80"/>
      <c r="H297" s="79"/>
      <c r="I297" s="77"/>
    </row>
    <row r="298" spans="1:9" x14ac:dyDescent="0.25">
      <c r="A298" s="108"/>
      <c r="B298" s="242"/>
      <c r="C298" s="242"/>
      <c r="D298" s="242"/>
      <c r="E298" s="77"/>
      <c r="F298" s="78"/>
      <c r="G298" s="80"/>
      <c r="H298" s="79"/>
      <c r="I298" s="77"/>
    </row>
    <row r="299" spans="1:9" x14ac:dyDescent="0.25">
      <c r="A299" s="108"/>
      <c r="B299" s="242"/>
      <c r="C299" s="242"/>
      <c r="D299" s="242"/>
      <c r="E299" s="77"/>
      <c r="F299" s="78"/>
      <c r="G299" s="80"/>
      <c r="H299" s="79"/>
      <c r="I299" s="77"/>
    </row>
    <row r="300" spans="1:9" x14ac:dyDescent="0.25">
      <c r="A300" s="108"/>
      <c r="B300" s="242"/>
      <c r="C300" s="242"/>
      <c r="D300" s="242"/>
      <c r="E300" s="77"/>
      <c r="F300" s="78"/>
      <c r="G300" s="80"/>
      <c r="H300" s="79"/>
      <c r="I300" s="77"/>
    </row>
    <row r="301" spans="1:9" x14ac:dyDescent="0.25">
      <c r="A301" s="108"/>
      <c r="B301" s="242"/>
      <c r="C301" s="242"/>
      <c r="D301" s="242"/>
      <c r="E301" s="77"/>
      <c r="F301" s="78"/>
      <c r="G301" s="80"/>
      <c r="H301" s="79"/>
      <c r="I301" s="77"/>
    </row>
    <row r="302" spans="1:9" x14ac:dyDescent="0.25">
      <c r="A302" s="108"/>
      <c r="B302" s="242"/>
      <c r="C302" s="242"/>
      <c r="D302" s="242"/>
      <c r="E302" s="77"/>
      <c r="F302" s="78"/>
      <c r="G302" s="80"/>
      <c r="H302" s="79"/>
      <c r="I302" s="77"/>
    </row>
    <row r="303" spans="1:9" x14ac:dyDescent="0.25">
      <c r="A303" s="108"/>
      <c r="B303" s="242"/>
      <c r="C303" s="242"/>
      <c r="D303" s="242"/>
      <c r="E303" s="77"/>
      <c r="F303" s="78"/>
      <c r="G303" s="80"/>
      <c r="H303" s="79"/>
      <c r="I303" s="77"/>
    </row>
    <row r="304" spans="1:9" x14ac:dyDescent="0.25">
      <c r="A304" s="108"/>
      <c r="B304" s="242"/>
      <c r="C304" s="242"/>
      <c r="D304" s="242"/>
      <c r="E304" s="77"/>
      <c r="F304" s="78"/>
      <c r="G304" s="80"/>
      <c r="H304" s="79"/>
      <c r="I304" s="77"/>
    </row>
    <row r="305" spans="1:9" x14ac:dyDescent="0.25">
      <c r="A305" s="108"/>
      <c r="B305" s="242"/>
      <c r="C305" s="242"/>
      <c r="D305" s="242"/>
      <c r="E305" s="77"/>
      <c r="F305" s="78"/>
      <c r="G305" s="80"/>
      <c r="H305" s="79"/>
      <c r="I305" s="77"/>
    </row>
    <row r="306" spans="1:9" x14ac:dyDescent="0.25">
      <c r="A306" s="108"/>
      <c r="B306" s="242"/>
      <c r="C306" s="242"/>
      <c r="D306" s="242"/>
      <c r="E306" s="77"/>
      <c r="F306" s="78"/>
      <c r="G306" s="80"/>
      <c r="H306" s="79"/>
      <c r="I306" s="77"/>
    </row>
    <row r="307" spans="1:9" x14ac:dyDescent="0.25">
      <c r="A307" s="108"/>
      <c r="B307" s="242"/>
      <c r="C307" s="242"/>
      <c r="D307" s="242"/>
      <c r="E307" s="77"/>
      <c r="F307" s="78"/>
      <c r="G307" s="80"/>
      <c r="H307" s="79"/>
      <c r="I307" s="77"/>
    </row>
    <row r="308" spans="1:9" x14ac:dyDescent="0.25">
      <c r="A308" s="108"/>
      <c r="B308" s="242"/>
      <c r="C308" s="242"/>
      <c r="D308" s="242"/>
      <c r="E308" s="77"/>
      <c r="F308" s="78"/>
      <c r="G308" s="80"/>
      <c r="H308" s="79"/>
      <c r="I308" s="77"/>
    </row>
    <row r="309" spans="1:9" x14ac:dyDescent="0.25">
      <c r="A309" s="108"/>
      <c r="B309" s="242"/>
      <c r="C309" s="242"/>
      <c r="D309" s="242"/>
      <c r="E309" s="77"/>
      <c r="F309" s="78"/>
      <c r="G309" s="80"/>
      <c r="H309" s="79"/>
      <c r="I309" s="77"/>
    </row>
    <row r="310" spans="1:9" x14ac:dyDescent="0.25">
      <c r="A310" s="108"/>
      <c r="B310" s="242"/>
      <c r="C310" s="242"/>
      <c r="D310" s="242"/>
      <c r="E310" s="77"/>
      <c r="F310" s="78"/>
      <c r="G310" s="80"/>
      <c r="H310" s="79"/>
      <c r="I310" s="77"/>
    </row>
    <row r="311" spans="1:9" x14ac:dyDescent="0.25">
      <c r="A311" s="108"/>
      <c r="B311" s="242"/>
      <c r="C311" s="242"/>
      <c r="D311" s="242"/>
      <c r="E311" s="77"/>
      <c r="F311" s="78"/>
      <c r="G311" s="80"/>
      <c r="H311" s="79"/>
      <c r="I311" s="77"/>
    </row>
    <row r="312" spans="1:9" x14ac:dyDescent="0.25">
      <c r="A312" s="108"/>
      <c r="B312" s="242"/>
      <c r="C312" s="242"/>
      <c r="D312" s="242"/>
      <c r="E312" s="77"/>
      <c r="F312" s="78"/>
      <c r="G312" s="80"/>
      <c r="H312" s="79"/>
      <c r="I312" s="77"/>
    </row>
    <row r="313" spans="1:9" x14ac:dyDescent="0.25">
      <c r="A313" s="108"/>
      <c r="B313" s="242"/>
      <c r="C313" s="242"/>
      <c r="D313" s="242"/>
      <c r="E313" s="77"/>
      <c r="F313" s="78"/>
      <c r="G313" s="80"/>
      <c r="H313" s="79"/>
      <c r="I313" s="77"/>
    </row>
    <row r="314" spans="1:9" x14ac:dyDescent="0.25">
      <c r="A314" s="108"/>
      <c r="B314" s="242"/>
      <c r="C314" s="242"/>
      <c r="D314" s="242"/>
      <c r="E314" s="77"/>
      <c r="F314" s="78"/>
      <c r="G314" s="80"/>
      <c r="H314" s="79"/>
      <c r="I314" s="77"/>
    </row>
    <row r="315" spans="1:9" x14ac:dyDescent="0.25">
      <c r="A315" s="108"/>
      <c r="B315" s="242"/>
      <c r="C315" s="242"/>
      <c r="D315" s="242"/>
      <c r="E315" s="77"/>
      <c r="F315" s="78"/>
      <c r="G315" s="80"/>
      <c r="H315" s="79"/>
      <c r="I315" s="77"/>
    </row>
    <row r="316" spans="1:9" x14ac:dyDescent="0.25">
      <c r="A316" s="108"/>
      <c r="B316" s="242"/>
      <c r="C316" s="242"/>
      <c r="D316" s="242"/>
      <c r="E316" s="77"/>
      <c r="F316" s="78"/>
      <c r="G316" s="80"/>
      <c r="H316" s="79"/>
      <c r="I316" s="77"/>
    </row>
    <row r="317" spans="1:9" x14ac:dyDescent="0.25">
      <c r="A317" s="108"/>
      <c r="B317" s="242"/>
      <c r="C317" s="242"/>
      <c r="D317" s="242"/>
      <c r="E317" s="77"/>
      <c r="F317" s="78"/>
      <c r="G317" s="80"/>
      <c r="H317" s="79"/>
      <c r="I317" s="77"/>
    </row>
    <row r="318" spans="1:9" x14ac:dyDescent="0.25">
      <c r="A318" s="108"/>
      <c r="B318" s="242"/>
      <c r="C318" s="242"/>
      <c r="D318" s="242"/>
      <c r="E318" s="77"/>
      <c r="F318" s="78"/>
      <c r="G318" s="80"/>
      <c r="H318" s="79"/>
      <c r="I318" s="77"/>
    </row>
    <row r="319" spans="1:9" x14ac:dyDescent="0.25">
      <c r="A319" s="108"/>
      <c r="B319" s="242"/>
      <c r="C319" s="242"/>
      <c r="D319" s="242"/>
      <c r="E319" s="77"/>
      <c r="F319" s="78"/>
      <c r="G319" s="80"/>
      <c r="H319" s="79"/>
      <c r="I319" s="77"/>
    </row>
    <row r="320" spans="1:9" x14ac:dyDescent="0.25">
      <c r="A320" s="108"/>
      <c r="B320" s="242"/>
      <c r="C320" s="242"/>
      <c r="D320" s="242"/>
      <c r="E320" s="77"/>
      <c r="F320" s="78"/>
      <c r="G320" s="80"/>
      <c r="H320" s="79"/>
      <c r="I320" s="77"/>
    </row>
    <row r="321" spans="1:9" x14ac:dyDescent="0.25">
      <c r="A321" s="108"/>
      <c r="B321" s="242"/>
      <c r="C321" s="242"/>
      <c r="D321" s="242"/>
      <c r="E321" s="77"/>
      <c r="F321" s="78"/>
      <c r="G321" s="80"/>
      <c r="H321" s="79"/>
      <c r="I321" s="77"/>
    </row>
    <row r="322" spans="1:9" x14ac:dyDescent="0.25">
      <c r="A322" s="108"/>
      <c r="B322" s="242"/>
      <c r="C322" s="242"/>
      <c r="D322" s="242"/>
      <c r="E322" s="77"/>
      <c r="F322" s="78"/>
      <c r="G322" s="80"/>
      <c r="H322" s="79"/>
      <c r="I322" s="77"/>
    </row>
    <row r="323" spans="1:9" x14ac:dyDescent="0.25">
      <c r="A323" s="108"/>
      <c r="B323" s="242"/>
      <c r="C323" s="242"/>
      <c r="D323" s="242"/>
      <c r="E323" s="77"/>
      <c r="F323" s="78"/>
      <c r="G323" s="80"/>
      <c r="H323" s="79"/>
      <c r="I323" s="77"/>
    </row>
    <row r="324" spans="1:9" x14ac:dyDescent="0.25">
      <c r="A324" s="108"/>
      <c r="B324" s="242"/>
      <c r="C324" s="242"/>
      <c r="D324" s="242"/>
      <c r="E324" s="77"/>
      <c r="F324" s="78"/>
      <c r="G324" s="80"/>
      <c r="H324" s="79"/>
      <c r="I324" s="77"/>
    </row>
    <row r="325" spans="1:9" x14ac:dyDescent="0.25">
      <c r="A325" s="108"/>
      <c r="B325" s="242"/>
      <c r="C325" s="242"/>
      <c r="D325" s="242"/>
      <c r="E325" s="77"/>
      <c r="F325" s="78"/>
      <c r="G325" s="80"/>
      <c r="H325" s="79"/>
      <c r="I325" s="77"/>
    </row>
    <row r="326" spans="1:9" x14ac:dyDescent="0.25">
      <c r="A326" s="108"/>
      <c r="B326" s="242"/>
      <c r="C326" s="242"/>
      <c r="D326" s="242"/>
      <c r="E326" s="77"/>
      <c r="F326" s="78"/>
      <c r="G326" s="80"/>
      <c r="H326" s="79"/>
      <c r="I326" s="77"/>
    </row>
    <row r="327" spans="1:9" x14ac:dyDescent="0.25">
      <c r="A327" s="108"/>
      <c r="B327" s="242"/>
      <c r="C327" s="242"/>
      <c r="D327" s="242"/>
      <c r="E327" s="77"/>
      <c r="F327" s="78"/>
      <c r="G327" s="80"/>
      <c r="H327" s="79"/>
      <c r="I327" s="77"/>
    </row>
    <row r="328" spans="1:9" x14ac:dyDescent="0.25">
      <c r="A328" s="108"/>
      <c r="B328" s="242"/>
      <c r="C328" s="242"/>
      <c r="D328" s="242"/>
      <c r="E328" s="77"/>
      <c r="F328" s="78"/>
      <c r="G328" s="80"/>
      <c r="H328" s="79"/>
      <c r="I328" s="77"/>
    </row>
    <row r="329" spans="1:9" x14ac:dyDescent="0.25">
      <c r="A329" s="108"/>
      <c r="B329" s="242"/>
      <c r="C329" s="242"/>
      <c r="D329" s="242"/>
      <c r="E329" s="77"/>
      <c r="F329" s="78"/>
      <c r="G329" s="80"/>
      <c r="H329" s="79"/>
      <c r="I329" s="77"/>
    </row>
    <row r="330" spans="1:9" x14ac:dyDescent="0.25">
      <c r="A330" s="108"/>
      <c r="B330" s="242"/>
      <c r="C330" s="242"/>
      <c r="D330" s="242"/>
      <c r="E330" s="77"/>
      <c r="F330" s="78"/>
      <c r="G330" s="80"/>
      <c r="H330" s="79"/>
      <c r="I330" s="77"/>
    </row>
    <row r="331" spans="1:9" x14ac:dyDescent="0.25">
      <c r="A331" s="108"/>
      <c r="B331" s="242"/>
      <c r="C331" s="242"/>
      <c r="D331" s="242"/>
      <c r="E331" s="77"/>
      <c r="F331" s="78"/>
      <c r="G331" s="80"/>
      <c r="H331" s="79"/>
      <c r="I331" s="77"/>
    </row>
    <row r="332" spans="1:9" x14ac:dyDescent="0.25">
      <c r="A332" s="108"/>
      <c r="B332" s="242"/>
      <c r="C332" s="242"/>
      <c r="D332" s="242"/>
      <c r="E332" s="77"/>
      <c r="F332" s="78"/>
      <c r="G332" s="80"/>
      <c r="H332" s="79"/>
      <c r="I332" s="77"/>
    </row>
    <row r="333" spans="1:9" x14ac:dyDescent="0.25">
      <c r="A333" s="108"/>
      <c r="B333" s="242"/>
      <c r="C333" s="242"/>
      <c r="D333" s="242"/>
      <c r="E333" s="77"/>
      <c r="F333" s="78"/>
      <c r="G333" s="80"/>
      <c r="H333" s="79"/>
      <c r="I333" s="77"/>
    </row>
    <row r="334" spans="1:9" x14ac:dyDescent="0.25">
      <c r="A334" s="108"/>
      <c r="B334" s="242"/>
      <c r="C334" s="242"/>
      <c r="D334" s="242"/>
      <c r="E334" s="77"/>
      <c r="F334" s="78"/>
      <c r="G334" s="80"/>
      <c r="H334" s="79"/>
      <c r="I334" s="77"/>
    </row>
    <row r="335" spans="1:9" x14ac:dyDescent="0.25">
      <c r="A335" s="108"/>
      <c r="B335" s="242"/>
      <c r="C335" s="242"/>
      <c r="D335" s="242"/>
      <c r="E335" s="77"/>
      <c r="F335" s="78"/>
      <c r="G335" s="80"/>
      <c r="H335" s="79"/>
      <c r="I335" s="77"/>
    </row>
    <row r="336" spans="1:9" x14ac:dyDescent="0.25">
      <c r="A336" s="108"/>
      <c r="B336" s="242"/>
      <c r="C336" s="242"/>
      <c r="D336" s="242"/>
      <c r="E336" s="77"/>
      <c r="F336" s="78"/>
      <c r="G336" s="80"/>
      <c r="H336" s="79"/>
      <c r="I336" s="77"/>
    </row>
    <row r="337" spans="1:9" x14ac:dyDescent="0.25">
      <c r="A337" s="108"/>
      <c r="B337" s="242"/>
      <c r="C337" s="242"/>
      <c r="D337" s="242"/>
      <c r="E337" s="77"/>
      <c r="F337" s="78"/>
      <c r="G337" s="80"/>
      <c r="H337" s="79"/>
      <c r="I337" s="77"/>
    </row>
    <row r="338" spans="1:9" x14ac:dyDescent="0.25">
      <c r="A338" s="108"/>
      <c r="B338" s="242"/>
      <c r="C338" s="242"/>
      <c r="D338" s="242"/>
      <c r="E338" s="77"/>
      <c r="F338" s="78"/>
      <c r="G338" s="80"/>
      <c r="H338" s="79"/>
      <c r="I338" s="77"/>
    </row>
    <row r="339" spans="1:9" x14ac:dyDescent="0.25">
      <c r="A339" s="108"/>
      <c r="B339" s="242"/>
      <c r="C339" s="242"/>
      <c r="D339" s="242"/>
      <c r="E339" s="77"/>
      <c r="F339" s="78"/>
      <c r="G339" s="80"/>
      <c r="H339" s="79"/>
      <c r="I339" s="77"/>
    </row>
    <row r="340" spans="1:9" x14ac:dyDescent="0.25">
      <c r="A340" s="108"/>
      <c r="B340" s="242"/>
      <c r="C340" s="242"/>
      <c r="D340" s="242"/>
      <c r="E340" s="77"/>
      <c r="F340" s="78"/>
      <c r="G340" s="80"/>
      <c r="H340" s="79"/>
      <c r="I340" s="77"/>
    </row>
    <row r="341" spans="1:9" x14ac:dyDescent="0.25">
      <c r="A341" s="108"/>
      <c r="B341" s="242"/>
      <c r="C341" s="242"/>
      <c r="D341" s="242"/>
      <c r="E341" s="77"/>
      <c r="F341" s="78"/>
      <c r="G341" s="80"/>
      <c r="H341" s="79"/>
      <c r="I341" s="77"/>
    </row>
    <row r="342" spans="1:9" x14ac:dyDescent="0.25">
      <c r="A342" s="108"/>
      <c r="B342" s="242"/>
      <c r="C342" s="242"/>
      <c r="D342" s="242"/>
      <c r="E342" s="77"/>
      <c r="F342" s="78"/>
      <c r="G342" s="80"/>
      <c r="H342" s="79"/>
      <c r="I342" s="77"/>
    </row>
    <row r="343" spans="1:9" x14ac:dyDescent="0.25">
      <c r="A343" s="108"/>
      <c r="B343" s="242"/>
      <c r="C343" s="242"/>
      <c r="D343" s="242"/>
      <c r="E343" s="77"/>
      <c r="F343" s="78"/>
      <c r="G343" s="80"/>
      <c r="H343" s="79"/>
      <c r="I343" s="77"/>
    </row>
    <row r="344" spans="1:9" x14ac:dyDescent="0.25">
      <c r="A344" s="108"/>
      <c r="B344" s="242"/>
      <c r="C344" s="242"/>
      <c r="D344" s="242"/>
      <c r="E344" s="77"/>
      <c r="F344" s="78"/>
      <c r="G344" s="80"/>
      <c r="H344" s="79"/>
      <c r="I344" s="77"/>
    </row>
    <row r="345" spans="1:9" x14ac:dyDescent="0.25">
      <c r="A345" s="108"/>
      <c r="B345" s="242"/>
      <c r="C345" s="242"/>
      <c r="D345" s="242"/>
      <c r="E345" s="77"/>
      <c r="F345" s="78"/>
      <c r="G345" s="80"/>
      <c r="H345" s="79"/>
      <c r="I345" s="77"/>
    </row>
    <row r="346" spans="1:9" x14ac:dyDescent="0.25">
      <c r="A346" s="108"/>
      <c r="B346" s="242"/>
      <c r="C346" s="242"/>
      <c r="D346" s="242"/>
      <c r="E346" s="77"/>
      <c r="F346" s="78"/>
      <c r="G346" s="80"/>
      <c r="H346" s="79"/>
      <c r="I346" s="77"/>
    </row>
    <row r="347" spans="1:9" x14ac:dyDescent="0.25">
      <c r="A347" s="108"/>
      <c r="B347" s="242"/>
      <c r="C347" s="242"/>
      <c r="D347" s="242"/>
      <c r="E347" s="77"/>
      <c r="F347" s="78"/>
      <c r="G347" s="80"/>
      <c r="H347" s="79"/>
      <c r="I347" s="77"/>
    </row>
    <row r="348" spans="1:9" x14ac:dyDescent="0.25">
      <c r="A348" s="108"/>
      <c r="B348" s="242"/>
      <c r="C348" s="242"/>
      <c r="D348" s="242"/>
      <c r="E348" s="77"/>
      <c r="F348" s="78"/>
      <c r="G348" s="80"/>
      <c r="H348" s="79"/>
      <c r="I348" s="77"/>
    </row>
    <row r="349" spans="1:9" x14ac:dyDescent="0.25">
      <c r="A349" s="108"/>
      <c r="B349" s="242"/>
      <c r="C349" s="242"/>
      <c r="D349" s="242"/>
      <c r="E349" s="77"/>
      <c r="F349" s="78"/>
      <c r="G349" s="80"/>
      <c r="H349" s="79"/>
      <c r="I349" s="77"/>
    </row>
    <row r="350" spans="1:9" x14ac:dyDescent="0.25">
      <c r="A350" s="108"/>
      <c r="B350" s="242"/>
      <c r="C350" s="242"/>
      <c r="D350" s="242"/>
      <c r="E350" s="77"/>
      <c r="F350" s="78"/>
      <c r="G350" s="80"/>
      <c r="H350" s="79"/>
      <c r="I350" s="77"/>
    </row>
    <row r="351" spans="1:9" x14ac:dyDescent="0.25">
      <c r="A351" s="108"/>
      <c r="B351" s="242"/>
      <c r="C351" s="242"/>
      <c r="D351" s="242"/>
      <c r="E351" s="77"/>
      <c r="F351" s="78"/>
      <c r="G351" s="80"/>
      <c r="H351" s="79"/>
      <c r="I351" s="77"/>
    </row>
    <row r="352" spans="1:9" x14ac:dyDescent="0.25">
      <c r="A352" s="108"/>
      <c r="B352" s="242"/>
      <c r="C352" s="242"/>
      <c r="D352" s="242"/>
      <c r="E352" s="77"/>
      <c r="F352" s="78"/>
      <c r="G352" s="80"/>
      <c r="H352" s="79"/>
      <c r="I352" s="77"/>
    </row>
    <row r="353" spans="1:9" x14ac:dyDescent="0.25">
      <c r="A353" s="108"/>
      <c r="B353" s="242"/>
      <c r="C353" s="242"/>
      <c r="D353" s="242"/>
      <c r="E353" s="77"/>
      <c r="F353" s="78"/>
      <c r="G353" s="80"/>
      <c r="H353" s="79"/>
      <c r="I353" s="77"/>
    </row>
    <row r="354" spans="1:9" x14ac:dyDescent="0.25">
      <c r="A354" s="108"/>
      <c r="B354" s="242"/>
      <c r="C354" s="242"/>
      <c r="D354" s="242"/>
      <c r="E354" s="77"/>
      <c r="F354" s="78"/>
      <c r="G354" s="80"/>
      <c r="H354" s="79"/>
      <c r="I354" s="77"/>
    </row>
    <row r="355" spans="1:9" x14ac:dyDescent="0.25">
      <c r="A355" s="108"/>
      <c r="B355" s="242"/>
      <c r="C355" s="242"/>
      <c r="D355" s="242"/>
      <c r="E355" s="77"/>
      <c r="F355" s="78"/>
      <c r="G355" s="80"/>
      <c r="H355" s="79"/>
      <c r="I355" s="77"/>
    </row>
    <row r="356" spans="1:9" x14ac:dyDescent="0.25">
      <c r="A356" s="108"/>
      <c r="B356" s="242"/>
      <c r="C356" s="242"/>
      <c r="D356" s="242"/>
      <c r="E356" s="77"/>
      <c r="F356" s="78"/>
      <c r="G356" s="80"/>
      <c r="H356" s="79"/>
      <c r="I356" s="77"/>
    </row>
    <row r="357" spans="1:9" x14ac:dyDescent="0.25">
      <c r="A357" s="108"/>
      <c r="B357" s="242"/>
      <c r="C357" s="242"/>
      <c r="D357" s="242"/>
      <c r="E357" s="77"/>
      <c r="F357" s="78"/>
      <c r="G357" s="80"/>
      <c r="H357" s="79"/>
      <c r="I357" s="77"/>
    </row>
    <row r="358" spans="1:9" x14ac:dyDescent="0.25">
      <c r="A358" s="108"/>
      <c r="B358" s="242"/>
      <c r="C358" s="242"/>
      <c r="D358" s="242"/>
      <c r="E358" s="77"/>
      <c r="F358" s="78"/>
      <c r="G358" s="80"/>
      <c r="H358" s="79"/>
      <c r="I358" s="77"/>
    </row>
    <row r="359" spans="1:9" x14ac:dyDescent="0.25">
      <c r="A359" s="108"/>
      <c r="B359" s="242"/>
      <c r="C359" s="242"/>
      <c r="D359" s="242"/>
      <c r="E359" s="77"/>
      <c r="F359" s="78"/>
      <c r="G359" s="80"/>
      <c r="H359" s="79"/>
      <c r="I359" s="77"/>
    </row>
    <row r="360" spans="1:9" x14ac:dyDescent="0.25">
      <c r="A360" s="108"/>
      <c r="B360" s="242"/>
      <c r="C360" s="242"/>
      <c r="D360" s="242"/>
      <c r="E360" s="77"/>
      <c r="F360" s="78"/>
      <c r="G360" s="80"/>
      <c r="H360" s="79"/>
      <c r="I360" s="77"/>
    </row>
    <row r="361" spans="1:9" x14ac:dyDescent="0.25">
      <c r="A361" s="108"/>
      <c r="B361" s="242"/>
      <c r="C361" s="242"/>
      <c r="D361" s="242"/>
      <c r="E361" s="77"/>
      <c r="F361" s="78"/>
      <c r="G361" s="80"/>
      <c r="H361" s="79"/>
      <c r="I361" s="77"/>
    </row>
    <row r="362" spans="1:9" x14ac:dyDescent="0.25">
      <c r="A362" s="108"/>
      <c r="B362" s="242"/>
      <c r="C362" s="242"/>
      <c r="D362" s="242"/>
      <c r="E362" s="77"/>
      <c r="F362" s="78"/>
      <c r="G362" s="80"/>
      <c r="H362" s="79"/>
      <c r="I362" s="77"/>
    </row>
    <row r="363" spans="1:9" x14ac:dyDescent="0.25">
      <c r="A363" s="108"/>
      <c r="B363" s="242"/>
      <c r="C363" s="242"/>
      <c r="D363" s="242"/>
      <c r="E363" s="77"/>
      <c r="F363" s="78"/>
      <c r="G363" s="80"/>
      <c r="H363" s="79"/>
      <c r="I363" s="77"/>
    </row>
    <row r="364" spans="1:9" x14ac:dyDescent="0.25">
      <c r="A364" s="108"/>
      <c r="B364" s="242"/>
      <c r="C364" s="242"/>
      <c r="D364" s="242"/>
      <c r="E364" s="77"/>
      <c r="F364" s="78"/>
      <c r="G364" s="80"/>
      <c r="H364" s="79"/>
      <c r="I364" s="77"/>
    </row>
    <row r="365" spans="1:9" x14ac:dyDescent="0.25">
      <c r="A365" s="108"/>
      <c r="B365" s="242"/>
      <c r="C365" s="242"/>
      <c r="D365" s="242"/>
      <c r="E365" s="77"/>
      <c r="F365" s="78"/>
      <c r="G365" s="80"/>
      <c r="H365" s="79"/>
      <c r="I365" s="77"/>
    </row>
    <row r="366" spans="1:9" x14ac:dyDescent="0.25">
      <c r="A366" s="108"/>
      <c r="B366" s="242"/>
      <c r="C366" s="242"/>
      <c r="D366" s="242"/>
      <c r="E366" s="77"/>
      <c r="F366" s="78"/>
      <c r="G366" s="80"/>
      <c r="H366" s="79"/>
      <c r="I366" s="77"/>
    </row>
    <row r="367" spans="1:9" x14ac:dyDescent="0.25">
      <c r="A367" s="108"/>
      <c r="B367" s="242"/>
      <c r="C367" s="242"/>
      <c r="D367" s="242"/>
      <c r="E367" s="77"/>
      <c r="F367" s="78"/>
      <c r="G367" s="80"/>
      <c r="H367" s="79"/>
      <c r="I367" s="77"/>
    </row>
    <row r="368" spans="1:9" x14ac:dyDescent="0.25">
      <c r="A368" s="108"/>
      <c r="B368" s="242"/>
      <c r="C368" s="242"/>
      <c r="D368" s="242"/>
      <c r="E368" s="77"/>
      <c r="F368" s="78"/>
      <c r="G368" s="80"/>
      <c r="H368" s="79"/>
      <c r="I368" s="77"/>
    </row>
    <row r="369" spans="1:9" x14ac:dyDescent="0.25">
      <c r="A369" s="108"/>
      <c r="B369" s="242"/>
      <c r="C369" s="242"/>
      <c r="D369" s="242"/>
      <c r="E369" s="77"/>
      <c r="F369" s="78"/>
      <c r="G369" s="80"/>
      <c r="H369" s="79"/>
      <c r="I369" s="77"/>
    </row>
    <row r="370" spans="1:9" x14ac:dyDescent="0.25">
      <c r="A370" s="108"/>
      <c r="B370" s="242"/>
      <c r="C370" s="242"/>
      <c r="D370" s="242"/>
      <c r="E370" s="77"/>
      <c r="F370" s="78"/>
      <c r="G370" s="80"/>
      <c r="H370" s="79"/>
      <c r="I370" s="77"/>
    </row>
    <row r="371" spans="1:9" x14ac:dyDescent="0.25">
      <c r="A371" s="108"/>
      <c r="B371" s="242"/>
      <c r="C371" s="242"/>
      <c r="D371" s="242"/>
      <c r="E371" s="77"/>
      <c r="F371" s="78"/>
      <c r="G371" s="80"/>
      <c r="H371" s="79"/>
      <c r="I371" s="77"/>
    </row>
    <row r="372" spans="1:9" x14ac:dyDescent="0.25">
      <c r="A372" s="108"/>
      <c r="B372" s="242"/>
      <c r="C372" s="242"/>
      <c r="D372" s="242"/>
      <c r="E372" s="77"/>
      <c r="F372" s="78"/>
      <c r="G372" s="80"/>
      <c r="H372" s="79"/>
      <c r="I372" s="77"/>
    </row>
    <row r="373" spans="1:9" x14ac:dyDescent="0.25">
      <c r="A373" s="108"/>
      <c r="B373" s="242"/>
      <c r="C373" s="242"/>
      <c r="D373" s="242"/>
      <c r="E373" s="77"/>
      <c r="F373" s="78"/>
      <c r="G373" s="80"/>
      <c r="H373" s="79"/>
      <c r="I373" s="77"/>
    </row>
    <row r="374" spans="1:9" x14ac:dyDescent="0.25">
      <c r="A374" s="108"/>
      <c r="B374" s="242"/>
      <c r="C374" s="242"/>
      <c r="D374" s="242"/>
      <c r="E374" s="77"/>
      <c r="F374" s="78"/>
      <c r="G374" s="80"/>
      <c r="H374" s="79"/>
      <c r="I374" s="77"/>
    </row>
    <row r="375" spans="1:9" x14ac:dyDescent="0.25">
      <c r="A375" s="108"/>
      <c r="B375" s="242"/>
      <c r="C375" s="242"/>
      <c r="D375" s="242"/>
      <c r="E375" s="77"/>
      <c r="F375" s="78"/>
      <c r="G375" s="80"/>
      <c r="H375" s="79"/>
      <c r="I375" s="77"/>
    </row>
    <row r="376" spans="1:9" x14ac:dyDescent="0.25">
      <c r="A376" s="108"/>
      <c r="B376" s="242"/>
      <c r="C376" s="242"/>
      <c r="D376" s="242"/>
      <c r="E376" s="77"/>
      <c r="F376" s="78"/>
      <c r="G376" s="80"/>
      <c r="H376" s="79"/>
      <c r="I376" s="77"/>
    </row>
    <row r="377" spans="1:9" x14ac:dyDescent="0.25">
      <c r="A377" s="108"/>
      <c r="B377" s="242"/>
      <c r="C377" s="242"/>
      <c r="D377" s="242"/>
      <c r="E377" s="77"/>
      <c r="F377" s="78"/>
      <c r="G377" s="80"/>
      <c r="H377" s="79"/>
      <c r="I377" s="77"/>
    </row>
    <row r="378" spans="1:9" x14ac:dyDescent="0.25">
      <c r="A378" s="108"/>
      <c r="B378" s="242"/>
      <c r="C378" s="242"/>
      <c r="D378" s="242"/>
      <c r="E378" s="77"/>
      <c r="F378" s="78"/>
      <c r="G378" s="80"/>
      <c r="H378" s="79"/>
      <c r="I378" s="77"/>
    </row>
    <row r="379" spans="1:9" x14ac:dyDescent="0.25">
      <c r="A379" s="108"/>
      <c r="B379" s="242"/>
      <c r="C379" s="242"/>
      <c r="D379" s="242"/>
      <c r="E379" s="77"/>
      <c r="F379" s="78"/>
      <c r="G379" s="80"/>
      <c r="H379" s="79"/>
      <c r="I379" s="77"/>
    </row>
    <row r="380" spans="1:9" x14ac:dyDescent="0.25">
      <c r="A380" s="108"/>
      <c r="B380" s="242"/>
      <c r="C380" s="242"/>
      <c r="D380" s="242"/>
      <c r="E380" s="77"/>
      <c r="F380" s="78"/>
      <c r="G380" s="80"/>
      <c r="H380" s="79"/>
      <c r="I380" s="77"/>
    </row>
    <row r="381" spans="1:9" x14ac:dyDescent="0.25">
      <c r="A381" s="108"/>
      <c r="B381" s="242"/>
      <c r="C381" s="242"/>
      <c r="D381" s="242"/>
      <c r="E381" s="77"/>
      <c r="F381" s="78"/>
      <c r="G381" s="80"/>
      <c r="H381" s="79"/>
      <c r="I381" s="77"/>
    </row>
    <row r="382" spans="1:9" x14ac:dyDescent="0.25">
      <c r="A382" s="108"/>
      <c r="B382" s="242"/>
      <c r="C382" s="242"/>
      <c r="D382" s="242"/>
      <c r="E382" s="77"/>
      <c r="F382" s="78"/>
      <c r="G382" s="80"/>
      <c r="H382" s="79"/>
      <c r="I382" s="77"/>
    </row>
    <row r="383" spans="1:9" x14ac:dyDescent="0.25">
      <c r="A383" s="108"/>
      <c r="B383" s="242"/>
      <c r="C383" s="242"/>
      <c r="D383" s="242"/>
      <c r="E383" s="77"/>
      <c r="F383" s="78"/>
      <c r="G383" s="80"/>
      <c r="H383" s="79"/>
      <c r="I383" s="77"/>
    </row>
    <row r="384" spans="1:9" x14ac:dyDescent="0.25">
      <c r="A384" s="108"/>
      <c r="B384" s="242"/>
      <c r="C384" s="242"/>
      <c r="D384" s="242"/>
      <c r="E384" s="77"/>
      <c r="F384" s="78"/>
      <c r="G384" s="80"/>
      <c r="H384" s="79"/>
      <c r="I384" s="77"/>
    </row>
    <row r="385" spans="1:9" x14ac:dyDescent="0.25">
      <c r="A385" s="108"/>
      <c r="B385" s="242"/>
      <c r="C385" s="242"/>
      <c r="D385" s="242"/>
      <c r="E385" s="77"/>
      <c r="F385" s="78"/>
      <c r="G385" s="80"/>
      <c r="H385" s="79"/>
      <c r="I385" s="77"/>
    </row>
    <row r="386" spans="1:9" x14ac:dyDescent="0.25">
      <c r="A386" s="108"/>
      <c r="B386" s="242"/>
      <c r="C386" s="242"/>
      <c r="D386" s="242"/>
      <c r="E386" s="77"/>
      <c r="F386" s="78"/>
      <c r="G386" s="80"/>
      <c r="H386" s="79"/>
      <c r="I386" s="77"/>
    </row>
    <row r="387" spans="1:9" x14ac:dyDescent="0.25">
      <c r="A387" s="108"/>
      <c r="B387" s="242"/>
      <c r="C387" s="242"/>
      <c r="D387" s="242"/>
      <c r="E387" s="77"/>
      <c r="F387" s="78"/>
      <c r="G387" s="80"/>
      <c r="H387" s="79"/>
      <c r="I387" s="77"/>
    </row>
    <row r="388" spans="1:9" x14ac:dyDescent="0.25">
      <c r="A388" s="108"/>
      <c r="B388" s="242"/>
      <c r="C388" s="242"/>
      <c r="D388" s="242"/>
      <c r="E388" s="77"/>
      <c r="F388" s="78"/>
      <c r="G388" s="80"/>
      <c r="H388" s="79"/>
      <c r="I388" s="77"/>
    </row>
    <row r="389" spans="1:9" x14ac:dyDescent="0.25">
      <c r="A389" s="108"/>
      <c r="B389" s="242"/>
      <c r="C389" s="242"/>
      <c r="D389" s="242"/>
      <c r="E389" s="77"/>
      <c r="F389" s="78"/>
      <c r="G389" s="80"/>
      <c r="H389" s="79"/>
      <c r="I389" s="77"/>
    </row>
    <row r="390" spans="1:9" x14ac:dyDescent="0.25">
      <c r="A390" s="108"/>
      <c r="B390" s="242"/>
      <c r="C390" s="242"/>
      <c r="D390" s="242"/>
      <c r="E390" s="77"/>
      <c r="F390" s="78"/>
      <c r="G390" s="80"/>
      <c r="H390" s="79"/>
      <c r="I390" s="77"/>
    </row>
    <row r="391" spans="1:9" x14ac:dyDescent="0.25">
      <c r="A391" s="108"/>
      <c r="B391" s="242"/>
      <c r="C391" s="242"/>
      <c r="D391" s="242"/>
      <c r="E391" s="77"/>
      <c r="F391" s="78"/>
      <c r="G391" s="80"/>
      <c r="H391" s="79"/>
      <c r="I391" s="77"/>
    </row>
    <row r="392" spans="1:9" x14ac:dyDescent="0.25">
      <c r="A392" s="108"/>
      <c r="B392" s="242"/>
      <c r="C392" s="242"/>
      <c r="D392" s="242"/>
      <c r="E392" s="77"/>
      <c r="F392" s="78"/>
      <c r="G392" s="80"/>
      <c r="H392" s="79"/>
      <c r="I392" s="77"/>
    </row>
    <row r="393" spans="1:9" x14ac:dyDescent="0.25">
      <c r="A393" s="108"/>
      <c r="B393" s="242"/>
      <c r="C393" s="242"/>
      <c r="D393" s="242"/>
      <c r="E393" s="77"/>
      <c r="F393" s="78"/>
      <c r="G393" s="80"/>
      <c r="H393" s="79"/>
      <c r="I393" s="77"/>
    </row>
    <row r="394" spans="1:9" x14ac:dyDescent="0.25">
      <c r="A394" s="108"/>
      <c r="B394" s="242"/>
      <c r="C394" s="242"/>
      <c r="D394" s="242"/>
      <c r="E394" s="77"/>
      <c r="F394" s="78"/>
      <c r="G394" s="80"/>
      <c r="H394" s="79"/>
      <c r="I394" s="77"/>
    </row>
    <row r="395" spans="1:9" x14ac:dyDescent="0.25">
      <c r="A395" s="108"/>
      <c r="B395" s="242"/>
      <c r="C395" s="242"/>
      <c r="D395" s="242"/>
      <c r="E395" s="77"/>
      <c r="F395" s="78"/>
      <c r="G395" s="80"/>
      <c r="H395" s="79"/>
      <c r="I395" s="77"/>
    </row>
    <row r="396" spans="1:9" x14ac:dyDescent="0.25">
      <c r="A396" s="108"/>
      <c r="B396" s="242"/>
      <c r="C396" s="242"/>
      <c r="D396" s="242"/>
      <c r="E396" s="77"/>
      <c r="F396" s="78"/>
      <c r="G396" s="80"/>
      <c r="H396" s="79"/>
      <c r="I396" s="77"/>
    </row>
    <row r="397" spans="1:9" x14ac:dyDescent="0.25">
      <c r="A397" s="108"/>
      <c r="B397" s="242"/>
      <c r="C397" s="242"/>
      <c r="D397" s="242"/>
      <c r="E397" s="77"/>
      <c r="F397" s="78"/>
      <c r="G397" s="80"/>
      <c r="H397" s="79"/>
      <c r="I397" s="77"/>
    </row>
    <row r="398" spans="1:9" x14ac:dyDescent="0.25">
      <c r="A398" s="108"/>
      <c r="B398" s="242"/>
      <c r="C398" s="242"/>
      <c r="D398" s="242"/>
      <c r="E398" s="77"/>
      <c r="F398" s="78"/>
      <c r="G398" s="80"/>
      <c r="H398" s="79"/>
      <c r="I398" s="77"/>
    </row>
    <row r="399" spans="1:9" x14ac:dyDescent="0.25">
      <c r="A399" s="108"/>
      <c r="B399" s="242"/>
      <c r="C399" s="242"/>
      <c r="D399" s="242"/>
      <c r="E399" s="77"/>
      <c r="F399" s="78"/>
      <c r="G399" s="80"/>
      <c r="H399" s="79"/>
      <c r="I399" s="77"/>
    </row>
    <row r="400" spans="1:9" x14ac:dyDescent="0.25">
      <c r="A400" s="108"/>
      <c r="B400" s="242"/>
      <c r="C400" s="242"/>
      <c r="D400" s="242"/>
      <c r="E400" s="77"/>
      <c r="F400" s="78"/>
      <c r="G400" s="80"/>
      <c r="H400" s="79"/>
      <c r="I400" s="77"/>
    </row>
    <row r="401" spans="1:9" x14ac:dyDescent="0.25">
      <c r="A401" s="108"/>
      <c r="B401" s="242"/>
      <c r="C401" s="242"/>
      <c r="D401" s="242"/>
      <c r="E401" s="77"/>
      <c r="F401" s="78"/>
      <c r="G401" s="80"/>
      <c r="H401" s="79"/>
      <c r="I401" s="77"/>
    </row>
    <row r="402" spans="1:9" x14ac:dyDescent="0.25">
      <c r="A402" s="108"/>
      <c r="B402" s="242"/>
      <c r="C402" s="242"/>
      <c r="D402" s="242"/>
      <c r="E402" s="77"/>
      <c r="F402" s="78"/>
      <c r="G402" s="80"/>
      <c r="H402" s="79"/>
      <c r="I402" s="77"/>
    </row>
    <row r="403" spans="1:9" x14ac:dyDescent="0.25">
      <c r="A403" s="108"/>
      <c r="B403" s="242"/>
      <c r="C403" s="242"/>
      <c r="D403" s="242"/>
      <c r="E403" s="77"/>
      <c r="F403" s="78"/>
      <c r="G403" s="80"/>
      <c r="H403" s="79"/>
      <c r="I403" s="77"/>
    </row>
    <row r="404" spans="1:9" x14ac:dyDescent="0.25">
      <c r="A404" s="108"/>
      <c r="B404" s="242"/>
      <c r="C404" s="242"/>
      <c r="D404" s="242"/>
      <c r="E404" s="77"/>
      <c r="F404" s="78"/>
      <c r="G404" s="80"/>
      <c r="H404" s="79"/>
      <c r="I404" s="77"/>
    </row>
    <row r="405" spans="1:9" x14ac:dyDescent="0.25">
      <c r="A405" s="108"/>
      <c r="B405" s="242"/>
      <c r="C405" s="242"/>
      <c r="D405" s="242"/>
      <c r="E405" s="77"/>
      <c r="F405" s="78"/>
      <c r="G405" s="80"/>
      <c r="H405" s="79"/>
      <c r="I405" s="77"/>
    </row>
  </sheetData>
  <autoFilter ref="A1:I58"/>
  <mergeCells count="6">
    <mergeCell ref="I1:I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DISPATCH</vt:lpstr>
      <vt:lpstr>STATS</vt:lpstr>
      <vt:lpstr>SUM- BLM</vt:lpstr>
      <vt:lpstr>SUM- USFS </vt:lpstr>
      <vt:lpstr>SUM- IDL</vt:lpstr>
      <vt:lpstr>RURALASSIST</vt:lpstr>
      <vt:lpstr>FALSEALARMS</vt:lpstr>
      <vt:lpstr>OTR</vt:lpstr>
      <vt:lpstr>RX ACRES </vt:lpstr>
      <vt:lpstr>COST SHARE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lhislop</dc:creator>
  <cp:lastModifiedBy>ehawes</cp:lastModifiedBy>
  <cp:lastPrinted>2019-11-04T16:06:32Z</cp:lastPrinted>
  <dcterms:created xsi:type="dcterms:W3CDTF">2009-01-14T17:58:01Z</dcterms:created>
  <dcterms:modified xsi:type="dcterms:W3CDTF">2019-12-06T20:56:43Z</dcterms:modified>
</cp:coreProperties>
</file>