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oc\fire\Dispatch Shared\INTEL\Dreamweaver\BDC_Website\documents\"/>
    </mc:Choice>
  </mc:AlternateContent>
  <bookViews>
    <workbookView xWindow="0" yWindow="0" windowWidth="19200" windowHeight="11460" tabRatio="750" firstSheet="1" activeTab="1"/>
  </bookViews>
  <sheets>
    <sheet name="DISPATCH" sheetId="14" r:id="rId1"/>
    <sheet name="BY OWNER - CAUSE" sheetId="2" r:id="rId2"/>
    <sheet name="# FIRES CAUSE" sheetId="13" r:id="rId3"/>
    <sheet name="BLM STATS" sheetId="4" r:id="rId4"/>
    <sheet name="BLM COUNTY" sheetId="17" r:id="rId5"/>
    <sheet name="BLM SUM" sheetId="5" r:id="rId6"/>
    <sheet name="USFS STATS" sheetId="6" r:id="rId7"/>
    <sheet name="USFS COUNTY " sheetId="19" r:id="rId8"/>
    <sheet name="USFS SUM" sheetId="7" r:id="rId9"/>
    <sheet name="IDL STATS" sheetId="8" r:id="rId10"/>
    <sheet name="IDL COUNTY " sheetId="20" r:id="rId11"/>
    <sheet name="IDL SUM" sheetId="10" r:id="rId12"/>
    <sheet name="BLM STATE OFFICE" sheetId="16" r:id="rId13"/>
    <sheet name="OTR FIRES" sheetId="21" r:id="rId14"/>
    <sheet name="RX ACRES " sheetId="15" r:id="rId15"/>
  </sheets>
  <definedNames>
    <definedName name="_xlnm._FilterDatabase" localSheetId="2" hidden="1">'# FIRES CAUSE'!$AL$1:$AL$335</definedName>
    <definedName name="_xlnm._FilterDatabase" localSheetId="3" hidden="1">'BLM STATS'!$F$1:$F$471</definedName>
    <definedName name="_xlnm._FilterDatabase" localSheetId="1" hidden="1">'BY OWNER - CAUSE'!$A$1:$A$346</definedName>
    <definedName name="_xlnm._FilterDatabase" localSheetId="9" hidden="1">'IDL STATS'!$A$1:$AN$175</definedName>
    <definedName name="_xlnm._FilterDatabase" localSheetId="13" hidden="1">'OTR FIRES'!$E$1:$E$11227</definedName>
    <definedName name="_xlnm._FilterDatabase" localSheetId="6" hidden="1">'USFS STATS'!$F$1:$F$333</definedName>
    <definedName name="EASLEY">'USFS COUNTY '!$C$47</definedName>
    <definedName name="_xlnm.Print_Area" localSheetId="13">'OTR FIRES'!$D$1:$M$533</definedName>
    <definedName name="_xlnm.Print_Titles" localSheetId="13">'OTR FIRES'!$1:$1</definedName>
  </definedNames>
  <calcPr calcId="162913"/>
</workbook>
</file>

<file path=xl/calcChain.xml><?xml version="1.0" encoding="utf-8"?>
<calcChain xmlns="http://schemas.openxmlformats.org/spreadsheetml/2006/main">
  <c r="R115" i="16" l="1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X51" i="20" l="1"/>
  <c r="L38" i="8" l="1"/>
  <c r="J120" i="16" l="1"/>
  <c r="H120" i="16"/>
  <c r="G120" i="16"/>
  <c r="F120" i="16"/>
  <c r="E120" i="16"/>
  <c r="D120" i="16"/>
  <c r="J119" i="16"/>
  <c r="H119" i="16"/>
  <c r="G119" i="16"/>
  <c r="F119" i="16"/>
  <c r="E119" i="16"/>
  <c r="D119" i="16"/>
  <c r="D121" i="16"/>
  <c r="C120" i="16"/>
  <c r="C121" i="16"/>
  <c r="C119" i="16"/>
  <c r="N58" i="6" l="1"/>
  <c r="B118" i="16" l="1"/>
  <c r="A118" i="16"/>
  <c r="H118" i="16"/>
  <c r="G118" i="16"/>
  <c r="F118" i="16"/>
  <c r="E118" i="16"/>
  <c r="W118" i="16"/>
  <c r="J118" i="16"/>
  <c r="C118" i="16"/>
  <c r="L33" i="8" l="1"/>
  <c r="L32" i="8"/>
  <c r="L31" i="8" l="1"/>
  <c r="A111" i="16" l="1"/>
  <c r="B111" i="16"/>
  <c r="C111" i="16"/>
  <c r="D111" i="16"/>
  <c r="E111" i="16"/>
  <c r="F111" i="16"/>
  <c r="G111" i="16"/>
  <c r="H111" i="16"/>
  <c r="J111" i="16"/>
  <c r="K111" i="16"/>
  <c r="L111" i="16"/>
  <c r="M111" i="16"/>
  <c r="N111" i="16"/>
  <c r="O111" i="16"/>
  <c r="P111" i="16"/>
  <c r="Q111" i="16"/>
  <c r="R111" i="16"/>
  <c r="W111" i="16"/>
  <c r="X111" i="16"/>
  <c r="I111" i="16" l="1"/>
  <c r="L28" i="8"/>
  <c r="L25" i="8" l="1"/>
  <c r="L24" i="8" l="1"/>
  <c r="C107" i="16" l="1"/>
  <c r="L23" i="8" l="1"/>
  <c r="N57" i="6" l="1"/>
  <c r="N50" i="6" l="1"/>
  <c r="O63" i="4" l="1"/>
  <c r="O100" i="4" l="1"/>
  <c r="O98" i="4"/>
  <c r="N44" i="6" l="1"/>
  <c r="L16" i="8" l="1"/>
  <c r="X59" i="17"/>
  <c r="L15" i="8" l="1"/>
  <c r="O92" i="4" l="1"/>
  <c r="X57" i="17" l="1"/>
  <c r="X55" i="17"/>
  <c r="X56" i="17"/>
  <c r="X53" i="17"/>
  <c r="X54" i="17" l="1"/>
  <c r="R57" i="16" l="1"/>
  <c r="R59" i="16"/>
  <c r="R60" i="16"/>
  <c r="R61" i="16"/>
  <c r="R58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62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2" i="16"/>
  <c r="R113" i="16"/>
  <c r="R114" i="16"/>
  <c r="R5" i="16"/>
  <c r="D16" i="7"/>
  <c r="B16" i="7"/>
  <c r="U4" i="6"/>
  <c r="X4" i="4"/>
  <c r="D17" i="5"/>
  <c r="O53" i="4"/>
  <c r="O56" i="4"/>
  <c r="O62" i="4"/>
  <c r="D18" i="5"/>
  <c r="F18" i="5"/>
  <c r="B18" i="5"/>
  <c r="I16" i="7" l="1"/>
  <c r="R4" i="16"/>
  <c r="I18" i="5"/>
  <c r="L20" i="8"/>
  <c r="C3" i="17" l="1"/>
  <c r="O9" i="4" l="1"/>
  <c r="O51" i="4"/>
  <c r="O49" i="4"/>
  <c r="O50" i="4"/>
  <c r="K20" i="16" l="1"/>
  <c r="L20" i="16"/>
  <c r="M20" i="16"/>
  <c r="N20" i="16"/>
  <c r="O20" i="16"/>
  <c r="E25" i="16"/>
  <c r="F25" i="16"/>
  <c r="G25" i="16"/>
  <c r="H25" i="16"/>
  <c r="J25" i="16"/>
  <c r="K25" i="16"/>
  <c r="L25" i="16"/>
  <c r="M25" i="16"/>
  <c r="N25" i="16"/>
  <c r="O25" i="16"/>
  <c r="P25" i="16"/>
  <c r="Q25" i="16"/>
  <c r="W25" i="16"/>
  <c r="X25" i="16"/>
  <c r="E26" i="16"/>
  <c r="F26" i="16"/>
  <c r="G26" i="16"/>
  <c r="H26" i="16"/>
  <c r="J26" i="16"/>
  <c r="K26" i="16"/>
  <c r="L26" i="16"/>
  <c r="M26" i="16"/>
  <c r="N26" i="16"/>
  <c r="O26" i="16"/>
  <c r="P26" i="16"/>
  <c r="Q26" i="16"/>
  <c r="W26" i="16"/>
  <c r="X26" i="16"/>
  <c r="E27" i="16"/>
  <c r="F27" i="16"/>
  <c r="G27" i="16"/>
  <c r="H27" i="16"/>
  <c r="J27" i="16"/>
  <c r="K27" i="16"/>
  <c r="L27" i="16"/>
  <c r="M27" i="16"/>
  <c r="N27" i="16"/>
  <c r="O27" i="16"/>
  <c r="P27" i="16"/>
  <c r="Q27" i="16"/>
  <c r="W27" i="16"/>
  <c r="X27" i="16"/>
  <c r="E28" i="16"/>
  <c r="F28" i="16"/>
  <c r="G28" i="16"/>
  <c r="H28" i="16"/>
  <c r="J28" i="16"/>
  <c r="K28" i="16"/>
  <c r="L28" i="16"/>
  <c r="M28" i="16"/>
  <c r="N28" i="16"/>
  <c r="O28" i="16"/>
  <c r="P28" i="16"/>
  <c r="Q28" i="16"/>
  <c r="W28" i="16"/>
  <c r="X28" i="16"/>
  <c r="E29" i="16"/>
  <c r="F29" i="16"/>
  <c r="G29" i="16"/>
  <c r="H29" i="16"/>
  <c r="J29" i="16"/>
  <c r="K29" i="16"/>
  <c r="L29" i="16"/>
  <c r="M29" i="16"/>
  <c r="N29" i="16"/>
  <c r="O29" i="16"/>
  <c r="P29" i="16"/>
  <c r="Q29" i="16"/>
  <c r="W29" i="16"/>
  <c r="X29" i="16"/>
  <c r="E30" i="16"/>
  <c r="F30" i="16"/>
  <c r="G30" i="16"/>
  <c r="H30" i="16"/>
  <c r="J30" i="16"/>
  <c r="K30" i="16"/>
  <c r="L30" i="16"/>
  <c r="M30" i="16"/>
  <c r="N30" i="16"/>
  <c r="O30" i="16"/>
  <c r="P30" i="16"/>
  <c r="Q30" i="16"/>
  <c r="W30" i="16"/>
  <c r="X30" i="16"/>
  <c r="D25" i="16"/>
  <c r="D26" i="16"/>
  <c r="D27" i="16"/>
  <c r="D28" i="16"/>
  <c r="D29" i="16"/>
  <c r="D30" i="16"/>
  <c r="A22" i="16"/>
  <c r="A23" i="16"/>
  <c r="A24" i="16"/>
  <c r="A25" i="16"/>
  <c r="A26" i="16"/>
  <c r="A27" i="16"/>
  <c r="A28" i="16"/>
  <c r="A29" i="16"/>
  <c r="B25" i="16"/>
  <c r="B26" i="16"/>
  <c r="B27" i="16"/>
  <c r="B28" i="16"/>
  <c r="B29" i="16"/>
  <c r="B30" i="16"/>
  <c r="C26" i="16"/>
  <c r="C27" i="16"/>
  <c r="C28" i="16"/>
  <c r="C29" i="16"/>
  <c r="C30" i="16"/>
  <c r="I30" i="16" l="1"/>
  <c r="I28" i="16"/>
  <c r="I26" i="16"/>
  <c r="I25" i="16"/>
  <c r="I27" i="16"/>
  <c r="I29" i="16"/>
  <c r="G32" i="15"/>
  <c r="F32" i="15"/>
  <c r="L533" i="21"/>
  <c r="X231" i="16"/>
  <c r="W231" i="16"/>
  <c r="Q231" i="16"/>
  <c r="P231" i="16"/>
  <c r="O231" i="16"/>
  <c r="N231" i="16"/>
  <c r="M231" i="16"/>
  <c r="L231" i="16"/>
  <c r="K231" i="16"/>
  <c r="J231" i="16"/>
  <c r="H231" i="16"/>
  <c r="G231" i="16"/>
  <c r="F231" i="16"/>
  <c r="E231" i="16"/>
  <c r="D231" i="16"/>
  <c r="C231" i="16"/>
  <c r="B231" i="16"/>
  <c r="A231" i="16"/>
  <c r="X230" i="16"/>
  <c r="W230" i="16"/>
  <c r="Q230" i="16"/>
  <c r="P230" i="16"/>
  <c r="O230" i="16"/>
  <c r="N230" i="16"/>
  <c r="M230" i="16"/>
  <c r="L230" i="16"/>
  <c r="K230" i="16"/>
  <c r="J230" i="16"/>
  <c r="H230" i="16"/>
  <c r="G230" i="16"/>
  <c r="F230" i="16"/>
  <c r="E230" i="16"/>
  <c r="D230" i="16"/>
  <c r="C230" i="16"/>
  <c r="B230" i="16"/>
  <c r="A230" i="16"/>
  <c r="X229" i="16"/>
  <c r="W229" i="16"/>
  <c r="Q229" i="16"/>
  <c r="P229" i="16"/>
  <c r="O229" i="16"/>
  <c r="N229" i="16"/>
  <c r="M229" i="16"/>
  <c r="L229" i="16"/>
  <c r="K229" i="16"/>
  <c r="J229" i="16"/>
  <c r="H229" i="16"/>
  <c r="G229" i="16"/>
  <c r="F229" i="16"/>
  <c r="E229" i="16"/>
  <c r="D229" i="16"/>
  <c r="C229" i="16"/>
  <c r="B229" i="16"/>
  <c r="A229" i="16"/>
  <c r="X228" i="16"/>
  <c r="W228" i="16"/>
  <c r="Q228" i="16"/>
  <c r="P228" i="16"/>
  <c r="O228" i="16"/>
  <c r="N228" i="16"/>
  <c r="M228" i="16"/>
  <c r="L228" i="16"/>
  <c r="K228" i="16"/>
  <c r="J228" i="16"/>
  <c r="H228" i="16"/>
  <c r="G228" i="16"/>
  <c r="F228" i="16"/>
  <c r="E228" i="16"/>
  <c r="D228" i="16"/>
  <c r="C228" i="16"/>
  <c r="B228" i="16"/>
  <c r="A228" i="16"/>
  <c r="X227" i="16"/>
  <c r="W227" i="16"/>
  <c r="Q227" i="16"/>
  <c r="P227" i="16"/>
  <c r="O227" i="16"/>
  <c r="N227" i="16"/>
  <c r="M227" i="16"/>
  <c r="L227" i="16"/>
  <c r="K227" i="16"/>
  <c r="J227" i="16"/>
  <c r="H227" i="16"/>
  <c r="G227" i="16"/>
  <c r="F227" i="16"/>
  <c r="E227" i="16"/>
  <c r="D227" i="16"/>
  <c r="C227" i="16"/>
  <c r="B227" i="16"/>
  <c r="A227" i="16"/>
  <c r="X226" i="16"/>
  <c r="W226" i="16"/>
  <c r="Q226" i="16"/>
  <c r="P226" i="16"/>
  <c r="O226" i="16"/>
  <c r="N226" i="16"/>
  <c r="M226" i="16"/>
  <c r="L226" i="16"/>
  <c r="K226" i="16"/>
  <c r="J226" i="16"/>
  <c r="H226" i="16"/>
  <c r="G226" i="16"/>
  <c r="F226" i="16"/>
  <c r="E226" i="16"/>
  <c r="D226" i="16"/>
  <c r="C226" i="16"/>
  <c r="B226" i="16"/>
  <c r="A226" i="16"/>
  <c r="X225" i="16"/>
  <c r="W225" i="16"/>
  <c r="Q225" i="16"/>
  <c r="P225" i="16"/>
  <c r="O225" i="16"/>
  <c r="N225" i="16"/>
  <c r="M225" i="16"/>
  <c r="L225" i="16"/>
  <c r="K225" i="16"/>
  <c r="J225" i="16"/>
  <c r="H225" i="16"/>
  <c r="G225" i="16"/>
  <c r="F225" i="16"/>
  <c r="E225" i="16"/>
  <c r="D225" i="16"/>
  <c r="C225" i="16"/>
  <c r="B225" i="16"/>
  <c r="A225" i="16"/>
  <c r="X224" i="16"/>
  <c r="W224" i="16"/>
  <c r="Q224" i="16"/>
  <c r="P224" i="16"/>
  <c r="O224" i="16"/>
  <c r="N224" i="16"/>
  <c r="M224" i="16"/>
  <c r="L224" i="16"/>
  <c r="K224" i="16"/>
  <c r="J224" i="16"/>
  <c r="H224" i="16"/>
  <c r="G224" i="16"/>
  <c r="F224" i="16"/>
  <c r="E224" i="16"/>
  <c r="D224" i="16"/>
  <c r="C224" i="16"/>
  <c r="B224" i="16"/>
  <c r="A224" i="16"/>
  <c r="X223" i="16"/>
  <c r="W223" i="16"/>
  <c r="Q223" i="16"/>
  <c r="P223" i="16"/>
  <c r="O223" i="16"/>
  <c r="N223" i="16"/>
  <c r="M223" i="16"/>
  <c r="L223" i="16"/>
  <c r="K223" i="16"/>
  <c r="J223" i="16"/>
  <c r="H223" i="16"/>
  <c r="G223" i="16"/>
  <c r="F223" i="16"/>
  <c r="E223" i="16"/>
  <c r="D223" i="16"/>
  <c r="C223" i="16"/>
  <c r="B223" i="16"/>
  <c r="A223" i="16"/>
  <c r="X222" i="16"/>
  <c r="W222" i="16"/>
  <c r="Q222" i="16"/>
  <c r="P222" i="16"/>
  <c r="O222" i="16"/>
  <c r="N222" i="16"/>
  <c r="M222" i="16"/>
  <c r="L222" i="16"/>
  <c r="K222" i="16"/>
  <c r="J222" i="16"/>
  <c r="H222" i="16"/>
  <c r="G222" i="16"/>
  <c r="F222" i="16"/>
  <c r="E222" i="16"/>
  <c r="D222" i="16"/>
  <c r="C222" i="16"/>
  <c r="B222" i="16"/>
  <c r="A222" i="16"/>
  <c r="X221" i="16"/>
  <c r="W221" i="16"/>
  <c r="Q221" i="16"/>
  <c r="P221" i="16"/>
  <c r="O221" i="16"/>
  <c r="N221" i="16"/>
  <c r="M221" i="16"/>
  <c r="L221" i="16"/>
  <c r="K221" i="16"/>
  <c r="J221" i="16"/>
  <c r="H221" i="16"/>
  <c r="G221" i="16"/>
  <c r="F221" i="16"/>
  <c r="E221" i="16"/>
  <c r="D221" i="16"/>
  <c r="C221" i="16"/>
  <c r="B221" i="16"/>
  <c r="A221" i="16"/>
  <c r="X220" i="16"/>
  <c r="W220" i="16"/>
  <c r="Q220" i="16"/>
  <c r="P220" i="16"/>
  <c r="O220" i="16"/>
  <c r="N220" i="16"/>
  <c r="M220" i="16"/>
  <c r="L220" i="16"/>
  <c r="K220" i="16"/>
  <c r="J220" i="16"/>
  <c r="H220" i="16"/>
  <c r="G220" i="16"/>
  <c r="F220" i="16"/>
  <c r="E220" i="16"/>
  <c r="D220" i="16"/>
  <c r="C220" i="16"/>
  <c r="B220" i="16"/>
  <c r="A220" i="16"/>
  <c r="X219" i="16"/>
  <c r="W219" i="16"/>
  <c r="Q219" i="16"/>
  <c r="P219" i="16"/>
  <c r="O219" i="16"/>
  <c r="N219" i="16"/>
  <c r="M219" i="16"/>
  <c r="L219" i="16"/>
  <c r="K219" i="16"/>
  <c r="J219" i="16"/>
  <c r="H219" i="16"/>
  <c r="G219" i="16"/>
  <c r="F219" i="16"/>
  <c r="E219" i="16"/>
  <c r="D219" i="16"/>
  <c r="C219" i="16"/>
  <c r="B219" i="16"/>
  <c r="A219" i="16"/>
  <c r="X218" i="16"/>
  <c r="W218" i="16"/>
  <c r="Q218" i="16"/>
  <c r="P218" i="16"/>
  <c r="O218" i="16"/>
  <c r="N218" i="16"/>
  <c r="M218" i="16"/>
  <c r="L218" i="16"/>
  <c r="K218" i="16"/>
  <c r="J218" i="16"/>
  <c r="H218" i="16"/>
  <c r="G218" i="16"/>
  <c r="F218" i="16"/>
  <c r="E218" i="16"/>
  <c r="D218" i="16"/>
  <c r="C218" i="16"/>
  <c r="B218" i="16"/>
  <c r="A218" i="16"/>
  <c r="X217" i="16"/>
  <c r="W217" i="16"/>
  <c r="Q217" i="16"/>
  <c r="P217" i="16"/>
  <c r="O217" i="16"/>
  <c r="N217" i="16"/>
  <c r="M217" i="16"/>
  <c r="L217" i="16"/>
  <c r="K217" i="16"/>
  <c r="J217" i="16"/>
  <c r="H217" i="16"/>
  <c r="G217" i="16"/>
  <c r="F217" i="16"/>
  <c r="E217" i="16"/>
  <c r="D217" i="16"/>
  <c r="C217" i="16"/>
  <c r="B217" i="16"/>
  <c r="A217" i="16"/>
  <c r="X216" i="16"/>
  <c r="W216" i="16"/>
  <c r="Q216" i="16"/>
  <c r="P216" i="16"/>
  <c r="O216" i="16"/>
  <c r="N216" i="16"/>
  <c r="M216" i="16"/>
  <c r="L216" i="16"/>
  <c r="K216" i="16"/>
  <c r="J216" i="16"/>
  <c r="H216" i="16"/>
  <c r="G216" i="16"/>
  <c r="F216" i="16"/>
  <c r="E216" i="16"/>
  <c r="D216" i="16"/>
  <c r="C216" i="16"/>
  <c r="B216" i="16"/>
  <c r="A216" i="16"/>
  <c r="X215" i="16"/>
  <c r="W215" i="16"/>
  <c r="Q215" i="16"/>
  <c r="P215" i="16"/>
  <c r="O215" i="16"/>
  <c r="N215" i="16"/>
  <c r="M215" i="16"/>
  <c r="L215" i="16"/>
  <c r="K215" i="16"/>
  <c r="J215" i="16"/>
  <c r="H215" i="16"/>
  <c r="G215" i="16"/>
  <c r="F215" i="16"/>
  <c r="E215" i="16"/>
  <c r="D215" i="16"/>
  <c r="C215" i="16"/>
  <c r="B215" i="16"/>
  <c r="A215" i="16"/>
  <c r="X214" i="16"/>
  <c r="W214" i="16"/>
  <c r="Q214" i="16"/>
  <c r="P214" i="16"/>
  <c r="O214" i="16"/>
  <c r="N214" i="16"/>
  <c r="M214" i="16"/>
  <c r="L214" i="16"/>
  <c r="K214" i="16"/>
  <c r="J214" i="16"/>
  <c r="H214" i="16"/>
  <c r="G214" i="16"/>
  <c r="F214" i="16"/>
  <c r="E214" i="16"/>
  <c r="D214" i="16"/>
  <c r="C214" i="16"/>
  <c r="B214" i="16"/>
  <c r="A214" i="16"/>
  <c r="X213" i="16"/>
  <c r="W213" i="16"/>
  <c r="Q213" i="16"/>
  <c r="P213" i="16"/>
  <c r="O213" i="16"/>
  <c r="N213" i="16"/>
  <c r="M213" i="16"/>
  <c r="L213" i="16"/>
  <c r="K213" i="16"/>
  <c r="J213" i="16"/>
  <c r="H213" i="16"/>
  <c r="G213" i="16"/>
  <c r="F213" i="16"/>
  <c r="E213" i="16"/>
  <c r="D213" i="16"/>
  <c r="C213" i="16"/>
  <c r="B213" i="16"/>
  <c r="A213" i="16"/>
  <c r="X212" i="16"/>
  <c r="W212" i="16"/>
  <c r="Q212" i="16"/>
  <c r="P212" i="16"/>
  <c r="O212" i="16"/>
  <c r="N212" i="16"/>
  <c r="M212" i="16"/>
  <c r="L212" i="16"/>
  <c r="K212" i="16"/>
  <c r="J212" i="16"/>
  <c r="H212" i="16"/>
  <c r="G212" i="16"/>
  <c r="F212" i="16"/>
  <c r="E212" i="16"/>
  <c r="D212" i="16"/>
  <c r="C212" i="16"/>
  <c r="B212" i="16"/>
  <c r="A212" i="16"/>
  <c r="X211" i="16"/>
  <c r="W211" i="16"/>
  <c r="Q211" i="16"/>
  <c r="P211" i="16"/>
  <c r="O211" i="16"/>
  <c r="N211" i="16"/>
  <c r="M211" i="16"/>
  <c r="L211" i="16"/>
  <c r="K211" i="16"/>
  <c r="J211" i="16"/>
  <c r="H211" i="16"/>
  <c r="G211" i="16"/>
  <c r="F211" i="16"/>
  <c r="E211" i="16"/>
  <c r="D211" i="16"/>
  <c r="C211" i="16"/>
  <c r="B211" i="16"/>
  <c r="A211" i="16"/>
  <c r="X210" i="16"/>
  <c r="W210" i="16"/>
  <c r="Q210" i="16"/>
  <c r="P210" i="16"/>
  <c r="O210" i="16"/>
  <c r="N210" i="16"/>
  <c r="M210" i="16"/>
  <c r="L210" i="16"/>
  <c r="K210" i="16"/>
  <c r="J210" i="16"/>
  <c r="H210" i="16"/>
  <c r="G210" i="16"/>
  <c r="F210" i="16"/>
  <c r="E210" i="16"/>
  <c r="D210" i="16"/>
  <c r="C210" i="16"/>
  <c r="B210" i="16"/>
  <c r="A210" i="16"/>
  <c r="X209" i="16"/>
  <c r="W209" i="16"/>
  <c r="Q209" i="16"/>
  <c r="P209" i="16"/>
  <c r="O209" i="16"/>
  <c r="N209" i="16"/>
  <c r="M209" i="16"/>
  <c r="L209" i="16"/>
  <c r="K209" i="16"/>
  <c r="J209" i="16"/>
  <c r="H209" i="16"/>
  <c r="G209" i="16"/>
  <c r="F209" i="16"/>
  <c r="E209" i="16"/>
  <c r="D209" i="16"/>
  <c r="C209" i="16"/>
  <c r="B209" i="16"/>
  <c r="A209" i="16"/>
  <c r="X208" i="16"/>
  <c r="W208" i="16"/>
  <c r="Q208" i="16"/>
  <c r="P208" i="16"/>
  <c r="O208" i="16"/>
  <c r="N208" i="16"/>
  <c r="M208" i="16"/>
  <c r="L208" i="16"/>
  <c r="K208" i="16"/>
  <c r="J208" i="16"/>
  <c r="H208" i="16"/>
  <c r="G208" i="16"/>
  <c r="F208" i="16"/>
  <c r="E208" i="16"/>
  <c r="D208" i="16"/>
  <c r="C208" i="16"/>
  <c r="B208" i="16"/>
  <c r="A208" i="16"/>
  <c r="X207" i="16"/>
  <c r="W207" i="16"/>
  <c r="Q207" i="16"/>
  <c r="P207" i="16"/>
  <c r="O207" i="16"/>
  <c r="N207" i="16"/>
  <c r="M207" i="16"/>
  <c r="L207" i="16"/>
  <c r="K207" i="16"/>
  <c r="J207" i="16"/>
  <c r="H207" i="16"/>
  <c r="G207" i="16"/>
  <c r="F207" i="16"/>
  <c r="E207" i="16"/>
  <c r="D207" i="16"/>
  <c r="C207" i="16"/>
  <c r="B207" i="16"/>
  <c r="A207" i="16"/>
  <c r="X206" i="16"/>
  <c r="W206" i="16"/>
  <c r="Q206" i="16"/>
  <c r="P206" i="16"/>
  <c r="O206" i="16"/>
  <c r="N206" i="16"/>
  <c r="M206" i="16"/>
  <c r="L206" i="16"/>
  <c r="K206" i="16"/>
  <c r="J206" i="16"/>
  <c r="H206" i="16"/>
  <c r="G206" i="16"/>
  <c r="F206" i="16"/>
  <c r="E206" i="16"/>
  <c r="D206" i="16"/>
  <c r="C206" i="16"/>
  <c r="B206" i="16"/>
  <c r="A206" i="16"/>
  <c r="X205" i="16"/>
  <c r="W205" i="16"/>
  <c r="Q205" i="16"/>
  <c r="P205" i="16"/>
  <c r="O205" i="16"/>
  <c r="N205" i="16"/>
  <c r="M205" i="16"/>
  <c r="L205" i="16"/>
  <c r="K205" i="16"/>
  <c r="J205" i="16"/>
  <c r="H205" i="16"/>
  <c r="G205" i="16"/>
  <c r="F205" i="16"/>
  <c r="E205" i="16"/>
  <c r="D205" i="16"/>
  <c r="C205" i="16"/>
  <c r="B205" i="16"/>
  <c r="A205" i="16"/>
  <c r="X204" i="16"/>
  <c r="W204" i="16"/>
  <c r="Q204" i="16"/>
  <c r="P204" i="16"/>
  <c r="O204" i="16"/>
  <c r="N204" i="16"/>
  <c r="M204" i="16"/>
  <c r="L204" i="16"/>
  <c r="K204" i="16"/>
  <c r="J204" i="16"/>
  <c r="H204" i="16"/>
  <c r="G204" i="16"/>
  <c r="F204" i="16"/>
  <c r="E204" i="16"/>
  <c r="D204" i="16"/>
  <c r="C204" i="16"/>
  <c r="B204" i="16"/>
  <c r="A204" i="16"/>
  <c r="X203" i="16"/>
  <c r="W203" i="16"/>
  <c r="Q203" i="16"/>
  <c r="P203" i="16"/>
  <c r="O203" i="16"/>
  <c r="N203" i="16"/>
  <c r="M203" i="16"/>
  <c r="L203" i="16"/>
  <c r="K203" i="16"/>
  <c r="J203" i="16"/>
  <c r="H203" i="16"/>
  <c r="G203" i="16"/>
  <c r="F203" i="16"/>
  <c r="E203" i="16"/>
  <c r="D203" i="16"/>
  <c r="C203" i="16"/>
  <c r="B203" i="16"/>
  <c r="A203" i="16"/>
  <c r="X202" i="16"/>
  <c r="W202" i="16"/>
  <c r="Q202" i="16"/>
  <c r="P202" i="16"/>
  <c r="O202" i="16"/>
  <c r="N202" i="16"/>
  <c r="M202" i="16"/>
  <c r="L202" i="16"/>
  <c r="K202" i="16"/>
  <c r="J202" i="16"/>
  <c r="H202" i="16"/>
  <c r="G202" i="16"/>
  <c r="F202" i="16"/>
  <c r="E202" i="16"/>
  <c r="D202" i="16"/>
  <c r="C202" i="16"/>
  <c r="B202" i="16"/>
  <c r="A202" i="16"/>
  <c r="X201" i="16"/>
  <c r="W201" i="16"/>
  <c r="Q201" i="16"/>
  <c r="P201" i="16"/>
  <c r="O201" i="16"/>
  <c r="N201" i="16"/>
  <c r="M201" i="16"/>
  <c r="L201" i="16"/>
  <c r="K201" i="16"/>
  <c r="J201" i="16"/>
  <c r="H201" i="16"/>
  <c r="G201" i="16"/>
  <c r="F201" i="16"/>
  <c r="E201" i="16"/>
  <c r="D201" i="16"/>
  <c r="C201" i="16"/>
  <c r="B201" i="16"/>
  <c r="A201" i="16"/>
  <c r="X200" i="16"/>
  <c r="W200" i="16"/>
  <c r="Q200" i="16"/>
  <c r="P200" i="16"/>
  <c r="O200" i="16"/>
  <c r="N200" i="16"/>
  <c r="M200" i="16"/>
  <c r="L200" i="16"/>
  <c r="K200" i="16"/>
  <c r="J200" i="16"/>
  <c r="H200" i="16"/>
  <c r="G200" i="16"/>
  <c r="F200" i="16"/>
  <c r="E200" i="16"/>
  <c r="D200" i="16"/>
  <c r="C200" i="16"/>
  <c r="B200" i="16"/>
  <c r="A200" i="16"/>
  <c r="X199" i="16"/>
  <c r="W199" i="16"/>
  <c r="Q199" i="16"/>
  <c r="P199" i="16"/>
  <c r="O199" i="16"/>
  <c r="N199" i="16"/>
  <c r="M199" i="16"/>
  <c r="L199" i="16"/>
  <c r="K199" i="16"/>
  <c r="J199" i="16"/>
  <c r="H199" i="16"/>
  <c r="G199" i="16"/>
  <c r="F199" i="16"/>
  <c r="E199" i="16"/>
  <c r="D199" i="16"/>
  <c r="C199" i="16"/>
  <c r="B199" i="16"/>
  <c r="A199" i="16"/>
  <c r="X198" i="16"/>
  <c r="W198" i="16"/>
  <c r="Q198" i="16"/>
  <c r="P198" i="16"/>
  <c r="O198" i="16"/>
  <c r="N198" i="16"/>
  <c r="M198" i="16"/>
  <c r="L198" i="16"/>
  <c r="K198" i="16"/>
  <c r="J198" i="16"/>
  <c r="H198" i="16"/>
  <c r="G198" i="16"/>
  <c r="F198" i="16"/>
  <c r="E198" i="16"/>
  <c r="D198" i="16"/>
  <c r="C198" i="16"/>
  <c r="B198" i="16"/>
  <c r="A198" i="16"/>
  <c r="X197" i="16"/>
  <c r="W197" i="16"/>
  <c r="Q197" i="16"/>
  <c r="P197" i="16"/>
  <c r="O197" i="16"/>
  <c r="N197" i="16"/>
  <c r="M197" i="16"/>
  <c r="L197" i="16"/>
  <c r="K197" i="16"/>
  <c r="J197" i="16"/>
  <c r="H197" i="16"/>
  <c r="G197" i="16"/>
  <c r="F197" i="16"/>
  <c r="E197" i="16"/>
  <c r="D197" i="16"/>
  <c r="C197" i="16"/>
  <c r="B197" i="16"/>
  <c r="A197" i="16"/>
  <c r="X196" i="16"/>
  <c r="W196" i="16"/>
  <c r="Q196" i="16"/>
  <c r="P196" i="16"/>
  <c r="O196" i="16"/>
  <c r="N196" i="16"/>
  <c r="M196" i="16"/>
  <c r="L196" i="16"/>
  <c r="K196" i="16"/>
  <c r="J196" i="16"/>
  <c r="H196" i="16"/>
  <c r="G196" i="16"/>
  <c r="F196" i="16"/>
  <c r="E196" i="16"/>
  <c r="D196" i="16"/>
  <c r="C196" i="16"/>
  <c r="B196" i="16"/>
  <c r="A196" i="16"/>
  <c r="X195" i="16"/>
  <c r="W195" i="16"/>
  <c r="Q195" i="16"/>
  <c r="P195" i="16"/>
  <c r="O195" i="16"/>
  <c r="N195" i="16"/>
  <c r="M195" i="16"/>
  <c r="L195" i="16"/>
  <c r="K195" i="16"/>
  <c r="J195" i="16"/>
  <c r="H195" i="16"/>
  <c r="G195" i="16"/>
  <c r="F195" i="16"/>
  <c r="E195" i="16"/>
  <c r="D195" i="16"/>
  <c r="C195" i="16"/>
  <c r="B195" i="16"/>
  <c r="A195" i="16"/>
  <c r="X194" i="16"/>
  <c r="W194" i="16"/>
  <c r="Q194" i="16"/>
  <c r="P194" i="16"/>
  <c r="O194" i="16"/>
  <c r="N194" i="16"/>
  <c r="M194" i="16"/>
  <c r="L194" i="16"/>
  <c r="K194" i="16"/>
  <c r="J194" i="16"/>
  <c r="H194" i="16"/>
  <c r="G194" i="16"/>
  <c r="F194" i="16"/>
  <c r="E194" i="16"/>
  <c r="D194" i="16"/>
  <c r="C194" i="16"/>
  <c r="B194" i="16"/>
  <c r="A194" i="16"/>
  <c r="X193" i="16"/>
  <c r="W193" i="16"/>
  <c r="Q193" i="16"/>
  <c r="P193" i="16"/>
  <c r="O193" i="16"/>
  <c r="N193" i="16"/>
  <c r="M193" i="16"/>
  <c r="L193" i="16"/>
  <c r="K193" i="16"/>
  <c r="J193" i="16"/>
  <c r="H193" i="16"/>
  <c r="G193" i="16"/>
  <c r="F193" i="16"/>
  <c r="E193" i="16"/>
  <c r="D193" i="16"/>
  <c r="C193" i="16"/>
  <c r="B193" i="16"/>
  <c r="A193" i="16"/>
  <c r="X192" i="16"/>
  <c r="W192" i="16"/>
  <c r="Q192" i="16"/>
  <c r="P192" i="16"/>
  <c r="O192" i="16"/>
  <c r="N192" i="16"/>
  <c r="M192" i="16"/>
  <c r="L192" i="16"/>
  <c r="K192" i="16"/>
  <c r="J192" i="16"/>
  <c r="H192" i="16"/>
  <c r="G192" i="16"/>
  <c r="F192" i="16"/>
  <c r="E192" i="16"/>
  <c r="D192" i="16"/>
  <c r="C192" i="16"/>
  <c r="B192" i="16"/>
  <c r="A192" i="16"/>
  <c r="X191" i="16"/>
  <c r="W191" i="16"/>
  <c r="Q191" i="16"/>
  <c r="P191" i="16"/>
  <c r="O191" i="16"/>
  <c r="N191" i="16"/>
  <c r="M191" i="16"/>
  <c r="L191" i="16"/>
  <c r="K191" i="16"/>
  <c r="J191" i="16"/>
  <c r="H191" i="16"/>
  <c r="G191" i="16"/>
  <c r="F191" i="16"/>
  <c r="E191" i="16"/>
  <c r="D191" i="16"/>
  <c r="C191" i="16"/>
  <c r="B191" i="16"/>
  <c r="A191" i="16"/>
  <c r="X190" i="16"/>
  <c r="W190" i="16"/>
  <c r="Q190" i="16"/>
  <c r="P190" i="16"/>
  <c r="O190" i="16"/>
  <c r="N190" i="16"/>
  <c r="M190" i="16"/>
  <c r="L190" i="16"/>
  <c r="K190" i="16"/>
  <c r="J190" i="16"/>
  <c r="H190" i="16"/>
  <c r="G190" i="16"/>
  <c r="F190" i="16"/>
  <c r="E190" i="16"/>
  <c r="D190" i="16"/>
  <c r="C190" i="16"/>
  <c r="B190" i="16"/>
  <c r="A190" i="16"/>
  <c r="X189" i="16"/>
  <c r="W189" i="16"/>
  <c r="Q189" i="16"/>
  <c r="P189" i="16"/>
  <c r="O189" i="16"/>
  <c r="N189" i="16"/>
  <c r="M189" i="16"/>
  <c r="L189" i="16"/>
  <c r="K189" i="16"/>
  <c r="J189" i="16"/>
  <c r="H189" i="16"/>
  <c r="G189" i="16"/>
  <c r="F189" i="16"/>
  <c r="E189" i="16"/>
  <c r="D189" i="16"/>
  <c r="C189" i="16"/>
  <c r="B189" i="16"/>
  <c r="A189" i="16"/>
  <c r="X188" i="16"/>
  <c r="W188" i="16"/>
  <c r="Q188" i="16"/>
  <c r="P188" i="16"/>
  <c r="O188" i="16"/>
  <c r="N188" i="16"/>
  <c r="M188" i="16"/>
  <c r="L188" i="16"/>
  <c r="K188" i="16"/>
  <c r="J188" i="16"/>
  <c r="H188" i="16"/>
  <c r="G188" i="16"/>
  <c r="F188" i="16"/>
  <c r="E188" i="16"/>
  <c r="D188" i="16"/>
  <c r="C188" i="16"/>
  <c r="B188" i="16"/>
  <c r="A188" i="16"/>
  <c r="X187" i="16"/>
  <c r="W187" i="16"/>
  <c r="Q187" i="16"/>
  <c r="P187" i="16"/>
  <c r="O187" i="16"/>
  <c r="N187" i="16"/>
  <c r="M187" i="16"/>
  <c r="L187" i="16"/>
  <c r="K187" i="16"/>
  <c r="J187" i="16"/>
  <c r="H187" i="16"/>
  <c r="G187" i="16"/>
  <c r="F187" i="16"/>
  <c r="E187" i="16"/>
  <c r="D187" i="16"/>
  <c r="C187" i="16"/>
  <c r="B187" i="16"/>
  <c r="A187" i="16"/>
  <c r="X186" i="16"/>
  <c r="W186" i="16"/>
  <c r="Q186" i="16"/>
  <c r="P186" i="16"/>
  <c r="O186" i="16"/>
  <c r="N186" i="16"/>
  <c r="M186" i="16"/>
  <c r="L186" i="16"/>
  <c r="K186" i="16"/>
  <c r="J186" i="16"/>
  <c r="H186" i="16"/>
  <c r="G186" i="16"/>
  <c r="F186" i="16"/>
  <c r="E186" i="16"/>
  <c r="D186" i="16"/>
  <c r="C186" i="16"/>
  <c r="B186" i="16"/>
  <c r="A186" i="16"/>
  <c r="X185" i="16"/>
  <c r="W185" i="16"/>
  <c r="Q185" i="16"/>
  <c r="P185" i="16"/>
  <c r="O185" i="16"/>
  <c r="N185" i="16"/>
  <c r="M185" i="16"/>
  <c r="L185" i="16"/>
  <c r="K185" i="16"/>
  <c r="J185" i="16"/>
  <c r="H185" i="16"/>
  <c r="G185" i="16"/>
  <c r="F185" i="16"/>
  <c r="E185" i="16"/>
  <c r="D185" i="16"/>
  <c r="C185" i="16"/>
  <c r="B185" i="16"/>
  <c r="A185" i="16"/>
  <c r="X184" i="16"/>
  <c r="W184" i="16"/>
  <c r="Q184" i="16"/>
  <c r="P184" i="16"/>
  <c r="O184" i="16"/>
  <c r="N184" i="16"/>
  <c r="M184" i="16"/>
  <c r="L184" i="16"/>
  <c r="K184" i="16"/>
  <c r="J184" i="16"/>
  <c r="H184" i="16"/>
  <c r="G184" i="16"/>
  <c r="F184" i="16"/>
  <c r="E184" i="16"/>
  <c r="D184" i="16"/>
  <c r="C184" i="16"/>
  <c r="B184" i="16"/>
  <c r="A184" i="16"/>
  <c r="X183" i="16"/>
  <c r="W183" i="16"/>
  <c r="Q183" i="16"/>
  <c r="P183" i="16"/>
  <c r="O183" i="16"/>
  <c r="N183" i="16"/>
  <c r="M183" i="16"/>
  <c r="L183" i="16"/>
  <c r="K183" i="16"/>
  <c r="J183" i="16"/>
  <c r="H183" i="16"/>
  <c r="G183" i="16"/>
  <c r="F183" i="16"/>
  <c r="E183" i="16"/>
  <c r="D183" i="16"/>
  <c r="C183" i="16"/>
  <c r="B183" i="16"/>
  <c r="A183" i="16"/>
  <c r="X182" i="16"/>
  <c r="W182" i="16"/>
  <c r="Q182" i="16"/>
  <c r="P182" i="16"/>
  <c r="O182" i="16"/>
  <c r="N182" i="16"/>
  <c r="M182" i="16"/>
  <c r="L182" i="16"/>
  <c r="K182" i="16"/>
  <c r="J182" i="16"/>
  <c r="H182" i="16"/>
  <c r="G182" i="16"/>
  <c r="F182" i="16"/>
  <c r="E182" i="16"/>
  <c r="D182" i="16"/>
  <c r="C182" i="16"/>
  <c r="B182" i="16"/>
  <c r="A182" i="16"/>
  <c r="X181" i="16"/>
  <c r="W181" i="16"/>
  <c r="Q181" i="16"/>
  <c r="P181" i="16"/>
  <c r="O181" i="16"/>
  <c r="N181" i="16"/>
  <c r="M181" i="16"/>
  <c r="L181" i="16"/>
  <c r="K181" i="16"/>
  <c r="J181" i="16"/>
  <c r="H181" i="16"/>
  <c r="G181" i="16"/>
  <c r="F181" i="16"/>
  <c r="E181" i="16"/>
  <c r="D181" i="16"/>
  <c r="C181" i="16"/>
  <c r="B181" i="16"/>
  <c r="A181" i="16"/>
  <c r="X180" i="16"/>
  <c r="W180" i="16"/>
  <c r="Q180" i="16"/>
  <c r="P180" i="16"/>
  <c r="O180" i="16"/>
  <c r="N180" i="16"/>
  <c r="M180" i="16"/>
  <c r="L180" i="16"/>
  <c r="K180" i="16"/>
  <c r="J180" i="16"/>
  <c r="H180" i="16"/>
  <c r="G180" i="16"/>
  <c r="F180" i="16"/>
  <c r="E180" i="16"/>
  <c r="D180" i="16"/>
  <c r="C180" i="16"/>
  <c r="B180" i="16"/>
  <c r="A180" i="16"/>
  <c r="X179" i="16"/>
  <c r="W179" i="16"/>
  <c r="Q179" i="16"/>
  <c r="P179" i="16"/>
  <c r="O179" i="16"/>
  <c r="N179" i="16"/>
  <c r="M179" i="16"/>
  <c r="L179" i="16"/>
  <c r="K179" i="16"/>
  <c r="J179" i="16"/>
  <c r="H179" i="16"/>
  <c r="G179" i="16"/>
  <c r="F179" i="16"/>
  <c r="E179" i="16"/>
  <c r="D179" i="16"/>
  <c r="C179" i="16"/>
  <c r="B179" i="16"/>
  <c r="A179" i="16"/>
  <c r="X178" i="16"/>
  <c r="W178" i="16"/>
  <c r="Q178" i="16"/>
  <c r="P178" i="16"/>
  <c r="O178" i="16"/>
  <c r="N178" i="16"/>
  <c r="M178" i="16"/>
  <c r="L178" i="16"/>
  <c r="K178" i="16"/>
  <c r="J178" i="16"/>
  <c r="H178" i="16"/>
  <c r="G178" i="16"/>
  <c r="F178" i="16"/>
  <c r="E178" i="16"/>
  <c r="D178" i="16"/>
  <c r="C178" i="16"/>
  <c r="B178" i="16"/>
  <c r="A178" i="16"/>
  <c r="X177" i="16"/>
  <c r="W177" i="16"/>
  <c r="Q177" i="16"/>
  <c r="P177" i="16"/>
  <c r="O177" i="16"/>
  <c r="N177" i="16"/>
  <c r="M177" i="16"/>
  <c r="L177" i="16"/>
  <c r="K177" i="16"/>
  <c r="J177" i="16"/>
  <c r="H177" i="16"/>
  <c r="G177" i="16"/>
  <c r="F177" i="16"/>
  <c r="E177" i="16"/>
  <c r="D177" i="16"/>
  <c r="C177" i="16"/>
  <c r="B177" i="16"/>
  <c r="A177" i="16"/>
  <c r="X176" i="16"/>
  <c r="W176" i="16"/>
  <c r="Q176" i="16"/>
  <c r="P176" i="16"/>
  <c r="O176" i="16"/>
  <c r="N176" i="16"/>
  <c r="M176" i="16"/>
  <c r="L176" i="16"/>
  <c r="K176" i="16"/>
  <c r="J176" i="16"/>
  <c r="H176" i="16"/>
  <c r="G176" i="16"/>
  <c r="F176" i="16"/>
  <c r="E176" i="16"/>
  <c r="D176" i="16"/>
  <c r="C176" i="16"/>
  <c r="B176" i="16"/>
  <c r="A176" i="16"/>
  <c r="X175" i="16"/>
  <c r="W175" i="16"/>
  <c r="Q175" i="16"/>
  <c r="P175" i="16"/>
  <c r="O175" i="16"/>
  <c r="N175" i="16"/>
  <c r="M175" i="16"/>
  <c r="L175" i="16"/>
  <c r="K175" i="16"/>
  <c r="J175" i="16"/>
  <c r="H175" i="16"/>
  <c r="G175" i="16"/>
  <c r="F175" i="16"/>
  <c r="E175" i="16"/>
  <c r="D175" i="16"/>
  <c r="C175" i="16"/>
  <c r="B175" i="16"/>
  <c r="A175" i="16"/>
  <c r="X174" i="16"/>
  <c r="W174" i="16"/>
  <c r="Q174" i="16"/>
  <c r="P174" i="16"/>
  <c r="O174" i="16"/>
  <c r="N174" i="16"/>
  <c r="M174" i="16"/>
  <c r="L174" i="16"/>
  <c r="K174" i="16"/>
  <c r="J174" i="16"/>
  <c r="H174" i="16"/>
  <c r="G174" i="16"/>
  <c r="F174" i="16"/>
  <c r="E174" i="16"/>
  <c r="D174" i="16"/>
  <c r="C174" i="16"/>
  <c r="B174" i="16"/>
  <c r="A174" i="16"/>
  <c r="X173" i="16"/>
  <c r="W173" i="16"/>
  <c r="Q173" i="16"/>
  <c r="P173" i="16"/>
  <c r="O173" i="16"/>
  <c r="N173" i="16"/>
  <c r="M173" i="16"/>
  <c r="L173" i="16"/>
  <c r="K173" i="16"/>
  <c r="J173" i="16"/>
  <c r="H173" i="16"/>
  <c r="G173" i="16"/>
  <c r="F173" i="16"/>
  <c r="E173" i="16"/>
  <c r="D173" i="16"/>
  <c r="C173" i="16"/>
  <c r="B173" i="16"/>
  <c r="A173" i="16"/>
  <c r="X172" i="16"/>
  <c r="W172" i="16"/>
  <c r="Q172" i="16"/>
  <c r="P172" i="16"/>
  <c r="O172" i="16"/>
  <c r="N172" i="16"/>
  <c r="M172" i="16"/>
  <c r="L172" i="16"/>
  <c r="K172" i="16"/>
  <c r="J172" i="16"/>
  <c r="H172" i="16"/>
  <c r="G172" i="16"/>
  <c r="F172" i="16"/>
  <c r="E172" i="16"/>
  <c r="D172" i="16"/>
  <c r="C172" i="16"/>
  <c r="B172" i="16"/>
  <c r="A172" i="16"/>
  <c r="X171" i="16"/>
  <c r="W171" i="16"/>
  <c r="Q171" i="16"/>
  <c r="P171" i="16"/>
  <c r="O171" i="16"/>
  <c r="N171" i="16"/>
  <c r="M171" i="16"/>
  <c r="L171" i="16"/>
  <c r="K171" i="16"/>
  <c r="J171" i="16"/>
  <c r="H171" i="16"/>
  <c r="G171" i="16"/>
  <c r="F171" i="16"/>
  <c r="E171" i="16"/>
  <c r="D171" i="16"/>
  <c r="C171" i="16"/>
  <c r="B171" i="16"/>
  <c r="A171" i="16"/>
  <c r="X170" i="16"/>
  <c r="W170" i="16"/>
  <c r="Q170" i="16"/>
  <c r="P170" i="16"/>
  <c r="O170" i="16"/>
  <c r="N170" i="16"/>
  <c r="M170" i="16"/>
  <c r="L170" i="16"/>
  <c r="K170" i="16"/>
  <c r="J170" i="16"/>
  <c r="H170" i="16"/>
  <c r="G170" i="16"/>
  <c r="F170" i="16"/>
  <c r="E170" i="16"/>
  <c r="D170" i="16"/>
  <c r="C170" i="16"/>
  <c r="B170" i="16"/>
  <c r="A170" i="16"/>
  <c r="X169" i="16"/>
  <c r="W169" i="16"/>
  <c r="Q169" i="16"/>
  <c r="P169" i="16"/>
  <c r="O169" i="16"/>
  <c r="N169" i="16"/>
  <c r="M169" i="16"/>
  <c r="L169" i="16"/>
  <c r="K169" i="16"/>
  <c r="J169" i="16"/>
  <c r="H169" i="16"/>
  <c r="G169" i="16"/>
  <c r="F169" i="16"/>
  <c r="E169" i="16"/>
  <c r="D169" i="16"/>
  <c r="C169" i="16"/>
  <c r="B169" i="16"/>
  <c r="A169" i="16"/>
  <c r="X168" i="16"/>
  <c r="W168" i="16"/>
  <c r="Q168" i="16"/>
  <c r="P168" i="16"/>
  <c r="O168" i="16"/>
  <c r="N168" i="16"/>
  <c r="M168" i="16"/>
  <c r="L168" i="16"/>
  <c r="K168" i="16"/>
  <c r="J168" i="16"/>
  <c r="H168" i="16"/>
  <c r="G168" i="16"/>
  <c r="F168" i="16"/>
  <c r="E168" i="16"/>
  <c r="D168" i="16"/>
  <c r="C168" i="16"/>
  <c r="B168" i="16"/>
  <c r="A168" i="16"/>
  <c r="X167" i="16"/>
  <c r="W167" i="16"/>
  <c r="Q167" i="16"/>
  <c r="P167" i="16"/>
  <c r="O167" i="16"/>
  <c r="N167" i="16"/>
  <c r="M167" i="16"/>
  <c r="L167" i="16"/>
  <c r="K167" i="16"/>
  <c r="J167" i="16"/>
  <c r="H167" i="16"/>
  <c r="G167" i="16"/>
  <c r="F167" i="16"/>
  <c r="E167" i="16"/>
  <c r="D167" i="16"/>
  <c r="C167" i="16"/>
  <c r="B167" i="16"/>
  <c r="A167" i="16"/>
  <c r="X166" i="16"/>
  <c r="W166" i="16"/>
  <c r="Q166" i="16"/>
  <c r="P166" i="16"/>
  <c r="O166" i="16"/>
  <c r="N166" i="16"/>
  <c r="M166" i="16"/>
  <c r="L166" i="16"/>
  <c r="K166" i="16"/>
  <c r="J166" i="16"/>
  <c r="H166" i="16"/>
  <c r="G166" i="16"/>
  <c r="F166" i="16"/>
  <c r="E166" i="16"/>
  <c r="D166" i="16"/>
  <c r="C166" i="16"/>
  <c r="B166" i="16"/>
  <c r="A166" i="16"/>
  <c r="X165" i="16"/>
  <c r="W165" i="16"/>
  <c r="Q165" i="16"/>
  <c r="P165" i="16"/>
  <c r="O165" i="16"/>
  <c r="N165" i="16"/>
  <c r="M165" i="16"/>
  <c r="L165" i="16"/>
  <c r="K165" i="16"/>
  <c r="J165" i="16"/>
  <c r="H165" i="16"/>
  <c r="G165" i="16"/>
  <c r="F165" i="16"/>
  <c r="E165" i="16"/>
  <c r="D165" i="16"/>
  <c r="C165" i="16"/>
  <c r="B165" i="16"/>
  <c r="A165" i="16"/>
  <c r="X164" i="16"/>
  <c r="W164" i="16"/>
  <c r="Q164" i="16"/>
  <c r="P164" i="16"/>
  <c r="O164" i="16"/>
  <c r="N164" i="16"/>
  <c r="M164" i="16"/>
  <c r="L164" i="16"/>
  <c r="K164" i="16"/>
  <c r="J164" i="16"/>
  <c r="H164" i="16"/>
  <c r="G164" i="16"/>
  <c r="F164" i="16"/>
  <c r="E164" i="16"/>
  <c r="D164" i="16"/>
  <c r="C164" i="16"/>
  <c r="B164" i="16"/>
  <c r="A164" i="16"/>
  <c r="X163" i="16"/>
  <c r="W163" i="16"/>
  <c r="Q163" i="16"/>
  <c r="P163" i="16"/>
  <c r="O163" i="16"/>
  <c r="N163" i="16"/>
  <c r="M163" i="16"/>
  <c r="L163" i="16"/>
  <c r="K163" i="16"/>
  <c r="J163" i="16"/>
  <c r="H163" i="16"/>
  <c r="G163" i="16"/>
  <c r="F163" i="16"/>
  <c r="E163" i="16"/>
  <c r="D163" i="16"/>
  <c r="C163" i="16"/>
  <c r="B163" i="16"/>
  <c r="A163" i="16"/>
  <c r="X162" i="16"/>
  <c r="W162" i="16"/>
  <c r="Q162" i="16"/>
  <c r="P162" i="16"/>
  <c r="O162" i="16"/>
  <c r="N162" i="16"/>
  <c r="M162" i="16"/>
  <c r="L162" i="16"/>
  <c r="K162" i="16"/>
  <c r="J162" i="16"/>
  <c r="H162" i="16"/>
  <c r="G162" i="16"/>
  <c r="F162" i="16"/>
  <c r="E162" i="16"/>
  <c r="D162" i="16"/>
  <c r="C162" i="16"/>
  <c r="B162" i="16"/>
  <c r="A162" i="16"/>
  <c r="X161" i="16"/>
  <c r="W161" i="16"/>
  <c r="Q161" i="16"/>
  <c r="P161" i="16"/>
  <c r="O161" i="16"/>
  <c r="N161" i="16"/>
  <c r="M161" i="16"/>
  <c r="L161" i="16"/>
  <c r="K161" i="16"/>
  <c r="J161" i="16"/>
  <c r="H161" i="16"/>
  <c r="G161" i="16"/>
  <c r="F161" i="16"/>
  <c r="E161" i="16"/>
  <c r="D161" i="16"/>
  <c r="C161" i="16"/>
  <c r="B161" i="16"/>
  <c r="A161" i="16"/>
  <c r="X160" i="16"/>
  <c r="W160" i="16"/>
  <c r="Q160" i="16"/>
  <c r="P160" i="16"/>
  <c r="O160" i="16"/>
  <c r="N160" i="16"/>
  <c r="M160" i="16"/>
  <c r="L160" i="16"/>
  <c r="K160" i="16"/>
  <c r="J160" i="16"/>
  <c r="H160" i="16"/>
  <c r="G160" i="16"/>
  <c r="F160" i="16"/>
  <c r="E160" i="16"/>
  <c r="D160" i="16"/>
  <c r="C160" i="16"/>
  <c r="B160" i="16"/>
  <c r="A160" i="16"/>
  <c r="X159" i="16"/>
  <c r="W159" i="16"/>
  <c r="Q159" i="16"/>
  <c r="P159" i="16"/>
  <c r="O159" i="16"/>
  <c r="N159" i="16"/>
  <c r="M159" i="16"/>
  <c r="L159" i="16"/>
  <c r="K159" i="16"/>
  <c r="J159" i="16"/>
  <c r="H159" i="16"/>
  <c r="G159" i="16"/>
  <c r="F159" i="16"/>
  <c r="E159" i="16"/>
  <c r="D159" i="16"/>
  <c r="C159" i="16"/>
  <c r="B159" i="16"/>
  <c r="A159" i="16"/>
  <c r="X158" i="16"/>
  <c r="W158" i="16"/>
  <c r="Q158" i="16"/>
  <c r="P158" i="16"/>
  <c r="O158" i="16"/>
  <c r="N158" i="16"/>
  <c r="M158" i="16"/>
  <c r="L158" i="16"/>
  <c r="K158" i="16"/>
  <c r="J158" i="16"/>
  <c r="H158" i="16"/>
  <c r="G158" i="16"/>
  <c r="F158" i="16"/>
  <c r="E158" i="16"/>
  <c r="D158" i="16"/>
  <c r="C158" i="16"/>
  <c r="B158" i="16"/>
  <c r="A158" i="16"/>
  <c r="X157" i="16"/>
  <c r="W157" i="16"/>
  <c r="Q157" i="16"/>
  <c r="P157" i="16"/>
  <c r="O157" i="16"/>
  <c r="N157" i="16"/>
  <c r="M157" i="16"/>
  <c r="L157" i="16"/>
  <c r="K157" i="16"/>
  <c r="J157" i="16"/>
  <c r="H157" i="16"/>
  <c r="G157" i="16"/>
  <c r="F157" i="16"/>
  <c r="E157" i="16"/>
  <c r="D157" i="16"/>
  <c r="C157" i="16"/>
  <c r="B157" i="16"/>
  <c r="A157" i="16"/>
  <c r="X156" i="16"/>
  <c r="W156" i="16"/>
  <c r="Q156" i="16"/>
  <c r="P156" i="16"/>
  <c r="O156" i="16"/>
  <c r="N156" i="16"/>
  <c r="M156" i="16"/>
  <c r="L156" i="16"/>
  <c r="K156" i="16"/>
  <c r="J156" i="16"/>
  <c r="H156" i="16"/>
  <c r="G156" i="16"/>
  <c r="F156" i="16"/>
  <c r="E156" i="16"/>
  <c r="D156" i="16"/>
  <c r="C156" i="16"/>
  <c r="B156" i="16"/>
  <c r="A156" i="16"/>
  <c r="X155" i="16"/>
  <c r="W155" i="16"/>
  <c r="Q155" i="16"/>
  <c r="P155" i="16"/>
  <c r="O155" i="16"/>
  <c r="N155" i="16"/>
  <c r="M155" i="16"/>
  <c r="L155" i="16"/>
  <c r="K155" i="16"/>
  <c r="J155" i="16"/>
  <c r="H155" i="16"/>
  <c r="G155" i="16"/>
  <c r="F155" i="16"/>
  <c r="E155" i="16"/>
  <c r="D155" i="16"/>
  <c r="C155" i="16"/>
  <c r="B155" i="16"/>
  <c r="A155" i="16"/>
  <c r="X154" i="16"/>
  <c r="W154" i="16"/>
  <c r="Q154" i="16"/>
  <c r="P154" i="16"/>
  <c r="O154" i="16"/>
  <c r="N154" i="16"/>
  <c r="M154" i="16"/>
  <c r="L154" i="16"/>
  <c r="K154" i="16"/>
  <c r="J154" i="16"/>
  <c r="H154" i="16"/>
  <c r="G154" i="16"/>
  <c r="F154" i="16"/>
  <c r="E154" i="16"/>
  <c r="D154" i="16"/>
  <c r="C154" i="16"/>
  <c r="B154" i="16"/>
  <c r="A154" i="16"/>
  <c r="X153" i="16"/>
  <c r="W153" i="16"/>
  <c r="Q153" i="16"/>
  <c r="P153" i="16"/>
  <c r="O153" i="16"/>
  <c r="N153" i="16"/>
  <c r="M153" i="16"/>
  <c r="L153" i="16"/>
  <c r="K153" i="16"/>
  <c r="J153" i="16"/>
  <c r="H153" i="16"/>
  <c r="G153" i="16"/>
  <c r="F153" i="16"/>
  <c r="E153" i="16"/>
  <c r="D153" i="16"/>
  <c r="C153" i="16"/>
  <c r="B153" i="16"/>
  <c r="A153" i="16"/>
  <c r="X152" i="16"/>
  <c r="W152" i="16"/>
  <c r="Q152" i="16"/>
  <c r="P152" i="16"/>
  <c r="O152" i="16"/>
  <c r="N152" i="16"/>
  <c r="M152" i="16"/>
  <c r="L152" i="16"/>
  <c r="K152" i="16"/>
  <c r="J152" i="16"/>
  <c r="H152" i="16"/>
  <c r="G152" i="16"/>
  <c r="F152" i="16"/>
  <c r="E152" i="16"/>
  <c r="D152" i="16"/>
  <c r="C152" i="16"/>
  <c r="B152" i="16"/>
  <c r="A152" i="16"/>
  <c r="X151" i="16"/>
  <c r="W151" i="16"/>
  <c r="Q151" i="16"/>
  <c r="P151" i="16"/>
  <c r="O151" i="16"/>
  <c r="N151" i="16"/>
  <c r="M151" i="16"/>
  <c r="L151" i="16"/>
  <c r="K151" i="16"/>
  <c r="J151" i="16"/>
  <c r="H151" i="16"/>
  <c r="G151" i="16"/>
  <c r="F151" i="16"/>
  <c r="E151" i="16"/>
  <c r="D151" i="16"/>
  <c r="C151" i="16"/>
  <c r="B151" i="16"/>
  <c r="A151" i="16"/>
  <c r="X150" i="16"/>
  <c r="W150" i="16"/>
  <c r="Q150" i="16"/>
  <c r="P150" i="16"/>
  <c r="O150" i="16"/>
  <c r="N150" i="16"/>
  <c r="M150" i="16"/>
  <c r="L150" i="16"/>
  <c r="K150" i="16"/>
  <c r="J150" i="16"/>
  <c r="H150" i="16"/>
  <c r="G150" i="16"/>
  <c r="F150" i="16"/>
  <c r="E150" i="16"/>
  <c r="D150" i="16"/>
  <c r="C150" i="16"/>
  <c r="B150" i="16"/>
  <c r="A150" i="16"/>
  <c r="X149" i="16"/>
  <c r="W149" i="16"/>
  <c r="Q149" i="16"/>
  <c r="P149" i="16"/>
  <c r="O149" i="16"/>
  <c r="N149" i="16"/>
  <c r="M149" i="16"/>
  <c r="L149" i="16"/>
  <c r="K149" i="16"/>
  <c r="J149" i="16"/>
  <c r="H149" i="16"/>
  <c r="G149" i="16"/>
  <c r="F149" i="16"/>
  <c r="E149" i="16"/>
  <c r="D149" i="16"/>
  <c r="C149" i="16"/>
  <c r="B149" i="16"/>
  <c r="A149" i="16"/>
  <c r="X148" i="16"/>
  <c r="W148" i="16"/>
  <c r="Q148" i="16"/>
  <c r="P148" i="16"/>
  <c r="O148" i="16"/>
  <c r="N148" i="16"/>
  <c r="M148" i="16"/>
  <c r="L148" i="16"/>
  <c r="K148" i="16"/>
  <c r="J148" i="16"/>
  <c r="H148" i="16"/>
  <c r="G148" i="16"/>
  <c r="F148" i="16"/>
  <c r="E148" i="16"/>
  <c r="D148" i="16"/>
  <c r="C148" i="16"/>
  <c r="B148" i="16"/>
  <c r="A148" i="16"/>
  <c r="X147" i="16"/>
  <c r="W147" i="16"/>
  <c r="Q147" i="16"/>
  <c r="P147" i="16"/>
  <c r="O147" i="16"/>
  <c r="N147" i="16"/>
  <c r="M147" i="16"/>
  <c r="L147" i="16"/>
  <c r="K147" i="16"/>
  <c r="J147" i="16"/>
  <c r="H147" i="16"/>
  <c r="G147" i="16"/>
  <c r="F147" i="16"/>
  <c r="E147" i="16"/>
  <c r="D147" i="16"/>
  <c r="C147" i="16"/>
  <c r="B147" i="16"/>
  <c r="A147" i="16"/>
  <c r="X146" i="16"/>
  <c r="W146" i="16"/>
  <c r="Q146" i="16"/>
  <c r="P146" i="16"/>
  <c r="O146" i="16"/>
  <c r="N146" i="16"/>
  <c r="M146" i="16"/>
  <c r="L146" i="16"/>
  <c r="K146" i="16"/>
  <c r="J146" i="16"/>
  <c r="H146" i="16"/>
  <c r="G146" i="16"/>
  <c r="F146" i="16"/>
  <c r="E146" i="16"/>
  <c r="D146" i="16"/>
  <c r="C146" i="16"/>
  <c r="B146" i="16"/>
  <c r="A146" i="16"/>
  <c r="X145" i="16"/>
  <c r="W145" i="16"/>
  <c r="Q145" i="16"/>
  <c r="P145" i="16"/>
  <c r="O145" i="16"/>
  <c r="N145" i="16"/>
  <c r="M145" i="16"/>
  <c r="L145" i="16"/>
  <c r="K145" i="16"/>
  <c r="J145" i="16"/>
  <c r="H145" i="16"/>
  <c r="G145" i="16"/>
  <c r="F145" i="16"/>
  <c r="E145" i="16"/>
  <c r="D145" i="16"/>
  <c r="C145" i="16"/>
  <c r="B145" i="16"/>
  <c r="A145" i="16"/>
  <c r="X144" i="16"/>
  <c r="W144" i="16"/>
  <c r="Q144" i="16"/>
  <c r="P144" i="16"/>
  <c r="O144" i="16"/>
  <c r="N144" i="16"/>
  <c r="M144" i="16"/>
  <c r="L144" i="16"/>
  <c r="K144" i="16"/>
  <c r="J144" i="16"/>
  <c r="H144" i="16"/>
  <c r="G144" i="16"/>
  <c r="F144" i="16"/>
  <c r="E144" i="16"/>
  <c r="D144" i="16"/>
  <c r="C144" i="16"/>
  <c r="B144" i="16"/>
  <c r="A144" i="16"/>
  <c r="X143" i="16"/>
  <c r="W143" i="16"/>
  <c r="Q143" i="16"/>
  <c r="P143" i="16"/>
  <c r="O143" i="16"/>
  <c r="N143" i="16"/>
  <c r="M143" i="16"/>
  <c r="L143" i="16"/>
  <c r="K143" i="16"/>
  <c r="J143" i="16"/>
  <c r="H143" i="16"/>
  <c r="G143" i="16"/>
  <c r="F143" i="16"/>
  <c r="E143" i="16"/>
  <c r="D143" i="16"/>
  <c r="C143" i="16"/>
  <c r="B143" i="16"/>
  <c r="A143" i="16"/>
  <c r="X142" i="16"/>
  <c r="W142" i="16"/>
  <c r="Q142" i="16"/>
  <c r="P142" i="16"/>
  <c r="O142" i="16"/>
  <c r="N142" i="16"/>
  <c r="M142" i="16"/>
  <c r="L142" i="16"/>
  <c r="K142" i="16"/>
  <c r="J142" i="16"/>
  <c r="H142" i="16"/>
  <c r="G142" i="16"/>
  <c r="F142" i="16"/>
  <c r="E142" i="16"/>
  <c r="D142" i="16"/>
  <c r="C142" i="16"/>
  <c r="B142" i="16"/>
  <c r="A142" i="16"/>
  <c r="X141" i="16"/>
  <c r="W141" i="16"/>
  <c r="Q141" i="16"/>
  <c r="P141" i="16"/>
  <c r="O141" i="16"/>
  <c r="N141" i="16"/>
  <c r="M141" i="16"/>
  <c r="L141" i="16"/>
  <c r="K141" i="16"/>
  <c r="J141" i="16"/>
  <c r="H141" i="16"/>
  <c r="G141" i="16"/>
  <c r="F141" i="16"/>
  <c r="E141" i="16"/>
  <c r="D141" i="16"/>
  <c r="C141" i="16"/>
  <c r="B141" i="16"/>
  <c r="A141" i="16"/>
  <c r="X140" i="16"/>
  <c r="W140" i="16"/>
  <c r="Q140" i="16"/>
  <c r="P140" i="16"/>
  <c r="O140" i="16"/>
  <c r="N140" i="16"/>
  <c r="M140" i="16"/>
  <c r="L140" i="16"/>
  <c r="K140" i="16"/>
  <c r="J140" i="16"/>
  <c r="H140" i="16"/>
  <c r="G140" i="16"/>
  <c r="F140" i="16"/>
  <c r="E140" i="16"/>
  <c r="D140" i="16"/>
  <c r="C140" i="16"/>
  <c r="B140" i="16"/>
  <c r="A140" i="16"/>
  <c r="X139" i="16"/>
  <c r="W139" i="16"/>
  <c r="Q139" i="16"/>
  <c r="P139" i="16"/>
  <c r="O139" i="16"/>
  <c r="N139" i="16"/>
  <c r="M139" i="16"/>
  <c r="L139" i="16"/>
  <c r="K139" i="16"/>
  <c r="J139" i="16"/>
  <c r="H139" i="16"/>
  <c r="G139" i="16"/>
  <c r="F139" i="16"/>
  <c r="E139" i="16"/>
  <c r="D139" i="16"/>
  <c r="C139" i="16"/>
  <c r="B139" i="16"/>
  <c r="A139" i="16"/>
  <c r="X138" i="16"/>
  <c r="W138" i="16"/>
  <c r="Q138" i="16"/>
  <c r="P138" i="16"/>
  <c r="O138" i="16"/>
  <c r="N138" i="16"/>
  <c r="M138" i="16"/>
  <c r="L138" i="16"/>
  <c r="K138" i="16"/>
  <c r="J138" i="16"/>
  <c r="H138" i="16"/>
  <c r="G138" i="16"/>
  <c r="F138" i="16"/>
  <c r="E138" i="16"/>
  <c r="D138" i="16"/>
  <c r="C138" i="16"/>
  <c r="B138" i="16"/>
  <c r="A138" i="16"/>
  <c r="X137" i="16"/>
  <c r="W137" i="16"/>
  <c r="Q137" i="16"/>
  <c r="P137" i="16"/>
  <c r="O137" i="16"/>
  <c r="N137" i="16"/>
  <c r="M137" i="16"/>
  <c r="L137" i="16"/>
  <c r="K137" i="16"/>
  <c r="J137" i="16"/>
  <c r="H137" i="16"/>
  <c r="G137" i="16"/>
  <c r="F137" i="16"/>
  <c r="E137" i="16"/>
  <c r="D137" i="16"/>
  <c r="C137" i="16"/>
  <c r="B137" i="16"/>
  <c r="A137" i="16"/>
  <c r="X136" i="16"/>
  <c r="W136" i="16"/>
  <c r="Q136" i="16"/>
  <c r="P136" i="16"/>
  <c r="O136" i="16"/>
  <c r="N136" i="16"/>
  <c r="M136" i="16"/>
  <c r="L136" i="16"/>
  <c r="K136" i="16"/>
  <c r="J136" i="16"/>
  <c r="H136" i="16"/>
  <c r="G136" i="16"/>
  <c r="F136" i="16"/>
  <c r="E136" i="16"/>
  <c r="D136" i="16"/>
  <c r="C136" i="16"/>
  <c r="B136" i="16"/>
  <c r="A136" i="16"/>
  <c r="X135" i="16"/>
  <c r="W135" i="16"/>
  <c r="Q135" i="16"/>
  <c r="P135" i="16"/>
  <c r="O135" i="16"/>
  <c r="N135" i="16"/>
  <c r="M135" i="16"/>
  <c r="L135" i="16"/>
  <c r="K135" i="16"/>
  <c r="J135" i="16"/>
  <c r="H135" i="16"/>
  <c r="G135" i="16"/>
  <c r="F135" i="16"/>
  <c r="E135" i="16"/>
  <c r="D135" i="16"/>
  <c r="C135" i="16"/>
  <c r="B135" i="16"/>
  <c r="A135" i="16"/>
  <c r="X134" i="16"/>
  <c r="W134" i="16"/>
  <c r="Q134" i="16"/>
  <c r="P134" i="16"/>
  <c r="O134" i="16"/>
  <c r="N134" i="16"/>
  <c r="M134" i="16"/>
  <c r="L134" i="16"/>
  <c r="K134" i="16"/>
  <c r="J134" i="16"/>
  <c r="H134" i="16"/>
  <c r="G134" i="16"/>
  <c r="F134" i="16"/>
  <c r="E134" i="16"/>
  <c r="D134" i="16"/>
  <c r="C134" i="16"/>
  <c r="B134" i="16"/>
  <c r="A134" i="16"/>
  <c r="X133" i="16"/>
  <c r="W133" i="16"/>
  <c r="Q133" i="16"/>
  <c r="P133" i="16"/>
  <c r="O133" i="16"/>
  <c r="N133" i="16"/>
  <c r="M133" i="16"/>
  <c r="L133" i="16"/>
  <c r="K133" i="16"/>
  <c r="J133" i="16"/>
  <c r="H133" i="16"/>
  <c r="G133" i="16"/>
  <c r="F133" i="16"/>
  <c r="E133" i="16"/>
  <c r="D133" i="16"/>
  <c r="C133" i="16"/>
  <c r="B133" i="16"/>
  <c r="A133" i="16"/>
  <c r="X132" i="16"/>
  <c r="W132" i="16"/>
  <c r="Q132" i="16"/>
  <c r="P132" i="16"/>
  <c r="O132" i="16"/>
  <c r="N132" i="16"/>
  <c r="M132" i="16"/>
  <c r="L132" i="16"/>
  <c r="K132" i="16"/>
  <c r="J132" i="16"/>
  <c r="H132" i="16"/>
  <c r="G132" i="16"/>
  <c r="F132" i="16"/>
  <c r="E132" i="16"/>
  <c r="D132" i="16"/>
  <c r="C132" i="16"/>
  <c r="B132" i="16"/>
  <c r="A132" i="16"/>
  <c r="X131" i="16"/>
  <c r="W131" i="16"/>
  <c r="Q131" i="16"/>
  <c r="P131" i="16"/>
  <c r="O131" i="16"/>
  <c r="N131" i="16"/>
  <c r="M131" i="16"/>
  <c r="L131" i="16"/>
  <c r="K131" i="16"/>
  <c r="J131" i="16"/>
  <c r="H131" i="16"/>
  <c r="G131" i="16"/>
  <c r="F131" i="16"/>
  <c r="E131" i="16"/>
  <c r="D131" i="16"/>
  <c r="C131" i="16"/>
  <c r="B131" i="16"/>
  <c r="A131" i="16"/>
  <c r="X130" i="16"/>
  <c r="W130" i="16"/>
  <c r="Q130" i="16"/>
  <c r="P130" i="16"/>
  <c r="O130" i="16"/>
  <c r="N130" i="16"/>
  <c r="M130" i="16"/>
  <c r="L130" i="16"/>
  <c r="K130" i="16"/>
  <c r="J130" i="16"/>
  <c r="H130" i="16"/>
  <c r="G130" i="16"/>
  <c r="F130" i="16"/>
  <c r="E130" i="16"/>
  <c r="D130" i="16"/>
  <c r="C130" i="16"/>
  <c r="B130" i="16"/>
  <c r="A130" i="16"/>
  <c r="X129" i="16"/>
  <c r="W129" i="16"/>
  <c r="Q129" i="16"/>
  <c r="P129" i="16"/>
  <c r="O129" i="16"/>
  <c r="N129" i="16"/>
  <c r="M129" i="16"/>
  <c r="L129" i="16"/>
  <c r="K129" i="16"/>
  <c r="J129" i="16"/>
  <c r="H129" i="16"/>
  <c r="G129" i="16"/>
  <c r="F129" i="16"/>
  <c r="E129" i="16"/>
  <c r="D129" i="16"/>
  <c r="C129" i="16"/>
  <c r="B129" i="16"/>
  <c r="A129" i="16"/>
  <c r="X128" i="16"/>
  <c r="W128" i="16"/>
  <c r="Q128" i="16"/>
  <c r="P128" i="16"/>
  <c r="O128" i="16"/>
  <c r="N128" i="16"/>
  <c r="M128" i="16"/>
  <c r="L128" i="16"/>
  <c r="K128" i="16"/>
  <c r="J128" i="16"/>
  <c r="H128" i="16"/>
  <c r="G128" i="16"/>
  <c r="F128" i="16"/>
  <c r="E128" i="16"/>
  <c r="D128" i="16"/>
  <c r="C128" i="16"/>
  <c r="B128" i="16"/>
  <c r="A128" i="16"/>
  <c r="X127" i="16"/>
  <c r="W127" i="16"/>
  <c r="Q127" i="16"/>
  <c r="P127" i="16"/>
  <c r="O127" i="16"/>
  <c r="N127" i="16"/>
  <c r="M127" i="16"/>
  <c r="L127" i="16"/>
  <c r="K127" i="16"/>
  <c r="J127" i="16"/>
  <c r="H127" i="16"/>
  <c r="G127" i="16"/>
  <c r="F127" i="16"/>
  <c r="E127" i="16"/>
  <c r="D127" i="16"/>
  <c r="C127" i="16"/>
  <c r="B127" i="16"/>
  <c r="A127" i="16"/>
  <c r="X126" i="16"/>
  <c r="W126" i="16"/>
  <c r="Q126" i="16"/>
  <c r="P126" i="16"/>
  <c r="O126" i="16"/>
  <c r="N126" i="16"/>
  <c r="M126" i="16"/>
  <c r="L126" i="16"/>
  <c r="K126" i="16"/>
  <c r="J126" i="16"/>
  <c r="H126" i="16"/>
  <c r="G126" i="16"/>
  <c r="F126" i="16"/>
  <c r="E126" i="16"/>
  <c r="D126" i="16"/>
  <c r="C126" i="16"/>
  <c r="B126" i="16"/>
  <c r="A126" i="16"/>
  <c r="X125" i="16"/>
  <c r="W125" i="16"/>
  <c r="Q125" i="16"/>
  <c r="P125" i="16"/>
  <c r="O125" i="16"/>
  <c r="N125" i="16"/>
  <c r="M125" i="16"/>
  <c r="L125" i="16"/>
  <c r="K125" i="16"/>
  <c r="J125" i="16"/>
  <c r="H125" i="16"/>
  <c r="G125" i="16"/>
  <c r="F125" i="16"/>
  <c r="E125" i="16"/>
  <c r="D125" i="16"/>
  <c r="C125" i="16"/>
  <c r="B125" i="16"/>
  <c r="A125" i="16"/>
  <c r="X124" i="16"/>
  <c r="W124" i="16"/>
  <c r="Q124" i="16"/>
  <c r="P124" i="16"/>
  <c r="O124" i="16"/>
  <c r="N124" i="16"/>
  <c r="M124" i="16"/>
  <c r="L124" i="16"/>
  <c r="K124" i="16"/>
  <c r="J124" i="16"/>
  <c r="H124" i="16"/>
  <c r="G124" i="16"/>
  <c r="F124" i="16"/>
  <c r="E124" i="16"/>
  <c r="D124" i="16"/>
  <c r="C124" i="16"/>
  <c r="B124" i="16"/>
  <c r="A124" i="16"/>
  <c r="X123" i="16"/>
  <c r="W123" i="16"/>
  <c r="Q123" i="16"/>
  <c r="P123" i="16"/>
  <c r="O123" i="16"/>
  <c r="N123" i="16"/>
  <c r="M123" i="16"/>
  <c r="L123" i="16"/>
  <c r="K123" i="16"/>
  <c r="J123" i="16"/>
  <c r="H123" i="16"/>
  <c r="G123" i="16"/>
  <c r="F123" i="16"/>
  <c r="E123" i="16"/>
  <c r="D123" i="16"/>
  <c r="C123" i="16"/>
  <c r="B123" i="16"/>
  <c r="A123" i="16"/>
  <c r="X122" i="16"/>
  <c r="W122" i="16"/>
  <c r="Q122" i="16"/>
  <c r="P122" i="16"/>
  <c r="O122" i="16"/>
  <c r="N122" i="16"/>
  <c r="M122" i="16"/>
  <c r="L122" i="16"/>
  <c r="K122" i="16"/>
  <c r="J122" i="16"/>
  <c r="H122" i="16"/>
  <c r="G122" i="16"/>
  <c r="F122" i="16"/>
  <c r="E122" i="16"/>
  <c r="D122" i="16"/>
  <c r="C122" i="16"/>
  <c r="B122" i="16"/>
  <c r="A122" i="16"/>
  <c r="X121" i="16"/>
  <c r="W121" i="16"/>
  <c r="Q121" i="16"/>
  <c r="P121" i="16"/>
  <c r="O121" i="16"/>
  <c r="N121" i="16"/>
  <c r="M121" i="16"/>
  <c r="L121" i="16"/>
  <c r="K121" i="16"/>
  <c r="J121" i="16"/>
  <c r="H121" i="16"/>
  <c r="G121" i="16"/>
  <c r="F121" i="16"/>
  <c r="E121" i="16"/>
  <c r="B121" i="16"/>
  <c r="A121" i="16"/>
  <c r="X120" i="16"/>
  <c r="W120" i="16"/>
  <c r="Q120" i="16"/>
  <c r="P120" i="16"/>
  <c r="O120" i="16"/>
  <c r="N120" i="16"/>
  <c r="M120" i="16"/>
  <c r="L120" i="16"/>
  <c r="K120" i="16"/>
  <c r="B120" i="16"/>
  <c r="A120" i="16"/>
  <c r="X119" i="16"/>
  <c r="W119" i="16"/>
  <c r="Q119" i="16"/>
  <c r="P119" i="16"/>
  <c r="O119" i="16"/>
  <c r="N119" i="16"/>
  <c r="M119" i="16"/>
  <c r="L119" i="16"/>
  <c r="K119" i="16"/>
  <c r="B119" i="16"/>
  <c r="A119" i="16"/>
  <c r="X118" i="16"/>
  <c r="Q118" i="16"/>
  <c r="P118" i="16"/>
  <c r="O118" i="16"/>
  <c r="N118" i="16"/>
  <c r="M118" i="16"/>
  <c r="L118" i="16"/>
  <c r="K118" i="16"/>
  <c r="D118" i="16"/>
  <c r="X117" i="16"/>
  <c r="W117" i="16"/>
  <c r="Q117" i="16"/>
  <c r="P117" i="16"/>
  <c r="O117" i="16"/>
  <c r="N117" i="16"/>
  <c r="M117" i="16"/>
  <c r="L117" i="16"/>
  <c r="K117" i="16"/>
  <c r="J117" i="16"/>
  <c r="H117" i="16"/>
  <c r="G117" i="16"/>
  <c r="F117" i="16"/>
  <c r="E117" i="16"/>
  <c r="D117" i="16"/>
  <c r="C117" i="16"/>
  <c r="B117" i="16"/>
  <c r="A117" i="16"/>
  <c r="X116" i="16"/>
  <c r="W116" i="16"/>
  <c r="Q116" i="16"/>
  <c r="P116" i="16"/>
  <c r="O116" i="16"/>
  <c r="N116" i="16"/>
  <c r="M116" i="16"/>
  <c r="L116" i="16"/>
  <c r="K116" i="16"/>
  <c r="J116" i="16"/>
  <c r="H116" i="16"/>
  <c r="G116" i="16"/>
  <c r="F116" i="16"/>
  <c r="E116" i="16"/>
  <c r="D116" i="16"/>
  <c r="C116" i="16"/>
  <c r="B116" i="16"/>
  <c r="A116" i="16"/>
  <c r="X115" i="16"/>
  <c r="W115" i="16"/>
  <c r="Q115" i="16"/>
  <c r="P115" i="16"/>
  <c r="O115" i="16"/>
  <c r="N115" i="16"/>
  <c r="M115" i="16"/>
  <c r="L115" i="16"/>
  <c r="K115" i="16"/>
  <c r="J115" i="16"/>
  <c r="H115" i="16"/>
  <c r="G115" i="16"/>
  <c r="F115" i="16"/>
  <c r="E115" i="16"/>
  <c r="D115" i="16"/>
  <c r="C115" i="16"/>
  <c r="B115" i="16"/>
  <c r="A115" i="16"/>
  <c r="X114" i="16"/>
  <c r="W114" i="16"/>
  <c r="Q114" i="16"/>
  <c r="P114" i="16"/>
  <c r="O114" i="16"/>
  <c r="N114" i="16"/>
  <c r="M114" i="16"/>
  <c r="L114" i="16"/>
  <c r="K114" i="16"/>
  <c r="J114" i="16"/>
  <c r="H114" i="16"/>
  <c r="G114" i="16"/>
  <c r="F114" i="16"/>
  <c r="E114" i="16"/>
  <c r="D114" i="16"/>
  <c r="C114" i="16"/>
  <c r="B114" i="16"/>
  <c r="A114" i="16"/>
  <c r="X113" i="16"/>
  <c r="W113" i="16"/>
  <c r="Q113" i="16"/>
  <c r="P113" i="16"/>
  <c r="O113" i="16"/>
  <c r="N113" i="16"/>
  <c r="M113" i="16"/>
  <c r="L113" i="16"/>
  <c r="K113" i="16"/>
  <c r="J113" i="16"/>
  <c r="H113" i="16"/>
  <c r="G113" i="16"/>
  <c r="F113" i="16"/>
  <c r="E113" i="16"/>
  <c r="D113" i="16"/>
  <c r="C113" i="16"/>
  <c r="B113" i="16"/>
  <c r="A113" i="16"/>
  <c r="X112" i="16"/>
  <c r="W112" i="16"/>
  <c r="Q112" i="16"/>
  <c r="P112" i="16"/>
  <c r="O112" i="16"/>
  <c r="N112" i="16"/>
  <c r="M112" i="16"/>
  <c r="L112" i="16"/>
  <c r="K112" i="16"/>
  <c r="J112" i="16"/>
  <c r="H112" i="16"/>
  <c r="G112" i="16"/>
  <c r="F112" i="16"/>
  <c r="E112" i="16"/>
  <c r="D112" i="16"/>
  <c r="C112" i="16"/>
  <c r="B112" i="16"/>
  <c r="A112" i="16"/>
  <c r="X110" i="16"/>
  <c r="W110" i="16"/>
  <c r="Q110" i="16"/>
  <c r="P110" i="16"/>
  <c r="O110" i="16"/>
  <c r="N110" i="16"/>
  <c r="M110" i="16"/>
  <c r="L110" i="16"/>
  <c r="K110" i="16"/>
  <c r="J110" i="16"/>
  <c r="H110" i="16"/>
  <c r="G110" i="16"/>
  <c r="F110" i="16"/>
  <c r="E110" i="16"/>
  <c r="D110" i="16"/>
  <c r="C110" i="16"/>
  <c r="B110" i="16"/>
  <c r="A110" i="16"/>
  <c r="X109" i="16"/>
  <c r="W109" i="16"/>
  <c r="Q109" i="16"/>
  <c r="P109" i="16"/>
  <c r="O109" i="16"/>
  <c r="N109" i="16"/>
  <c r="M109" i="16"/>
  <c r="L109" i="16"/>
  <c r="K109" i="16"/>
  <c r="J109" i="16"/>
  <c r="H109" i="16"/>
  <c r="G109" i="16"/>
  <c r="F109" i="16"/>
  <c r="E109" i="16"/>
  <c r="D109" i="16"/>
  <c r="C109" i="16"/>
  <c r="B109" i="16"/>
  <c r="A109" i="16"/>
  <c r="X108" i="16"/>
  <c r="W108" i="16"/>
  <c r="Q108" i="16"/>
  <c r="P108" i="16"/>
  <c r="O108" i="16"/>
  <c r="N108" i="16"/>
  <c r="M108" i="16"/>
  <c r="L108" i="16"/>
  <c r="K108" i="16"/>
  <c r="J108" i="16"/>
  <c r="H108" i="16"/>
  <c r="G108" i="16"/>
  <c r="F108" i="16"/>
  <c r="E108" i="16"/>
  <c r="D108" i="16"/>
  <c r="C108" i="16"/>
  <c r="B108" i="16"/>
  <c r="A108" i="16"/>
  <c r="X107" i="16"/>
  <c r="W107" i="16"/>
  <c r="Q107" i="16"/>
  <c r="P107" i="16"/>
  <c r="O107" i="16"/>
  <c r="N107" i="16"/>
  <c r="M107" i="16"/>
  <c r="L107" i="16"/>
  <c r="K107" i="16"/>
  <c r="J107" i="16"/>
  <c r="H107" i="16"/>
  <c r="G107" i="16"/>
  <c r="F107" i="16"/>
  <c r="E107" i="16"/>
  <c r="D107" i="16"/>
  <c r="B107" i="16"/>
  <c r="A107" i="16"/>
  <c r="X106" i="16"/>
  <c r="W106" i="16"/>
  <c r="Q106" i="16"/>
  <c r="P106" i="16"/>
  <c r="O106" i="16"/>
  <c r="N106" i="16"/>
  <c r="M106" i="16"/>
  <c r="L106" i="16"/>
  <c r="K106" i="16"/>
  <c r="J106" i="16"/>
  <c r="H106" i="16"/>
  <c r="G106" i="16"/>
  <c r="F106" i="16"/>
  <c r="E106" i="16"/>
  <c r="D106" i="16"/>
  <c r="C106" i="16"/>
  <c r="B106" i="16"/>
  <c r="A106" i="16"/>
  <c r="X105" i="16"/>
  <c r="W105" i="16"/>
  <c r="Q105" i="16"/>
  <c r="P105" i="16"/>
  <c r="O105" i="16"/>
  <c r="N105" i="16"/>
  <c r="M105" i="16"/>
  <c r="L105" i="16"/>
  <c r="K105" i="16"/>
  <c r="J105" i="16"/>
  <c r="H105" i="16"/>
  <c r="G105" i="16"/>
  <c r="F105" i="16"/>
  <c r="E105" i="16"/>
  <c r="D105" i="16"/>
  <c r="C105" i="16"/>
  <c r="B105" i="16"/>
  <c r="A105" i="16"/>
  <c r="X104" i="16"/>
  <c r="W104" i="16"/>
  <c r="Q104" i="16"/>
  <c r="P104" i="16"/>
  <c r="O104" i="16"/>
  <c r="N104" i="16"/>
  <c r="M104" i="16"/>
  <c r="L104" i="16"/>
  <c r="K104" i="16"/>
  <c r="J104" i="16"/>
  <c r="H104" i="16"/>
  <c r="G104" i="16"/>
  <c r="F104" i="16"/>
  <c r="E104" i="16"/>
  <c r="D104" i="16"/>
  <c r="C104" i="16"/>
  <c r="B104" i="16"/>
  <c r="A104" i="16"/>
  <c r="X103" i="16"/>
  <c r="W103" i="16"/>
  <c r="Q103" i="16"/>
  <c r="P103" i="16"/>
  <c r="O103" i="16"/>
  <c r="N103" i="16"/>
  <c r="M103" i="16"/>
  <c r="L103" i="16"/>
  <c r="K103" i="16"/>
  <c r="J103" i="16"/>
  <c r="H103" i="16"/>
  <c r="G103" i="16"/>
  <c r="F103" i="16"/>
  <c r="E103" i="16"/>
  <c r="D103" i="16"/>
  <c r="C103" i="16"/>
  <c r="B103" i="16"/>
  <c r="A103" i="16"/>
  <c r="X102" i="16"/>
  <c r="W102" i="16"/>
  <c r="Q102" i="16"/>
  <c r="P102" i="16"/>
  <c r="O102" i="16"/>
  <c r="N102" i="16"/>
  <c r="M102" i="16"/>
  <c r="L102" i="16"/>
  <c r="K102" i="16"/>
  <c r="J102" i="16"/>
  <c r="H102" i="16"/>
  <c r="G102" i="16"/>
  <c r="F102" i="16"/>
  <c r="E102" i="16"/>
  <c r="D102" i="16"/>
  <c r="C102" i="16"/>
  <c r="B102" i="16"/>
  <c r="A102" i="16"/>
  <c r="X101" i="16"/>
  <c r="W101" i="16"/>
  <c r="Q101" i="16"/>
  <c r="P101" i="16"/>
  <c r="O101" i="16"/>
  <c r="N101" i="16"/>
  <c r="M101" i="16"/>
  <c r="L101" i="16"/>
  <c r="K101" i="16"/>
  <c r="J101" i="16"/>
  <c r="H101" i="16"/>
  <c r="G101" i="16"/>
  <c r="F101" i="16"/>
  <c r="E101" i="16"/>
  <c r="D101" i="16"/>
  <c r="C101" i="16"/>
  <c r="B101" i="16"/>
  <c r="A101" i="16"/>
  <c r="X100" i="16"/>
  <c r="W100" i="16"/>
  <c r="Q100" i="16"/>
  <c r="P100" i="16"/>
  <c r="O100" i="16"/>
  <c r="N100" i="16"/>
  <c r="M100" i="16"/>
  <c r="L100" i="16"/>
  <c r="K100" i="16"/>
  <c r="J100" i="16"/>
  <c r="H100" i="16"/>
  <c r="G100" i="16"/>
  <c r="F100" i="16"/>
  <c r="E100" i="16"/>
  <c r="D100" i="16"/>
  <c r="C100" i="16"/>
  <c r="B100" i="16"/>
  <c r="A100" i="16"/>
  <c r="X99" i="16"/>
  <c r="W99" i="16"/>
  <c r="Q99" i="16"/>
  <c r="P99" i="16"/>
  <c r="O99" i="16"/>
  <c r="N99" i="16"/>
  <c r="M99" i="16"/>
  <c r="L99" i="16"/>
  <c r="K99" i="16"/>
  <c r="J99" i="16"/>
  <c r="H99" i="16"/>
  <c r="G99" i="16"/>
  <c r="F99" i="16"/>
  <c r="E99" i="16"/>
  <c r="D99" i="16"/>
  <c r="C99" i="16"/>
  <c r="B99" i="16"/>
  <c r="A99" i="16"/>
  <c r="X98" i="16"/>
  <c r="W98" i="16"/>
  <c r="Q98" i="16"/>
  <c r="P98" i="16"/>
  <c r="O98" i="16"/>
  <c r="N98" i="16"/>
  <c r="M98" i="16"/>
  <c r="L98" i="16"/>
  <c r="K98" i="16"/>
  <c r="J98" i="16"/>
  <c r="H98" i="16"/>
  <c r="G98" i="16"/>
  <c r="F98" i="16"/>
  <c r="E98" i="16"/>
  <c r="D98" i="16"/>
  <c r="C98" i="16"/>
  <c r="B98" i="16"/>
  <c r="A98" i="16"/>
  <c r="X97" i="16"/>
  <c r="W97" i="16"/>
  <c r="Q97" i="16"/>
  <c r="P97" i="16"/>
  <c r="O97" i="16"/>
  <c r="N97" i="16"/>
  <c r="M97" i="16"/>
  <c r="L97" i="16"/>
  <c r="K97" i="16"/>
  <c r="J97" i="16"/>
  <c r="H97" i="16"/>
  <c r="G97" i="16"/>
  <c r="F97" i="16"/>
  <c r="E97" i="16"/>
  <c r="D97" i="16"/>
  <c r="C97" i="16"/>
  <c r="B97" i="16"/>
  <c r="A97" i="16"/>
  <c r="X96" i="16"/>
  <c r="W96" i="16"/>
  <c r="Q96" i="16"/>
  <c r="P96" i="16"/>
  <c r="O96" i="16"/>
  <c r="N96" i="16"/>
  <c r="M96" i="16"/>
  <c r="L96" i="16"/>
  <c r="K96" i="16"/>
  <c r="J96" i="16"/>
  <c r="H96" i="16"/>
  <c r="G96" i="16"/>
  <c r="F96" i="16"/>
  <c r="E96" i="16"/>
  <c r="D96" i="16"/>
  <c r="C96" i="16"/>
  <c r="B96" i="16"/>
  <c r="A96" i="16"/>
  <c r="X95" i="16"/>
  <c r="W95" i="16"/>
  <c r="Q95" i="16"/>
  <c r="P95" i="16"/>
  <c r="O95" i="16"/>
  <c r="N95" i="16"/>
  <c r="M95" i="16"/>
  <c r="L95" i="16"/>
  <c r="K95" i="16"/>
  <c r="J95" i="16"/>
  <c r="H95" i="16"/>
  <c r="G95" i="16"/>
  <c r="F95" i="16"/>
  <c r="E95" i="16"/>
  <c r="D95" i="16"/>
  <c r="C95" i="16"/>
  <c r="B95" i="16"/>
  <c r="A95" i="16"/>
  <c r="X94" i="16"/>
  <c r="W94" i="16"/>
  <c r="Q94" i="16"/>
  <c r="P94" i="16"/>
  <c r="O94" i="16"/>
  <c r="N94" i="16"/>
  <c r="M94" i="16"/>
  <c r="L94" i="16"/>
  <c r="K94" i="16"/>
  <c r="J94" i="16"/>
  <c r="H94" i="16"/>
  <c r="G94" i="16"/>
  <c r="F94" i="16"/>
  <c r="E94" i="16"/>
  <c r="D94" i="16"/>
  <c r="C94" i="16"/>
  <c r="B94" i="16"/>
  <c r="A94" i="16"/>
  <c r="X93" i="16"/>
  <c r="W93" i="16"/>
  <c r="Q93" i="16"/>
  <c r="P93" i="16"/>
  <c r="O93" i="16"/>
  <c r="N93" i="16"/>
  <c r="M93" i="16"/>
  <c r="L93" i="16"/>
  <c r="K93" i="16"/>
  <c r="J93" i="16"/>
  <c r="H93" i="16"/>
  <c r="G93" i="16"/>
  <c r="F93" i="16"/>
  <c r="E93" i="16"/>
  <c r="D93" i="16"/>
  <c r="C93" i="16"/>
  <c r="B93" i="16"/>
  <c r="A93" i="16"/>
  <c r="X92" i="16"/>
  <c r="W92" i="16"/>
  <c r="Q92" i="16"/>
  <c r="P92" i="16"/>
  <c r="O92" i="16"/>
  <c r="N92" i="16"/>
  <c r="M92" i="16"/>
  <c r="L92" i="16"/>
  <c r="K92" i="16"/>
  <c r="J92" i="16"/>
  <c r="H92" i="16"/>
  <c r="G92" i="16"/>
  <c r="F92" i="16"/>
  <c r="E92" i="16"/>
  <c r="D92" i="16"/>
  <c r="C92" i="16"/>
  <c r="B92" i="16"/>
  <c r="A92" i="16"/>
  <c r="X91" i="16"/>
  <c r="W91" i="16"/>
  <c r="Q91" i="16"/>
  <c r="P91" i="16"/>
  <c r="O91" i="16"/>
  <c r="N91" i="16"/>
  <c r="M91" i="16"/>
  <c r="L91" i="16"/>
  <c r="K91" i="16"/>
  <c r="J91" i="16"/>
  <c r="H91" i="16"/>
  <c r="G91" i="16"/>
  <c r="F91" i="16"/>
  <c r="E91" i="16"/>
  <c r="D91" i="16"/>
  <c r="C91" i="16"/>
  <c r="B91" i="16"/>
  <c r="A91" i="16"/>
  <c r="X90" i="16"/>
  <c r="W90" i="16"/>
  <c r="Q90" i="16"/>
  <c r="P90" i="16"/>
  <c r="O90" i="16"/>
  <c r="N90" i="16"/>
  <c r="M90" i="16"/>
  <c r="L90" i="16"/>
  <c r="K90" i="16"/>
  <c r="J90" i="16"/>
  <c r="H90" i="16"/>
  <c r="G90" i="16"/>
  <c r="F90" i="16"/>
  <c r="E90" i="16"/>
  <c r="D90" i="16"/>
  <c r="C90" i="16"/>
  <c r="B90" i="16"/>
  <c r="A90" i="16"/>
  <c r="X89" i="16"/>
  <c r="W89" i="16"/>
  <c r="Q89" i="16"/>
  <c r="P89" i="16"/>
  <c r="O89" i="16"/>
  <c r="N89" i="16"/>
  <c r="M89" i="16"/>
  <c r="L89" i="16"/>
  <c r="K89" i="16"/>
  <c r="J89" i="16"/>
  <c r="H89" i="16"/>
  <c r="G89" i="16"/>
  <c r="F89" i="16"/>
  <c r="E89" i="16"/>
  <c r="D89" i="16"/>
  <c r="C89" i="16"/>
  <c r="B89" i="16"/>
  <c r="A89" i="16"/>
  <c r="X88" i="16"/>
  <c r="W88" i="16"/>
  <c r="Q88" i="16"/>
  <c r="P88" i="16"/>
  <c r="O88" i="16"/>
  <c r="N88" i="16"/>
  <c r="M88" i="16"/>
  <c r="L88" i="16"/>
  <c r="K88" i="16"/>
  <c r="J88" i="16"/>
  <c r="H88" i="16"/>
  <c r="G88" i="16"/>
  <c r="F88" i="16"/>
  <c r="E88" i="16"/>
  <c r="D88" i="16"/>
  <c r="C88" i="16"/>
  <c r="B88" i="16"/>
  <c r="A88" i="16"/>
  <c r="X87" i="16"/>
  <c r="W87" i="16"/>
  <c r="Q87" i="16"/>
  <c r="P87" i="16"/>
  <c r="O87" i="16"/>
  <c r="N87" i="16"/>
  <c r="M87" i="16"/>
  <c r="L87" i="16"/>
  <c r="K87" i="16"/>
  <c r="J87" i="16"/>
  <c r="H87" i="16"/>
  <c r="G87" i="16"/>
  <c r="F87" i="16"/>
  <c r="E87" i="16"/>
  <c r="D87" i="16"/>
  <c r="C87" i="16"/>
  <c r="B87" i="16"/>
  <c r="A87" i="16"/>
  <c r="X86" i="16"/>
  <c r="W86" i="16"/>
  <c r="Q86" i="16"/>
  <c r="P86" i="16"/>
  <c r="O86" i="16"/>
  <c r="N86" i="16"/>
  <c r="M86" i="16"/>
  <c r="L86" i="16"/>
  <c r="K86" i="16"/>
  <c r="J86" i="16"/>
  <c r="H86" i="16"/>
  <c r="G86" i="16"/>
  <c r="F86" i="16"/>
  <c r="E86" i="16"/>
  <c r="D86" i="16"/>
  <c r="C86" i="16"/>
  <c r="B86" i="16"/>
  <c r="A86" i="16"/>
  <c r="X85" i="16"/>
  <c r="W85" i="16"/>
  <c r="Q85" i="16"/>
  <c r="P85" i="16"/>
  <c r="O85" i="16"/>
  <c r="N85" i="16"/>
  <c r="M85" i="16"/>
  <c r="L85" i="16"/>
  <c r="K85" i="16"/>
  <c r="J85" i="16"/>
  <c r="H85" i="16"/>
  <c r="G85" i="16"/>
  <c r="F85" i="16"/>
  <c r="E85" i="16"/>
  <c r="D85" i="16"/>
  <c r="C85" i="16"/>
  <c r="B85" i="16"/>
  <c r="A85" i="16"/>
  <c r="X84" i="16"/>
  <c r="W84" i="16"/>
  <c r="Q84" i="16"/>
  <c r="P84" i="16"/>
  <c r="O84" i="16"/>
  <c r="N84" i="16"/>
  <c r="M84" i="16"/>
  <c r="L84" i="16"/>
  <c r="K84" i="16"/>
  <c r="J84" i="16"/>
  <c r="H84" i="16"/>
  <c r="G84" i="16"/>
  <c r="F84" i="16"/>
  <c r="E84" i="16"/>
  <c r="D84" i="16"/>
  <c r="C84" i="16"/>
  <c r="B84" i="16"/>
  <c r="A84" i="16"/>
  <c r="X83" i="16"/>
  <c r="W83" i="16"/>
  <c r="Q83" i="16"/>
  <c r="P83" i="16"/>
  <c r="O83" i="16"/>
  <c r="N83" i="16"/>
  <c r="M83" i="16"/>
  <c r="L83" i="16"/>
  <c r="K83" i="16"/>
  <c r="J83" i="16"/>
  <c r="H83" i="16"/>
  <c r="G83" i="16"/>
  <c r="F83" i="16"/>
  <c r="E83" i="16"/>
  <c r="D83" i="16"/>
  <c r="C83" i="16"/>
  <c r="B83" i="16"/>
  <c r="A83" i="16"/>
  <c r="X82" i="16"/>
  <c r="W82" i="16"/>
  <c r="Q82" i="16"/>
  <c r="P82" i="16"/>
  <c r="O82" i="16"/>
  <c r="N82" i="16"/>
  <c r="M82" i="16"/>
  <c r="L82" i="16"/>
  <c r="K82" i="16"/>
  <c r="J82" i="16"/>
  <c r="H82" i="16"/>
  <c r="G82" i="16"/>
  <c r="F82" i="16"/>
  <c r="E82" i="16"/>
  <c r="D82" i="16"/>
  <c r="C82" i="16"/>
  <c r="B82" i="16"/>
  <c r="A82" i="16"/>
  <c r="X81" i="16"/>
  <c r="W81" i="16"/>
  <c r="Q81" i="16"/>
  <c r="P81" i="16"/>
  <c r="O81" i="16"/>
  <c r="N81" i="16"/>
  <c r="M81" i="16"/>
  <c r="L81" i="16"/>
  <c r="K81" i="16"/>
  <c r="J81" i="16"/>
  <c r="H81" i="16"/>
  <c r="G81" i="16"/>
  <c r="F81" i="16"/>
  <c r="E81" i="16"/>
  <c r="D81" i="16"/>
  <c r="C81" i="16"/>
  <c r="B81" i="16"/>
  <c r="A81" i="16"/>
  <c r="X80" i="16"/>
  <c r="W80" i="16"/>
  <c r="Q80" i="16"/>
  <c r="P80" i="16"/>
  <c r="O80" i="16"/>
  <c r="N80" i="16"/>
  <c r="M80" i="16"/>
  <c r="L80" i="16"/>
  <c r="K80" i="16"/>
  <c r="J80" i="16"/>
  <c r="H80" i="16"/>
  <c r="G80" i="16"/>
  <c r="F80" i="16"/>
  <c r="E80" i="16"/>
  <c r="D80" i="16"/>
  <c r="C80" i="16"/>
  <c r="B80" i="16"/>
  <c r="A80" i="16"/>
  <c r="X79" i="16"/>
  <c r="W79" i="16"/>
  <c r="Q79" i="16"/>
  <c r="P79" i="16"/>
  <c r="O79" i="16"/>
  <c r="N79" i="16"/>
  <c r="M79" i="16"/>
  <c r="L79" i="16"/>
  <c r="K79" i="16"/>
  <c r="J79" i="16"/>
  <c r="H79" i="16"/>
  <c r="G79" i="16"/>
  <c r="F79" i="16"/>
  <c r="E79" i="16"/>
  <c r="D79" i="16"/>
  <c r="C79" i="16"/>
  <c r="B79" i="16"/>
  <c r="A79" i="16"/>
  <c r="X78" i="16"/>
  <c r="W78" i="16"/>
  <c r="Q78" i="16"/>
  <c r="P78" i="16"/>
  <c r="O78" i="16"/>
  <c r="N78" i="16"/>
  <c r="M78" i="16"/>
  <c r="L78" i="16"/>
  <c r="K78" i="16"/>
  <c r="J78" i="16"/>
  <c r="H78" i="16"/>
  <c r="G78" i="16"/>
  <c r="F78" i="16"/>
  <c r="E78" i="16"/>
  <c r="D78" i="16"/>
  <c r="C78" i="16"/>
  <c r="B78" i="16"/>
  <c r="A78" i="16"/>
  <c r="X77" i="16"/>
  <c r="W77" i="16"/>
  <c r="Q77" i="16"/>
  <c r="P77" i="16"/>
  <c r="O77" i="16"/>
  <c r="N77" i="16"/>
  <c r="M77" i="16"/>
  <c r="L77" i="16"/>
  <c r="K77" i="16"/>
  <c r="J77" i="16"/>
  <c r="H77" i="16"/>
  <c r="G77" i="16"/>
  <c r="F77" i="16"/>
  <c r="E77" i="16"/>
  <c r="D77" i="16"/>
  <c r="C77" i="16"/>
  <c r="B77" i="16"/>
  <c r="A77" i="16"/>
  <c r="X76" i="16"/>
  <c r="W76" i="16"/>
  <c r="Q76" i="16"/>
  <c r="P76" i="16"/>
  <c r="O76" i="16"/>
  <c r="N76" i="16"/>
  <c r="M76" i="16"/>
  <c r="L76" i="16"/>
  <c r="K76" i="16"/>
  <c r="J76" i="16"/>
  <c r="H76" i="16"/>
  <c r="G76" i="16"/>
  <c r="F76" i="16"/>
  <c r="E76" i="16"/>
  <c r="D76" i="16"/>
  <c r="C76" i="16"/>
  <c r="B76" i="16"/>
  <c r="A76" i="16"/>
  <c r="X75" i="16"/>
  <c r="W75" i="16"/>
  <c r="Q75" i="16"/>
  <c r="P75" i="16"/>
  <c r="O75" i="16"/>
  <c r="N75" i="16"/>
  <c r="M75" i="16"/>
  <c r="L75" i="16"/>
  <c r="K75" i="16"/>
  <c r="J75" i="16"/>
  <c r="H75" i="16"/>
  <c r="G75" i="16"/>
  <c r="F75" i="16"/>
  <c r="E75" i="16"/>
  <c r="D75" i="16"/>
  <c r="C75" i="16"/>
  <c r="B75" i="16"/>
  <c r="A75" i="16"/>
  <c r="X74" i="16"/>
  <c r="W74" i="16"/>
  <c r="Q74" i="16"/>
  <c r="P74" i="16"/>
  <c r="O74" i="16"/>
  <c r="N74" i="16"/>
  <c r="M74" i="16"/>
  <c r="L74" i="16"/>
  <c r="K74" i="16"/>
  <c r="J74" i="16"/>
  <c r="H74" i="16"/>
  <c r="G74" i="16"/>
  <c r="F74" i="16"/>
  <c r="E74" i="16"/>
  <c r="D74" i="16"/>
  <c r="C74" i="16"/>
  <c r="B74" i="16"/>
  <c r="A74" i="16"/>
  <c r="X73" i="16"/>
  <c r="W73" i="16"/>
  <c r="Q73" i="16"/>
  <c r="P73" i="16"/>
  <c r="O73" i="16"/>
  <c r="N73" i="16"/>
  <c r="M73" i="16"/>
  <c r="L73" i="16"/>
  <c r="K73" i="16"/>
  <c r="J73" i="16"/>
  <c r="H73" i="16"/>
  <c r="G73" i="16"/>
  <c r="F73" i="16"/>
  <c r="E73" i="16"/>
  <c r="D73" i="16"/>
  <c r="C73" i="16"/>
  <c r="B73" i="16"/>
  <c r="A73" i="16"/>
  <c r="X72" i="16"/>
  <c r="W72" i="16"/>
  <c r="Q72" i="16"/>
  <c r="P72" i="16"/>
  <c r="O72" i="16"/>
  <c r="N72" i="16"/>
  <c r="M72" i="16"/>
  <c r="L72" i="16"/>
  <c r="K72" i="16"/>
  <c r="J72" i="16"/>
  <c r="H72" i="16"/>
  <c r="G72" i="16"/>
  <c r="F72" i="16"/>
  <c r="E72" i="16"/>
  <c r="D72" i="16"/>
  <c r="C72" i="16"/>
  <c r="B72" i="16"/>
  <c r="A72" i="16"/>
  <c r="X71" i="16"/>
  <c r="W71" i="16"/>
  <c r="Q71" i="16"/>
  <c r="P71" i="16"/>
  <c r="O71" i="16"/>
  <c r="N71" i="16"/>
  <c r="M71" i="16"/>
  <c r="L71" i="16"/>
  <c r="K71" i="16"/>
  <c r="J71" i="16"/>
  <c r="H71" i="16"/>
  <c r="G71" i="16"/>
  <c r="F71" i="16"/>
  <c r="E71" i="16"/>
  <c r="D71" i="16"/>
  <c r="C71" i="16"/>
  <c r="B71" i="16"/>
  <c r="A71" i="16"/>
  <c r="X70" i="16"/>
  <c r="W70" i="16"/>
  <c r="Q70" i="16"/>
  <c r="P70" i="16"/>
  <c r="O70" i="16"/>
  <c r="N70" i="16"/>
  <c r="M70" i="16"/>
  <c r="L70" i="16"/>
  <c r="K70" i="16"/>
  <c r="J70" i="16"/>
  <c r="H70" i="16"/>
  <c r="G70" i="16"/>
  <c r="F70" i="16"/>
  <c r="E70" i="16"/>
  <c r="D70" i="16"/>
  <c r="C70" i="16"/>
  <c r="B70" i="16"/>
  <c r="A70" i="16"/>
  <c r="X69" i="16"/>
  <c r="W69" i="16"/>
  <c r="Q69" i="16"/>
  <c r="P69" i="16"/>
  <c r="O69" i="16"/>
  <c r="N69" i="16"/>
  <c r="M69" i="16"/>
  <c r="L69" i="16"/>
  <c r="K69" i="16"/>
  <c r="J69" i="16"/>
  <c r="H69" i="16"/>
  <c r="G69" i="16"/>
  <c r="F69" i="16"/>
  <c r="E69" i="16"/>
  <c r="D69" i="16"/>
  <c r="C69" i="16"/>
  <c r="B69" i="16"/>
  <c r="A69" i="16"/>
  <c r="X68" i="16"/>
  <c r="W68" i="16"/>
  <c r="Q68" i="16"/>
  <c r="P68" i="16"/>
  <c r="O68" i="16"/>
  <c r="N68" i="16"/>
  <c r="M68" i="16"/>
  <c r="L68" i="16"/>
  <c r="K68" i="16"/>
  <c r="J68" i="16"/>
  <c r="H68" i="16"/>
  <c r="G68" i="16"/>
  <c r="F68" i="16"/>
  <c r="E68" i="16"/>
  <c r="D68" i="16"/>
  <c r="C68" i="16"/>
  <c r="B68" i="16"/>
  <c r="A68" i="16"/>
  <c r="X67" i="16"/>
  <c r="W67" i="16"/>
  <c r="Q67" i="16"/>
  <c r="P67" i="16"/>
  <c r="O67" i="16"/>
  <c r="N67" i="16"/>
  <c r="M67" i="16"/>
  <c r="L67" i="16"/>
  <c r="K67" i="16"/>
  <c r="J67" i="16"/>
  <c r="H67" i="16"/>
  <c r="G67" i="16"/>
  <c r="F67" i="16"/>
  <c r="E67" i="16"/>
  <c r="D67" i="16"/>
  <c r="C67" i="16"/>
  <c r="B67" i="16"/>
  <c r="A67" i="16"/>
  <c r="X66" i="16"/>
  <c r="W66" i="16"/>
  <c r="Q66" i="16"/>
  <c r="P66" i="16"/>
  <c r="O66" i="16"/>
  <c r="N66" i="16"/>
  <c r="M66" i="16"/>
  <c r="L66" i="16"/>
  <c r="K66" i="16"/>
  <c r="J66" i="16"/>
  <c r="H66" i="16"/>
  <c r="G66" i="16"/>
  <c r="F66" i="16"/>
  <c r="E66" i="16"/>
  <c r="D66" i="16"/>
  <c r="C66" i="16"/>
  <c r="B66" i="16"/>
  <c r="A66" i="16"/>
  <c r="X65" i="16"/>
  <c r="W65" i="16"/>
  <c r="Q65" i="16"/>
  <c r="P65" i="16"/>
  <c r="O65" i="16"/>
  <c r="N65" i="16"/>
  <c r="M65" i="16"/>
  <c r="L65" i="16"/>
  <c r="K65" i="16"/>
  <c r="J65" i="16"/>
  <c r="H65" i="16"/>
  <c r="G65" i="16"/>
  <c r="F65" i="16"/>
  <c r="E65" i="16"/>
  <c r="D65" i="16"/>
  <c r="C65" i="16"/>
  <c r="B65" i="16"/>
  <c r="A65" i="16"/>
  <c r="X64" i="16"/>
  <c r="W64" i="16"/>
  <c r="Q64" i="16"/>
  <c r="P64" i="16"/>
  <c r="O64" i="16"/>
  <c r="N64" i="16"/>
  <c r="M64" i="16"/>
  <c r="L64" i="16"/>
  <c r="K64" i="16"/>
  <c r="J64" i="16"/>
  <c r="H64" i="16"/>
  <c r="G64" i="16"/>
  <c r="F64" i="16"/>
  <c r="E64" i="16"/>
  <c r="D64" i="16"/>
  <c r="C64" i="16"/>
  <c r="B64" i="16"/>
  <c r="A64" i="16"/>
  <c r="X63" i="16"/>
  <c r="W63" i="16"/>
  <c r="Q63" i="16"/>
  <c r="P63" i="16"/>
  <c r="O63" i="16"/>
  <c r="N63" i="16"/>
  <c r="M63" i="16"/>
  <c r="L63" i="16"/>
  <c r="K63" i="16"/>
  <c r="J63" i="16"/>
  <c r="H63" i="16"/>
  <c r="G63" i="16"/>
  <c r="F63" i="16"/>
  <c r="E63" i="16"/>
  <c r="D63" i="16"/>
  <c r="C63" i="16"/>
  <c r="B63" i="16"/>
  <c r="A63" i="16"/>
  <c r="X62" i="16"/>
  <c r="W62" i="16"/>
  <c r="Q62" i="16"/>
  <c r="P62" i="16"/>
  <c r="O62" i="16"/>
  <c r="N62" i="16"/>
  <c r="M62" i="16"/>
  <c r="L62" i="16"/>
  <c r="K62" i="16"/>
  <c r="J62" i="16"/>
  <c r="H62" i="16"/>
  <c r="G62" i="16"/>
  <c r="F62" i="16"/>
  <c r="E62" i="16"/>
  <c r="D62" i="16"/>
  <c r="C62" i="16"/>
  <c r="B62" i="16"/>
  <c r="A62" i="16"/>
  <c r="X61" i="16"/>
  <c r="W61" i="16"/>
  <c r="Q61" i="16"/>
  <c r="P61" i="16"/>
  <c r="O61" i="16"/>
  <c r="N61" i="16"/>
  <c r="M61" i="16"/>
  <c r="L61" i="16"/>
  <c r="K61" i="16"/>
  <c r="J61" i="16"/>
  <c r="H61" i="16"/>
  <c r="G61" i="16"/>
  <c r="F61" i="16"/>
  <c r="E61" i="16"/>
  <c r="D61" i="16"/>
  <c r="C61" i="16"/>
  <c r="B61" i="16"/>
  <c r="A61" i="16"/>
  <c r="X60" i="16"/>
  <c r="W60" i="16"/>
  <c r="Q60" i="16"/>
  <c r="P60" i="16"/>
  <c r="O60" i="16"/>
  <c r="N60" i="16"/>
  <c r="M60" i="16"/>
  <c r="L60" i="16"/>
  <c r="K60" i="16"/>
  <c r="J60" i="16"/>
  <c r="H60" i="16"/>
  <c r="G60" i="16"/>
  <c r="F60" i="16"/>
  <c r="E60" i="16"/>
  <c r="D60" i="16"/>
  <c r="C60" i="16"/>
  <c r="B60" i="16"/>
  <c r="A60" i="16"/>
  <c r="X59" i="16"/>
  <c r="W59" i="16"/>
  <c r="Q59" i="16"/>
  <c r="P59" i="16"/>
  <c r="O59" i="16"/>
  <c r="N59" i="16"/>
  <c r="M59" i="16"/>
  <c r="L59" i="16"/>
  <c r="K59" i="16"/>
  <c r="J59" i="16"/>
  <c r="H59" i="16"/>
  <c r="G59" i="16"/>
  <c r="F59" i="16"/>
  <c r="E59" i="16"/>
  <c r="D59" i="16"/>
  <c r="C59" i="16"/>
  <c r="B59" i="16"/>
  <c r="A59" i="16"/>
  <c r="X58" i="16"/>
  <c r="W58" i="16"/>
  <c r="Q58" i="16"/>
  <c r="P58" i="16"/>
  <c r="O58" i="16"/>
  <c r="N58" i="16"/>
  <c r="M58" i="16"/>
  <c r="L58" i="16"/>
  <c r="K58" i="16"/>
  <c r="J58" i="16"/>
  <c r="H58" i="16"/>
  <c r="G58" i="16"/>
  <c r="F58" i="16"/>
  <c r="E58" i="16"/>
  <c r="D58" i="16"/>
  <c r="C58" i="16"/>
  <c r="B58" i="16"/>
  <c r="A58" i="16"/>
  <c r="X57" i="16"/>
  <c r="W57" i="16"/>
  <c r="Q57" i="16"/>
  <c r="P57" i="16"/>
  <c r="O57" i="16"/>
  <c r="N57" i="16"/>
  <c r="M57" i="16"/>
  <c r="L57" i="16"/>
  <c r="K57" i="16"/>
  <c r="J57" i="16"/>
  <c r="H57" i="16"/>
  <c r="G57" i="16"/>
  <c r="F57" i="16"/>
  <c r="E57" i="16"/>
  <c r="D57" i="16"/>
  <c r="C57" i="16"/>
  <c r="B57" i="16"/>
  <c r="A57" i="16"/>
  <c r="X56" i="16"/>
  <c r="W56" i="16"/>
  <c r="Q56" i="16"/>
  <c r="P56" i="16"/>
  <c r="O56" i="16"/>
  <c r="N56" i="16"/>
  <c r="M56" i="16"/>
  <c r="L56" i="16"/>
  <c r="K56" i="16"/>
  <c r="J56" i="16"/>
  <c r="H56" i="16"/>
  <c r="G56" i="16"/>
  <c r="F56" i="16"/>
  <c r="E56" i="16"/>
  <c r="D56" i="16"/>
  <c r="C56" i="16"/>
  <c r="B56" i="16"/>
  <c r="A56" i="16"/>
  <c r="X55" i="16"/>
  <c r="W55" i="16"/>
  <c r="Q55" i="16"/>
  <c r="P55" i="16"/>
  <c r="O55" i="16"/>
  <c r="N55" i="16"/>
  <c r="M55" i="16"/>
  <c r="L55" i="16"/>
  <c r="K55" i="16"/>
  <c r="J55" i="16"/>
  <c r="H55" i="16"/>
  <c r="G55" i="16"/>
  <c r="F55" i="16"/>
  <c r="E55" i="16"/>
  <c r="D55" i="16"/>
  <c r="C55" i="16"/>
  <c r="B55" i="16"/>
  <c r="A55" i="16"/>
  <c r="X54" i="16"/>
  <c r="W54" i="16"/>
  <c r="Q54" i="16"/>
  <c r="P54" i="16"/>
  <c r="O54" i="16"/>
  <c r="N54" i="16"/>
  <c r="M54" i="16"/>
  <c r="L54" i="16"/>
  <c r="K54" i="16"/>
  <c r="J54" i="16"/>
  <c r="H54" i="16"/>
  <c r="G54" i="16"/>
  <c r="F54" i="16"/>
  <c r="E54" i="16"/>
  <c r="D54" i="16"/>
  <c r="C54" i="16"/>
  <c r="B54" i="16"/>
  <c r="A54" i="16"/>
  <c r="X53" i="16"/>
  <c r="W53" i="16"/>
  <c r="Q53" i="16"/>
  <c r="P53" i="16"/>
  <c r="O53" i="16"/>
  <c r="N53" i="16"/>
  <c r="M53" i="16"/>
  <c r="L53" i="16"/>
  <c r="K53" i="16"/>
  <c r="J53" i="16"/>
  <c r="H53" i="16"/>
  <c r="G53" i="16"/>
  <c r="F53" i="16"/>
  <c r="E53" i="16"/>
  <c r="D53" i="16"/>
  <c r="C53" i="16"/>
  <c r="B53" i="16"/>
  <c r="A53" i="16"/>
  <c r="X52" i="16"/>
  <c r="W52" i="16"/>
  <c r="Q52" i="16"/>
  <c r="P52" i="16"/>
  <c r="O52" i="16"/>
  <c r="N52" i="16"/>
  <c r="M52" i="16"/>
  <c r="L52" i="16"/>
  <c r="K52" i="16"/>
  <c r="J52" i="16"/>
  <c r="H52" i="16"/>
  <c r="G52" i="16"/>
  <c r="F52" i="16"/>
  <c r="E52" i="16"/>
  <c r="D52" i="16"/>
  <c r="C52" i="16"/>
  <c r="B52" i="16"/>
  <c r="A52" i="16"/>
  <c r="X51" i="16"/>
  <c r="W51" i="16"/>
  <c r="Q51" i="16"/>
  <c r="P51" i="16"/>
  <c r="O51" i="16"/>
  <c r="N51" i="16"/>
  <c r="M51" i="16"/>
  <c r="L51" i="16"/>
  <c r="K51" i="16"/>
  <c r="J51" i="16"/>
  <c r="H51" i="16"/>
  <c r="G51" i="16"/>
  <c r="F51" i="16"/>
  <c r="E51" i="16"/>
  <c r="D51" i="16"/>
  <c r="C51" i="16"/>
  <c r="B51" i="16"/>
  <c r="A51" i="16"/>
  <c r="X50" i="16"/>
  <c r="W50" i="16"/>
  <c r="Q50" i="16"/>
  <c r="P50" i="16"/>
  <c r="O50" i="16"/>
  <c r="N50" i="16"/>
  <c r="M50" i="16"/>
  <c r="L50" i="16"/>
  <c r="K50" i="16"/>
  <c r="J50" i="16"/>
  <c r="H50" i="16"/>
  <c r="G50" i="16"/>
  <c r="F50" i="16"/>
  <c r="E50" i="16"/>
  <c r="D50" i="16"/>
  <c r="C50" i="16"/>
  <c r="B50" i="16"/>
  <c r="A50" i="16"/>
  <c r="X49" i="16"/>
  <c r="W49" i="16"/>
  <c r="Q49" i="16"/>
  <c r="P49" i="16"/>
  <c r="O49" i="16"/>
  <c r="N49" i="16"/>
  <c r="M49" i="16"/>
  <c r="L49" i="16"/>
  <c r="K49" i="16"/>
  <c r="J49" i="16"/>
  <c r="H49" i="16"/>
  <c r="G49" i="16"/>
  <c r="F49" i="16"/>
  <c r="E49" i="16"/>
  <c r="D49" i="16"/>
  <c r="C49" i="16"/>
  <c r="B49" i="16"/>
  <c r="A49" i="16"/>
  <c r="X48" i="16"/>
  <c r="W48" i="16"/>
  <c r="Q48" i="16"/>
  <c r="P48" i="16"/>
  <c r="O48" i="16"/>
  <c r="N48" i="16"/>
  <c r="M48" i="16"/>
  <c r="L48" i="16"/>
  <c r="K48" i="16"/>
  <c r="J48" i="16"/>
  <c r="H48" i="16"/>
  <c r="G48" i="16"/>
  <c r="F48" i="16"/>
  <c r="E48" i="16"/>
  <c r="D48" i="16"/>
  <c r="C48" i="16"/>
  <c r="B48" i="16"/>
  <c r="A48" i="16"/>
  <c r="X47" i="16"/>
  <c r="W47" i="16"/>
  <c r="Q47" i="16"/>
  <c r="P47" i="16"/>
  <c r="O47" i="16"/>
  <c r="N47" i="16"/>
  <c r="M47" i="16"/>
  <c r="L47" i="16"/>
  <c r="K47" i="16"/>
  <c r="J47" i="16"/>
  <c r="H47" i="16"/>
  <c r="G47" i="16"/>
  <c r="F47" i="16"/>
  <c r="E47" i="16"/>
  <c r="D47" i="16"/>
  <c r="C47" i="16"/>
  <c r="B47" i="16"/>
  <c r="A47" i="16"/>
  <c r="X46" i="16"/>
  <c r="W46" i="16"/>
  <c r="Q46" i="16"/>
  <c r="P46" i="16"/>
  <c r="O46" i="16"/>
  <c r="N46" i="16"/>
  <c r="M46" i="16"/>
  <c r="L46" i="16"/>
  <c r="K46" i="16"/>
  <c r="J46" i="16"/>
  <c r="H46" i="16"/>
  <c r="G46" i="16"/>
  <c r="F46" i="16"/>
  <c r="E46" i="16"/>
  <c r="D46" i="16"/>
  <c r="C46" i="16"/>
  <c r="B46" i="16"/>
  <c r="A46" i="16"/>
  <c r="X45" i="16"/>
  <c r="W45" i="16"/>
  <c r="Q45" i="16"/>
  <c r="P45" i="16"/>
  <c r="O45" i="16"/>
  <c r="N45" i="16"/>
  <c r="M45" i="16"/>
  <c r="L45" i="16"/>
  <c r="K45" i="16"/>
  <c r="J45" i="16"/>
  <c r="H45" i="16"/>
  <c r="G45" i="16"/>
  <c r="F45" i="16"/>
  <c r="E45" i="16"/>
  <c r="D45" i="16"/>
  <c r="C45" i="16"/>
  <c r="B45" i="16"/>
  <c r="A45" i="16"/>
  <c r="X44" i="16"/>
  <c r="W44" i="16"/>
  <c r="Q44" i="16"/>
  <c r="P44" i="16"/>
  <c r="O44" i="16"/>
  <c r="N44" i="16"/>
  <c r="M44" i="16"/>
  <c r="L44" i="16"/>
  <c r="K44" i="16"/>
  <c r="J44" i="16"/>
  <c r="H44" i="16"/>
  <c r="G44" i="16"/>
  <c r="F44" i="16"/>
  <c r="E44" i="16"/>
  <c r="D44" i="16"/>
  <c r="C44" i="16"/>
  <c r="B44" i="16"/>
  <c r="A44" i="16"/>
  <c r="X43" i="16"/>
  <c r="W43" i="16"/>
  <c r="Q43" i="16"/>
  <c r="P43" i="16"/>
  <c r="O43" i="16"/>
  <c r="N43" i="16"/>
  <c r="M43" i="16"/>
  <c r="L43" i="16"/>
  <c r="K43" i="16"/>
  <c r="J43" i="16"/>
  <c r="H43" i="16"/>
  <c r="G43" i="16"/>
  <c r="F43" i="16"/>
  <c r="E43" i="16"/>
  <c r="D43" i="16"/>
  <c r="C43" i="16"/>
  <c r="B43" i="16"/>
  <c r="A43" i="16"/>
  <c r="X42" i="16"/>
  <c r="W42" i="16"/>
  <c r="Q42" i="16"/>
  <c r="P42" i="16"/>
  <c r="O42" i="16"/>
  <c r="N42" i="16"/>
  <c r="M42" i="16"/>
  <c r="L42" i="16"/>
  <c r="K42" i="16"/>
  <c r="J42" i="16"/>
  <c r="H42" i="16"/>
  <c r="G42" i="16"/>
  <c r="F42" i="16"/>
  <c r="E42" i="16"/>
  <c r="D42" i="16"/>
  <c r="C42" i="16"/>
  <c r="B42" i="16"/>
  <c r="A42" i="16"/>
  <c r="X41" i="16"/>
  <c r="W41" i="16"/>
  <c r="Q41" i="16"/>
  <c r="P41" i="16"/>
  <c r="O41" i="16"/>
  <c r="N41" i="16"/>
  <c r="M41" i="16"/>
  <c r="L41" i="16"/>
  <c r="K41" i="16"/>
  <c r="J41" i="16"/>
  <c r="H41" i="16"/>
  <c r="G41" i="16"/>
  <c r="F41" i="16"/>
  <c r="E41" i="16"/>
  <c r="D41" i="16"/>
  <c r="C41" i="16"/>
  <c r="B41" i="16"/>
  <c r="A41" i="16"/>
  <c r="X40" i="16"/>
  <c r="W40" i="16"/>
  <c r="Q40" i="16"/>
  <c r="P40" i="16"/>
  <c r="O40" i="16"/>
  <c r="N40" i="16"/>
  <c r="M40" i="16"/>
  <c r="L40" i="16"/>
  <c r="K40" i="16"/>
  <c r="J40" i="16"/>
  <c r="H40" i="16"/>
  <c r="G40" i="16"/>
  <c r="F40" i="16"/>
  <c r="E40" i="16"/>
  <c r="D40" i="16"/>
  <c r="C40" i="16"/>
  <c r="B40" i="16"/>
  <c r="A40" i="16"/>
  <c r="X39" i="16"/>
  <c r="W39" i="16"/>
  <c r="Q39" i="16"/>
  <c r="P39" i="16"/>
  <c r="O39" i="16"/>
  <c r="N39" i="16"/>
  <c r="M39" i="16"/>
  <c r="L39" i="16"/>
  <c r="K39" i="16"/>
  <c r="J39" i="16"/>
  <c r="H39" i="16"/>
  <c r="G39" i="16"/>
  <c r="F39" i="16"/>
  <c r="E39" i="16"/>
  <c r="D39" i="16"/>
  <c r="C39" i="16"/>
  <c r="B39" i="16"/>
  <c r="A39" i="16"/>
  <c r="X38" i="16"/>
  <c r="W38" i="16"/>
  <c r="Q38" i="16"/>
  <c r="P38" i="16"/>
  <c r="O38" i="16"/>
  <c r="N38" i="16"/>
  <c r="M38" i="16"/>
  <c r="L38" i="16"/>
  <c r="K38" i="16"/>
  <c r="J38" i="16"/>
  <c r="H38" i="16"/>
  <c r="G38" i="16"/>
  <c r="F38" i="16"/>
  <c r="E38" i="16"/>
  <c r="D38" i="16"/>
  <c r="C38" i="16"/>
  <c r="B38" i="16"/>
  <c r="A38" i="16"/>
  <c r="X37" i="16"/>
  <c r="W37" i="16"/>
  <c r="Q37" i="16"/>
  <c r="P37" i="16"/>
  <c r="O37" i="16"/>
  <c r="N37" i="16"/>
  <c r="M37" i="16"/>
  <c r="L37" i="16"/>
  <c r="K37" i="16"/>
  <c r="J37" i="16"/>
  <c r="H37" i="16"/>
  <c r="G37" i="16"/>
  <c r="F37" i="16"/>
  <c r="E37" i="16"/>
  <c r="D37" i="16"/>
  <c r="C37" i="16"/>
  <c r="B37" i="16"/>
  <c r="A37" i="16"/>
  <c r="X36" i="16"/>
  <c r="W36" i="16"/>
  <c r="Q36" i="16"/>
  <c r="P36" i="16"/>
  <c r="O36" i="16"/>
  <c r="N36" i="16"/>
  <c r="M36" i="16"/>
  <c r="L36" i="16"/>
  <c r="K36" i="16"/>
  <c r="J36" i="16"/>
  <c r="H36" i="16"/>
  <c r="G36" i="16"/>
  <c r="F36" i="16"/>
  <c r="E36" i="16"/>
  <c r="D36" i="16"/>
  <c r="C36" i="16"/>
  <c r="B36" i="16"/>
  <c r="A36" i="16"/>
  <c r="X35" i="16"/>
  <c r="W35" i="16"/>
  <c r="Q35" i="16"/>
  <c r="P35" i="16"/>
  <c r="O35" i="16"/>
  <c r="N35" i="16"/>
  <c r="M35" i="16"/>
  <c r="L35" i="16"/>
  <c r="K35" i="16"/>
  <c r="J35" i="16"/>
  <c r="H35" i="16"/>
  <c r="G35" i="16"/>
  <c r="F35" i="16"/>
  <c r="E35" i="16"/>
  <c r="D35" i="16"/>
  <c r="C35" i="16"/>
  <c r="B35" i="16"/>
  <c r="A35" i="16"/>
  <c r="X34" i="16"/>
  <c r="W34" i="16"/>
  <c r="Q34" i="16"/>
  <c r="P34" i="16"/>
  <c r="O34" i="16"/>
  <c r="N34" i="16"/>
  <c r="M34" i="16"/>
  <c r="L34" i="16"/>
  <c r="K34" i="16"/>
  <c r="J34" i="16"/>
  <c r="H34" i="16"/>
  <c r="G34" i="16"/>
  <c r="F34" i="16"/>
  <c r="E34" i="16"/>
  <c r="D34" i="16"/>
  <c r="C34" i="16"/>
  <c r="B34" i="16"/>
  <c r="A34" i="16"/>
  <c r="X33" i="16"/>
  <c r="W33" i="16"/>
  <c r="Q33" i="16"/>
  <c r="P33" i="16"/>
  <c r="O33" i="16"/>
  <c r="N33" i="16"/>
  <c r="M33" i="16"/>
  <c r="L33" i="16"/>
  <c r="K33" i="16"/>
  <c r="J33" i="16"/>
  <c r="H33" i="16"/>
  <c r="G33" i="16"/>
  <c r="F33" i="16"/>
  <c r="E33" i="16"/>
  <c r="D33" i="16"/>
  <c r="C33" i="16"/>
  <c r="B33" i="16"/>
  <c r="A33" i="16"/>
  <c r="X32" i="16"/>
  <c r="W32" i="16"/>
  <c r="Q32" i="16"/>
  <c r="P32" i="16"/>
  <c r="O32" i="16"/>
  <c r="N32" i="16"/>
  <c r="M32" i="16"/>
  <c r="L32" i="16"/>
  <c r="K32" i="16"/>
  <c r="J32" i="16"/>
  <c r="H32" i="16"/>
  <c r="G32" i="16"/>
  <c r="F32" i="16"/>
  <c r="E32" i="16"/>
  <c r="D32" i="16"/>
  <c r="C32" i="16"/>
  <c r="B32" i="16"/>
  <c r="A32" i="16"/>
  <c r="X31" i="16"/>
  <c r="W31" i="16"/>
  <c r="Q31" i="16"/>
  <c r="P31" i="16"/>
  <c r="O31" i="16"/>
  <c r="N31" i="16"/>
  <c r="M31" i="16"/>
  <c r="L31" i="16"/>
  <c r="K31" i="16"/>
  <c r="J31" i="16"/>
  <c r="H31" i="16"/>
  <c r="G31" i="16"/>
  <c r="F31" i="16"/>
  <c r="E31" i="16"/>
  <c r="D31" i="16"/>
  <c r="C31" i="16"/>
  <c r="B31" i="16"/>
  <c r="A31" i="16"/>
  <c r="A30" i="16"/>
  <c r="C25" i="16"/>
  <c r="X24" i="16"/>
  <c r="W24" i="16"/>
  <c r="Q24" i="16"/>
  <c r="P24" i="16"/>
  <c r="O24" i="16"/>
  <c r="N24" i="16"/>
  <c r="M24" i="16"/>
  <c r="L24" i="16"/>
  <c r="K24" i="16"/>
  <c r="J24" i="16"/>
  <c r="H24" i="16"/>
  <c r="G24" i="16"/>
  <c r="F24" i="16"/>
  <c r="E24" i="16"/>
  <c r="D24" i="16"/>
  <c r="C24" i="16"/>
  <c r="B24" i="16"/>
  <c r="X23" i="16"/>
  <c r="W23" i="16"/>
  <c r="Q23" i="16"/>
  <c r="P23" i="16"/>
  <c r="O23" i="16"/>
  <c r="N23" i="16"/>
  <c r="M23" i="16"/>
  <c r="L23" i="16"/>
  <c r="K23" i="16"/>
  <c r="J23" i="16"/>
  <c r="H23" i="16"/>
  <c r="G23" i="16"/>
  <c r="F23" i="16"/>
  <c r="E23" i="16"/>
  <c r="D23" i="16"/>
  <c r="C23" i="16"/>
  <c r="B23" i="16"/>
  <c r="X22" i="16"/>
  <c r="W22" i="16"/>
  <c r="Q22" i="16"/>
  <c r="P22" i="16"/>
  <c r="O22" i="16"/>
  <c r="N22" i="16"/>
  <c r="M22" i="16"/>
  <c r="L22" i="16"/>
  <c r="K22" i="16"/>
  <c r="J22" i="16"/>
  <c r="H22" i="16"/>
  <c r="G22" i="16"/>
  <c r="F22" i="16"/>
  <c r="E22" i="16"/>
  <c r="D22" i="16"/>
  <c r="C22" i="16"/>
  <c r="B22" i="16"/>
  <c r="X21" i="16"/>
  <c r="W21" i="16"/>
  <c r="Q21" i="16"/>
  <c r="P21" i="16"/>
  <c r="O21" i="16"/>
  <c r="N21" i="16"/>
  <c r="M21" i="16"/>
  <c r="L21" i="16"/>
  <c r="K21" i="16"/>
  <c r="J21" i="16"/>
  <c r="H21" i="16"/>
  <c r="G21" i="16"/>
  <c r="F21" i="16"/>
  <c r="E21" i="16"/>
  <c r="D21" i="16"/>
  <c r="C21" i="16"/>
  <c r="B21" i="16"/>
  <c r="A21" i="16"/>
  <c r="X20" i="16"/>
  <c r="W20" i="16"/>
  <c r="Q20" i="16"/>
  <c r="P20" i="16"/>
  <c r="J20" i="16"/>
  <c r="H20" i="16"/>
  <c r="G20" i="16"/>
  <c r="F20" i="16"/>
  <c r="E20" i="16"/>
  <c r="D20" i="16"/>
  <c r="C20" i="16"/>
  <c r="B20" i="16"/>
  <c r="A20" i="16"/>
  <c r="X19" i="16"/>
  <c r="W19" i="16"/>
  <c r="Q19" i="16"/>
  <c r="P19" i="16"/>
  <c r="O19" i="16"/>
  <c r="N19" i="16"/>
  <c r="M19" i="16"/>
  <c r="L19" i="16"/>
  <c r="K19" i="16"/>
  <c r="J19" i="16"/>
  <c r="H19" i="16"/>
  <c r="G19" i="16"/>
  <c r="F19" i="16"/>
  <c r="E19" i="16"/>
  <c r="D19" i="16"/>
  <c r="C19" i="16"/>
  <c r="B19" i="16"/>
  <c r="A19" i="16"/>
  <c r="X18" i="16"/>
  <c r="W18" i="16"/>
  <c r="Q18" i="16"/>
  <c r="P18" i="16"/>
  <c r="O18" i="16"/>
  <c r="N18" i="16"/>
  <c r="M18" i="16"/>
  <c r="L18" i="16"/>
  <c r="K18" i="16"/>
  <c r="J18" i="16"/>
  <c r="H18" i="16"/>
  <c r="G18" i="16"/>
  <c r="F18" i="16"/>
  <c r="E18" i="16"/>
  <c r="D18" i="16"/>
  <c r="C18" i="16"/>
  <c r="B18" i="16"/>
  <c r="A18" i="16"/>
  <c r="X17" i="16"/>
  <c r="W17" i="16"/>
  <c r="Q17" i="16"/>
  <c r="P17" i="16"/>
  <c r="O17" i="16"/>
  <c r="N17" i="16"/>
  <c r="M17" i="16"/>
  <c r="L17" i="16"/>
  <c r="K17" i="16"/>
  <c r="J17" i="16"/>
  <c r="H17" i="16"/>
  <c r="G17" i="16"/>
  <c r="F17" i="16"/>
  <c r="E17" i="16"/>
  <c r="D17" i="16"/>
  <c r="C17" i="16"/>
  <c r="B17" i="16"/>
  <c r="A17" i="16"/>
  <c r="X16" i="16"/>
  <c r="W16" i="16"/>
  <c r="Q16" i="16"/>
  <c r="P16" i="16"/>
  <c r="O16" i="16"/>
  <c r="N16" i="16"/>
  <c r="M16" i="16"/>
  <c r="L16" i="16"/>
  <c r="K16" i="16"/>
  <c r="J16" i="16"/>
  <c r="H16" i="16"/>
  <c r="G16" i="16"/>
  <c r="F16" i="16"/>
  <c r="E16" i="16"/>
  <c r="D16" i="16"/>
  <c r="C16" i="16"/>
  <c r="B16" i="16"/>
  <c r="A16" i="16"/>
  <c r="X15" i="16"/>
  <c r="W15" i="16"/>
  <c r="Q15" i="16"/>
  <c r="P15" i="16"/>
  <c r="O15" i="16"/>
  <c r="N15" i="16"/>
  <c r="M15" i="16"/>
  <c r="L15" i="16"/>
  <c r="K15" i="16"/>
  <c r="J15" i="16"/>
  <c r="H15" i="16"/>
  <c r="G15" i="16"/>
  <c r="F15" i="16"/>
  <c r="E15" i="16"/>
  <c r="D15" i="16"/>
  <c r="C15" i="16"/>
  <c r="B15" i="16"/>
  <c r="A15" i="16"/>
  <c r="X14" i="16"/>
  <c r="W14" i="16"/>
  <c r="Q14" i="16"/>
  <c r="P14" i="16"/>
  <c r="O14" i="16"/>
  <c r="N14" i="16"/>
  <c r="M14" i="16"/>
  <c r="L14" i="16"/>
  <c r="K14" i="16"/>
  <c r="J14" i="16"/>
  <c r="H14" i="16"/>
  <c r="G14" i="16"/>
  <c r="F14" i="16"/>
  <c r="E14" i="16"/>
  <c r="D14" i="16"/>
  <c r="C14" i="16"/>
  <c r="B14" i="16"/>
  <c r="A14" i="16"/>
  <c r="X13" i="16"/>
  <c r="W13" i="16"/>
  <c r="Q13" i="16"/>
  <c r="P13" i="16"/>
  <c r="O13" i="16"/>
  <c r="N13" i="16"/>
  <c r="M13" i="16"/>
  <c r="L13" i="16"/>
  <c r="K13" i="16"/>
  <c r="J13" i="16"/>
  <c r="H13" i="16"/>
  <c r="G13" i="16"/>
  <c r="F13" i="16"/>
  <c r="E13" i="16"/>
  <c r="D13" i="16"/>
  <c r="C13" i="16"/>
  <c r="B13" i="16"/>
  <c r="A13" i="16"/>
  <c r="X12" i="16"/>
  <c r="W12" i="16"/>
  <c r="Q12" i="16"/>
  <c r="P12" i="16"/>
  <c r="O12" i="16"/>
  <c r="N12" i="16"/>
  <c r="M12" i="16"/>
  <c r="L12" i="16"/>
  <c r="K12" i="16"/>
  <c r="J12" i="16"/>
  <c r="H12" i="16"/>
  <c r="G12" i="16"/>
  <c r="F12" i="16"/>
  <c r="E12" i="16"/>
  <c r="D12" i="16"/>
  <c r="C12" i="16"/>
  <c r="B12" i="16"/>
  <c r="A12" i="16"/>
  <c r="X11" i="16"/>
  <c r="W11" i="16"/>
  <c r="Q11" i="16"/>
  <c r="P11" i="16"/>
  <c r="O11" i="16"/>
  <c r="N11" i="16"/>
  <c r="M11" i="16"/>
  <c r="L11" i="16"/>
  <c r="K11" i="16"/>
  <c r="J11" i="16"/>
  <c r="H11" i="16"/>
  <c r="G11" i="16"/>
  <c r="F11" i="16"/>
  <c r="E11" i="16"/>
  <c r="D11" i="16"/>
  <c r="C11" i="16"/>
  <c r="B11" i="16"/>
  <c r="A11" i="16"/>
  <c r="X10" i="16"/>
  <c r="W10" i="16"/>
  <c r="Q10" i="16"/>
  <c r="P10" i="16"/>
  <c r="O10" i="16"/>
  <c r="N10" i="16"/>
  <c r="M10" i="16"/>
  <c r="L10" i="16"/>
  <c r="K10" i="16"/>
  <c r="J10" i="16"/>
  <c r="H10" i="16"/>
  <c r="G10" i="16"/>
  <c r="F10" i="16"/>
  <c r="E10" i="16"/>
  <c r="D10" i="16"/>
  <c r="C10" i="16"/>
  <c r="B10" i="16"/>
  <c r="A10" i="16"/>
  <c r="X9" i="16"/>
  <c r="W9" i="16"/>
  <c r="Q9" i="16"/>
  <c r="P9" i="16"/>
  <c r="O9" i="16"/>
  <c r="N9" i="16"/>
  <c r="M9" i="16"/>
  <c r="L9" i="16"/>
  <c r="K9" i="16"/>
  <c r="J9" i="16"/>
  <c r="H9" i="16"/>
  <c r="G9" i="16"/>
  <c r="F9" i="16"/>
  <c r="E9" i="16"/>
  <c r="D9" i="16"/>
  <c r="C9" i="16"/>
  <c r="B9" i="16"/>
  <c r="A9" i="16"/>
  <c r="X8" i="16"/>
  <c r="W8" i="16"/>
  <c r="Q8" i="16"/>
  <c r="P8" i="16"/>
  <c r="O8" i="16"/>
  <c r="N8" i="16"/>
  <c r="M8" i="16"/>
  <c r="L8" i="16"/>
  <c r="K8" i="16"/>
  <c r="J8" i="16"/>
  <c r="H8" i="16"/>
  <c r="G8" i="16"/>
  <c r="F8" i="16"/>
  <c r="E8" i="16"/>
  <c r="D8" i="16"/>
  <c r="C8" i="16"/>
  <c r="B8" i="16"/>
  <c r="A8" i="16"/>
  <c r="X7" i="16"/>
  <c r="W7" i="16"/>
  <c r="Q7" i="16"/>
  <c r="P7" i="16"/>
  <c r="O7" i="16"/>
  <c r="N7" i="16"/>
  <c r="M7" i="16"/>
  <c r="L7" i="16"/>
  <c r="K7" i="16"/>
  <c r="J7" i="16"/>
  <c r="H7" i="16"/>
  <c r="G7" i="16"/>
  <c r="F7" i="16"/>
  <c r="E7" i="16"/>
  <c r="D7" i="16"/>
  <c r="C7" i="16"/>
  <c r="B7" i="16"/>
  <c r="A7" i="16"/>
  <c r="X6" i="16"/>
  <c r="W6" i="16"/>
  <c r="Q6" i="16"/>
  <c r="P6" i="16"/>
  <c r="O6" i="16"/>
  <c r="N6" i="16"/>
  <c r="M6" i="16"/>
  <c r="L6" i="16"/>
  <c r="K6" i="16"/>
  <c r="J6" i="16"/>
  <c r="H6" i="16"/>
  <c r="G6" i="16"/>
  <c r="F6" i="16"/>
  <c r="E6" i="16"/>
  <c r="D6" i="16"/>
  <c r="C6" i="16"/>
  <c r="B6" i="16"/>
  <c r="A6" i="16"/>
  <c r="X5" i="16"/>
  <c r="W5" i="16"/>
  <c r="Q5" i="16"/>
  <c r="P5" i="16"/>
  <c r="O5" i="16"/>
  <c r="N5" i="16"/>
  <c r="M5" i="16"/>
  <c r="L5" i="16"/>
  <c r="K5" i="16"/>
  <c r="J5" i="16"/>
  <c r="H5" i="16"/>
  <c r="G5" i="16"/>
  <c r="F5" i="16"/>
  <c r="E5" i="16"/>
  <c r="D5" i="16"/>
  <c r="C5" i="16"/>
  <c r="B5" i="16"/>
  <c r="A5" i="16"/>
  <c r="F29" i="10"/>
  <c r="C29" i="10"/>
  <c r="F28" i="10"/>
  <c r="C28" i="10"/>
  <c r="F27" i="10"/>
  <c r="C27" i="10"/>
  <c r="F26" i="10"/>
  <c r="C26" i="10"/>
  <c r="F25" i="10"/>
  <c r="C25" i="10"/>
  <c r="C24" i="10"/>
  <c r="C23" i="10"/>
  <c r="I21" i="10"/>
  <c r="F21" i="10"/>
  <c r="I20" i="10"/>
  <c r="F20" i="10"/>
  <c r="F9" i="14" s="1"/>
  <c r="I19" i="10"/>
  <c r="F19" i="10"/>
  <c r="E9" i="14" s="1"/>
  <c r="D16" i="10"/>
  <c r="B16" i="10"/>
  <c r="H15" i="10"/>
  <c r="D15" i="10"/>
  <c r="B15" i="10"/>
  <c r="D14" i="10"/>
  <c r="B14" i="10"/>
  <c r="D13" i="10"/>
  <c r="B13" i="10"/>
  <c r="D12" i="10"/>
  <c r="B12" i="10"/>
  <c r="H11" i="10"/>
  <c r="D11" i="10"/>
  <c r="B11" i="10"/>
  <c r="D5" i="10"/>
  <c r="D4" i="10"/>
  <c r="X73" i="20"/>
  <c r="X72" i="20"/>
  <c r="X71" i="20"/>
  <c r="X70" i="20"/>
  <c r="X69" i="20"/>
  <c r="X68" i="20"/>
  <c r="X67" i="20"/>
  <c r="X66" i="20"/>
  <c r="X65" i="20"/>
  <c r="X64" i="20"/>
  <c r="X63" i="20"/>
  <c r="X62" i="20"/>
  <c r="X61" i="20"/>
  <c r="X60" i="20"/>
  <c r="X59" i="20"/>
  <c r="X58" i="20"/>
  <c r="X57" i="20"/>
  <c r="X56" i="20"/>
  <c r="X55" i="20"/>
  <c r="X54" i="20"/>
  <c r="X53" i="20"/>
  <c r="X52" i="20"/>
  <c r="X50" i="20"/>
  <c r="X49" i="20"/>
  <c r="X48" i="20"/>
  <c r="X47" i="20"/>
  <c r="X46" i="20"/>
  <c r="X45" i="20"/>
  <c r="X44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AH65" i="8"/>
  <c r="J29" i="10" s="1"/>
  <c r="L65" i="8"/>
  <c r="AH64" i="8"/>
  <c r="J28" i="10" s="1"/>
  <c r="L64" i="8"/>
  <c r="AH63" i="8"/>
  <c r="J27" i="10" s="1"/>
  <c r="L63" i="8"/>
  <c r="AH62" i="8"/>
  <c r="J26" i="10" s="1"/>
  <c r="L62" i="8"/>
  <c r="AH61" i="8"/>
  <c r="J25" i="10" s="1"/>
  <c r="L61" i="8"/>
  <c r="AH60" i="8"/>
  <c r="J24" i="10" s="1"/>
  <c r="L60" i="8"/>
  <c r="AH59" i="8"/>
  <c r="J23" i="10" s="1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3" i="8"/>
  <c r="L42" i="8"/>
  <c r="L41" i="8"/>
  <c r="L40" i="8"/>
  <c r="L39" i="8"/>
  <c r="L37" i="8"/>
  <c r="L34" i="8"/>
  <c r="L30" i="8"/>
  <c r="L29" i="8"/>
  <c r="L27" i="8"/>
  <c r="L26" i="8"/>
  <c r="L22" i="8"/>
  <c r="L21" i="8"/>
  <c r="L19" i="8"/>
  <c r="L18" i="8"/>
  <c r="L17" i="8"/>
  <c r="AN14" i="8"/>
  <c r="L14" i="8"/>
  <c r="M4" i="8" s="1"/>
  <c r="AN13" i="8"/>
  <c r="L13" i="8"/>
  <c r="AN12" i="8"/>
  <c r="L12" i="8"/>
  <c r="AN11" i="8"/>
  <c r="L11" i="8"/>
  <c r="AN10" i="8"/>
  <c r="L10" i="8"/>
  <c r="AN9" i="8"/>
  <c r="L9" i="8"/>
  <c r="AN8" i="8"/>
  <c r="L8" i="8"/>
  <c r="AN7" i="8"/>
  <c r="L7" i="8"/>
  <c r="AN6" i="8"/>
  <c r="L6" i="8"/>
  <c r="AN5" i="8"/>
  <c r="L5" i="8"/>
  <c r="AN4" i="8"/>
  <c r="T4" i="8"/>
  <c r="S4" i="8"/>
  <c r="R4" i="8"/>
  <c r="Q4" i="8"/>
  <c r="P4" i="8"/>
  <c r="O4" i="8"/>
  <c r="N4" i="8"/>
  <c r="G35" i="7"/>
  <c r="B35" i="7"/>
  <c r="G34" i="7"/>
  <c r="B34" i="7"/>
  <c r="G33" i="7"/>
  <c r="B33" i="7"/>
  <c r="G32" i="7"/>
  <c r="B32" i="7"/>
  <c r="G31" i="7"/>
  <c r="B31" i="7"/>
  <c r="I29" i="7"/>
  <c r="B29" i="7"/>
  <c r="I28" i="7"/>
  <c r="B28" i="7"/>
  <c r="I27" i="7"/>
  <c r="B27" i="7"/>
  <c r="I26" i="7"/>
  <c r="B26" i="7"/>
  <c r="I25" i="7"/>
  <c r="B25" i="7"/>
  <c r="F21" i="7"/>
  <c r="I20" i="7"/>
  <c r="F20" i="7"/>
  <c r="F7" i="14" s="1"/>
  <c r="I19" i="7"/>
  <c r="F19" i="7"/>
  <c r="E7" i="14" s="1"/>
  <c r="D15" i="7"/>
  <c r="B15" i="7"/>
  <c r="H14" i="7"/>
  <c r="D14" i="7"/>
  <c r="B14" i="7"/>
  <c r="D13" i="7"/>
  <c r="B13" i="7"/>
  <c r="D12" i="7"/>
  <c r="B12" i="7"/>
  <c r="D11" i="7"/>
  <c r="B11" i="7"/>
  <c r="D10" i="7"/>
  <c r="B10" i="7"/>
  <c r="D4" i="7"/>
  <c r="D3" i="7"/>
  <c r="X76" i="19"/>
  <c r="X75" i="19"/>
  <c r="X74" i="19"/>
  <c r="X73" i="19"/>
  <c r="X72" i="19"/>
  <c r="X71" i="19"/>
  <c r="X70" i="19"/>
  <c r="X69" i="19"/>
  <c r="X68" i="19"/>
  <c r="X67" i="19"/>
  <c r="X66" i="19"/>
  <c r="X65" i="19"/>
  <c r="X64" i="19"/>
  <c r="X63" i="19"/>
  <c r="X62" i="19"/>
  <c r="X61" i="19"/>
  <c r="X60" i="19"/>
  <c r="X59" i="19"/>
  <c r="X58" i="19"/>
  <c r="X57" i="19"/>
  <c r="X56" i="19"/>
  <c r="X55" i="19"/>
  <c r="X54" i="19"/>
  <c r="X53" i="19"/>
  <c r="X52" i="19"/>
  <c r="X51" i="19"/>
  <c r="X50" i="19"/>
  <c r="X49" i="19"/>
  <c r="X48" i="19"/>
  <c r="X47" i="19"/>
  <c r="X46" i="19"/>
  <c r="X45" i="19"/>
  <c r="X44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6" i="6"/>
  <c r="N55" i="6"/>
  <c r="N54" i="6"/>
  <c r="AL52" i="6"/>
  <c r="K37" i="7" s="1"/>
  <c r="N52" i="6"/>
  <c r="AL53" i="6"/>
  <c r="K36" i="7" s="1"/>
  <c r="N53" i="6"/>
  <c r="AL51" i="6"/>
  <c r="K35" i="7" s="1"/>
  <c r="N51" i="6"/>
  <c r="AL49" i="6"/>
  <c r="K34" i="7" s="1"/>
  <c r="N49" i="6"/>
  <c r="AL48" i="6"/>
  <c r="K33" i="7" s="1"/>
  <c r="N48" i="6"/>
  <c r="AL47" i="6"/>
  <c r="K32" i="7" s="1"/>
  <c r="N47" i="6"/>
  <c r="AL46" i="6"/>
  <c r="N46" i="6"/>
  <c r="N45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AI4" i="6"/>
  <c r="AH4" i="6"/>
  <c r="W4" i="6"/>
  <c r="V4" i="6"/>
  <c r="T4" i="6"/>
  <c r="S4" i="6"/>
  <c r="R4" i="6"/>
  <c r="Q4" i="6"/>
  <c r="P4" i="6"/>
  <c r="O4" i="6"/>
  <c r="J43" i="5"/>
  <c r="J42" i="5"/>
  <c r="B42" i="5"/>
  <c r="J41" i="5"/>
  <c r="E41" i="5"/>
  <c r="B41" i="5"/>
  <c r="J40" i="5"/>
  <c r="E40" i="5"/>
  <c r="B40" i="5"/>
  <c r="J39" i="5"/>
  <c r="B39" i="5"/>
  <c r="E38" i="5"/>
  <c r="B38" i="5"/>
  <c r="E37" i="5"/>
  <c r="B37" i="5"/>
  <c r="K36" i="5"/>
  <c r="B33" i="5"/>
  <c r="K32" i="5"/>
  <c r="B32" i="5"/>
  <c r="B31" i="5"/>
  <c r="B30" i="5"/>
  <c r="B29" i="5"/>
  <c r="K28" i="5"/>
  <c r="E28" i="5"/>
  <c r="B28" i="5"/>
  <c r="K27" i="5"/>
  <c r="K26" i="5"/>
  <c r="K25" i="5"/>
  <c r="I23" i="5"/>
  <c r="F23" i="5"/>
  <c r="I22" i="5"/>
  <c r="F22" i="5"/>
  <c r="F8" i="14" s="1"/>
  <c r="F21" i="5"/>
  <c r="E8" i="14" s="1"/>
  <c r="B17" i="5"/>
  <c r="D16" i="5"/>
  <c r="B16" i="5"/>
  <c r="D15" i="5"/>
  <c r="B15" i="5"/>
  <c r="H14" i="5"/>
  <c r="D14" i="5"/>
  <c r="B14" i="5"/>
  <c r="D13" i="5"/>
  <c r="B13" i="5"/>
  <c r="D12" i="5"/>
  <c r="B12" i="5"/>
  <c r="D11" i="5"/>
  <c r="B11" i="5"/>
  <c r="D10" i="5"/>
  <c r="B10" i="5"/>
  <c r="D4" i="5"/>
  <c r="D3" i="5"/>
  <c r="X104" i="17"/>
  <c r="X103" i="17"/>
  <c r="X102" i="17"/>
  <c r="X101" i="17"/>
  <c r="X100" i="17"/>
  <c r="X99" i="17"/>
  <c r="X98" i="17"/>
  <c r="X97" i="17"/>
  <c r="X96" i="17"/>
  <c r="X95" i="17"/>
  <c r="X94" i="17"/>
  <c r="X93" i="17"/>
  <c r="X92" i="17"/>
  <c r="X91" i="17"/>
  <c r="X90" i="17"/>
  <c r="X89" i="17"/>
  <c r="X88" i="17"/>
  <c r="X87" i="17"/>
  <c r="X86" i="17"/>
  <c r="X85" i="17"/>
  <c r="X84" i="17"/>
  <c r="X83" i="17"/>
  <c r="X82" i="17"/>
  <c r="X81" i="17"/>
  <c r="X80" i="17"/>
  <c r="X79" i="17"/>
  <c r="X78" i="17"/>
  <c r="X77" i="17"/>
  <c r="X76" i="17"/>
  <c r="X75" i="17"/>
  <c r="X74" i="17"/>
  <c r="X73" i="17"/>
  <c r="X72" i="17"/>
  <c r="X71" i="17"/>
  <c r="X70" i="17"/>
  <c r="X69" i="17"/>
  <c r="X68" i="17"/>
  <c r="X67" i="17"/>
  <c r="X66" i="17"/>
  <c r="X65" i="17"/>
  <c r="X64" i="17"/>
  <c r="X63" i="17"/>
  <c r="X62" i="17"/>
  <c r="X61" i="17"/>
  <c r="X60" i="17"/>
  <c r="X58" i="17"/>
  <c r="X52" i="17"/>
  <c r="X51" i="17"/>
  <c r="X50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P471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5" i="4"/>
  <c r="O104" i="4"/>
  <c r="O103" i="4"/>
  <c r="O102" i="4"/>
  <c r="O101" i="4"/>
  <c r="O99" i="4"/>
  <c r="O97" i="4"/>
  <c r="O96" i="4"/>
  <c r="O95" i="4"/>
  <c r="O94" i="4"/>
  <c r="O93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E39" i="5" s="1"/>
  <c r="O65" i="4"/>
  <c r="E42" i="5" s="1"/>
  <c r="O64" i="4"/>
  <c r="O61" i="4"/>
  <c r="O60" i="4"/>
  <c r="O59" i="4"/>
  <c r="O58" i="4"/>
  <c r="O57" i="4"/>
  <c r="O55" i="4"/>
  <c r="O54" i="4"/>
  <c r="O52" i="4"/>
  <c r="AQ49" i="4"/>
  <c r="AQ48" i="4"/>
  <c r="AQ47" i="4"/>
  <c r="O48" i="4"/>
  <c r="O47" i="4"/>
  <c r="AQ45" i="4"/>
  <c r="O46" i="4"/>
  <c r="AQ44" i="4"/>
  <c r="O45" i="4"/>
  <c r="AQ43" i="4"/>
  <c r="O44" i="4"/>
  <c r="AQ42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AW15" i="4"/>
  <c r="O15" i="4"/>
  <c r="O14" i="4"/>
  <c r="AW13" i="4"/>
  <c r="O13" i="4"/>
  <c r="AW12" i="4"/>
  <c r="O12" i="4"/>
  <c r="AW11" i="4"/>
  <c r="O11" i="4"/>
  <c r="AW10" i="4"/>
  <c r="O10" i="4"/>
  <c r="AW9" i="4"/>
  <c r="AW8" i="4"/>
  <c r="O8" i="4"/>
  <c r="AW7" i="4"/>
  <c r="O7" i="4"/>
  <c r="AW6" i="4"/>
  <c r="O6" i="4"/>
  <c r="AW5" i="4"/>
  <c r="O5" i="4"/>
  <c r="AW4" i="4"/>
  <c r="AN4" i="4"/>
  <c r="AM4" i="4"/>
  <c r="AL4" i="4"/>
  <c r="K29" i="5" s="1"/>
  <c r="AK4" i="4"/>
  <c r="K33" i="5" s="1"/>
  <c r="AJ4" i="4"/>
  <c r="AH4" i="4"/>
  <c r="K31" i="5" s="1"/>
  <c r="AG4" i="4"/>
  <c r="K30" i="5" s="1"/>
  <c r="AF4" i="4"/>
  <c r="K34" i="5" s="1"/>
  <c r="AE4" i="4"/>
  <c r="K35" i="5" s="1"/>
  <c r="Z4" i="4"/>
  <c r="Y4" i="4"/>
  <c r="W4" i="4"/>
  <c r="V4" i="4"/>
  <c r="U4" i="4"/>
  <c r="T4" i="4"/>
  <c r="S4" i="4"/>
  <c r="R4" i="4"/>
  <c r="Q4" i="4"/>
  <c r="P4" i="4"/>
  <c r="BE4" i="13"/>
  <c r="BD4" i="13"/>
  <c r="BC4" i="13"/>
  <c r="BB4" i="13"/>
  <c r="BA4" i="13"/>
  <c r="AZ4" i="13"/>
  <c r="AY4" i="13"/>
  <c r="AX4" i="13"/>
  <c r="AW4" i="13"/>
  <c r="AV4" i="13"/>
  <c r="AU4" i="13"/>
  <c r="AT4" i="13"/>
  <c r="AS4" i="13"/>
  <c r="AR4" i="13"/>
  <c r="AQ4" i="13"/>
  <c r="H16" i="10" s="1"/>
  <c r="AP4" i="13"/>
  <c r="G16" i="10" s="1"/>
  <c r="AO4" i="13"/>
  <c r="H15" i="7" s="1"/>
  <c r="AN4" i="13"/>
  <c r="G15" i="7" s="1"/>
  <c r="AM4" i="13"/>
  <c r="H17" i="5" s="1"/>
  <c r="AL4" i="13"/>
  <c r="G17" i="5" s="1"/>
  <c r="AK4" i="13"/>
  <c r="AJ4" i="13"/>
  <c r="G15" i="10" s="1"/>
  <c r="F15" i="10" s="1"/>
  <c r="AI4" i="13"/>
  <c r="AH4" i="13"/>
  <c r="G14" i="7" s="1"/>
  <c r="F14" i="7" s="1"/>
  <c r="AG4" i="13"/>
  <c r="H16" i="5" s="1"/>
  <c r="AF4" i="13"/>
  <c r="G16" i="5" s="1"/>
  <c r="AE4" i="13"/>
  <c r="H15" i="5" s="1"/>
  <c r="AD4" i="13"/>
  <c r="G15" i="5" s="1"/>
  <c r="AC4" i="13"/>
  <c r="AB4" i="13"/>
  <c r="G14" i="5" s="1"/>
  <c r="F14" i="5" s="1"/>
  <c r="AA4" i="13"/>
  <c r="H14" i="10" s="1"/>
  <c r="Z4" i="13"/>
  <c r="G14" i="10" s="1"/>
  <c r="Y4" i="13"/>
  <c r="H13" i="7" s="1"/>
  <c r="X4" i="13"/>
  <c r="G13" i="7" s="1"/>
  <c r="W4" i="13"/>
  <c r="H13" i="5" s="1"/>
  <c r="V4" i="13"/>
  <c r="G13" i="5" s="1"/>
  <c r="U4" i="13"/>
  <c r="H12" i="5" s="1"/>
  <c r="T4" i="13"/>
  <c r="G12" i="5" s="1"/>
  <c r="S4" i="13"/>
  <c r="H12" i="7" s="1"/>
  <c r="R4" i="13"/>
  <c r="G12" i="7" s="1"/>
  <c r="Q4" i="13"/>
  <c r="P4" i="13"/>
  <c r="G11" i="10" s="1"/>
  <c r="O4" i="13"/>
  <c r="H11" i="5" s="1"/>
  <c r="N4" i="13"/>
  <c r="G11" i="5" s="1"/>
  <c r="M4" i="13"/>
  <c r="H12" i="10" s="1"/>
  <c r="L4" i="13"/>
  <c r="G12" i="10" s="1"/>
  <c r="F12" i="10" s="1"/>
  <c r="K4" i="13"/>
  <c r="H10" i="7" s="1"/>
  <c r="J4" i="13"/>
  <c r="G10" i="7" s="1"/>
  <c r="I4" i="13"/>
  <c r="H13" i="10" s="1"/>
  <c r="H4" i="13"/>
  <c r="G13" i="10" s="1"/>
  <c r="F13" i="10" s="1"/>
  <c r="G4" i="13"/>
  <c r="H11" i="7" s="1"/>
  <c r="F4" i="13"/>
  <c r="G11" i="7" s="1"/>
  <c r="E4" i="13"/>
  <c r="H10" i="5" s="1"/>
  <c r="D4" i="13"/>
  <c r="G10" i="5" s="1"/>
  <c r="U27" i="2"/>
  <c r="V19" i="2"/>
  <c r="U19" i="2"/>
  <c r="AD11" i="2"/>
  <c r="D29" i="7" s="1"/>
  <c r="AC11" i="2"/>
  <c r="AB11" i="2"/>
  <c r="D28" i="7" s="1"/>
  <c r="AA11" i="2"/>
  <c r="C28" i="7" s="1"/>
  <c r="Z11" i="2"/>
  <c r="D27" i="7" s="1"/>
  <c r="Y11" i="2"/>
  <c r="X11" i="2"/>
  <c r="D26" i="7" s="1"/>
  <c r="W11" i="2"/>
  <c r="C26" i="7" s="1"/>
  <c r="V11" i="2"/>
  <c r="U11" i="2"/>
  <c r="C25" i="7" s="1"/>
  <c r="AN5" i="2"/>
  <c r="D42" i="5" s="1"/>
  <c r="AM5" i="2"/>
  <c r="AL5" i="2"/>
  <c r="D41" i="5" s="1"/>
  <c r="AK5" i="2"/>
  <c r="AJ5" i="2"/>
  <c r="D40" i="5" s="1"/>
  <c r="AI5" i="2"/>
  <c r="AH5" i="2"/>
  <c r="D39" i="5" s="1"/>
  <c r="AG5" i="2"/>
  <c r="C39" i="5" s="1"/>
  <c r="AF5" i="2"/>
  <c r="D38" i="5" s="1"/>
  <c r="AE5" i="2"/>
  <c r="AD5" i="2"/>
  <c r="AC5" i="2"/>
  <c r="C32" i="5" s="1"/>
  <c r="AB5" i="2"/>
  <c r="D31" i="5" s="1"/>
  <c r="AA5" i="2"/>
  <c r="C31" i="5" s="1"/>
  <c r="Z5" i="2"/>
  <c r="Y5" i="2"/>
  <c r="C30" i="5" s="1"/>
  <c r="X5" i="2"/>
  <c r="W5" i="2"/>
  <c r="C29" i="5" s="1"/>
  <c r="V5" i="2"/>
  <c r="D28" i="5" s="1"/>
  <c r="U5" i="2"/>
  <c r="C28" i="5" s="1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9" i="14"/>
  <c r="C8" i="14"/>
  <c r="C7" i="14"/>
  <c r="K5" i="10" l="1"/>
  <c r="I120" i="16"/>
  <c r="K4" i="7"/>
  <c r="O4" i="7" s="1"/>
  <c r="I21" i="7"/>
  <c r="D19" i="5"/>
  <c r="F13" i="7"/>
  <c r="F16" i="5"/>
  <c r="E33" i="5"/>
  <c r="D17" i="7"/>
  <c r="B17" i="7"/>
  <c r="B19" i="5"/>
  <c r="F15" i="7"/>
  <c r="F12" i="5"/>
  <c r="X74" i="20"/>
  <c r="K4" i="10"/>
  <c r="K6" i="10" s="1"/>
  <c r="D9" i="14" s="1"/>
  <c r="K3" i="7"/>
  <c r="O3" i="7" s="1"/>
  <c r="AE6" i="2"/>
  <c r="AM6" i="2"/>
  <c r="AI6" i="2"/>
  <c r="AK6" i="2"/>
  <c r="L4" i="8"/>
  <c r="I15" i="10"/>
  <c r="I16" i="10"/>
  <c r="B17" i="10"/>
  <c r="N4" i="6"/>
  <c r="I14" i="7"/>
  <c r="I13" i="7"/>
  <c r="D17" i="10"/>
  <c r="D6" i="10"/>
  <c r="G29" i="10" s="1"/>
  <c r="I12" i="10"/>
  <c r="I13" i="10"/>
  <c r="I14" i="10"/>
  <c r="I11" i="10"/>
  <c r="I12" i="7"/>
  <c r="X105" i="17"/>
  <c r="I11" i="7"/>
  <c r="D5" i="7"/>
  <c r="J25" i="7" s="1"/>
  <c r="I15" i="7"/>
  <c r="U20" i="2"/>
  <c r="C40" i="5"/>
  <c r="C38" i="5"/>
  <c r="C42" i="5"/>
  <c r="AG6" i="2"/>
  <c r="I10" i="7"/>
  <c r="E6" i="14"/>
  <c r="F6" i="14"/>
  <c r="Y12" i="2"/>
  <c r="E27" i="7" s="1"/>
  <c r="I224" i="16"/>
  <c r="I82" i="16"/>
  <c r="I84" i="16"/>
  <c r="I7" i="16"/>
  <c r="I11" i="16"/>
  <c r="I228" i="16"/>
  <c r="I128" i="16"/>
  <c r="I152" i="16"/>
  <c r="I69" i="16"/>
  <c r="I192" i="16"/>
  <c r="I13" i="5"/>
  <c r="O4" i="16"/>
  <c r="I81" i="16"/>
  <c r="I144" i="16"/>
  <c r="I146" i="16"/>
  <c r="I216" i="16"/>
  <c r="I222" i="16"/>
  <c r="I45" i="16"/>
  <c r="I61" i="16"/>
  <c r="I64" i="16"/>
  <c r="I143" i="16"/>
  <c r="I208" i="16"/>
  <c r="I210" i="16"/>
  <c r="I37" i="16"/>
  <c r="I53" i="16"/>
  <c r="I75" i="16"/>
  <c r="I105" i="16"/>
  <c r="I123" i="16"/>
  <c r="AW16" i="4"/>
  <c r="I46" i="16"/>
  <c r="I50" i="16"/>
  <c r="I98" i="16"/>
  <c r="I136" i="16"/>
  <c r="I168" i="16"/>
  <c r="I184" i="16"/>
  <c r="I187" i="16"/>
  <c r="K3" i="5"/>
  <c r="O3" i="5" s="1"/>
  <c r="I15" i="5"/>
  <c r="I41" i="16"/>
  <c r="I106" i="16"/>
  <c r="I110" i="16"/>
  <c r="I160" i="16"/>
  <c r="I176" i="16"/>
  <c r="I200" i="16"/>
  <c r="I6" i="16"/>
  <c r="I22" i="16"/>
  <c r="I35" i="16"/>
  <c r="I169" i="16"/>
  <c r="I173" i="16"/>
  <c r="I21" i="5"/>
  <c r="I14" i="16"/>
  <c r="I90" i="16"/>
  <c r="I96" i="16"/>
  <c r="I164" i="16"/>
  <c r="I14" i="5"/>
  <c r="P4" i="16"/>
  <c r="M4" i="16"/>
  <c r="I10" i="16"/>
  <c r="I15" i="16"/>
  <c r="I19" i="16"/>
  <c r="I31" i="16"/>
  <c r="I49" i="16"/>
  <c r="I54" i="16"/>
  <c r="I58" i="16"/>
  <c r="I78" i="16"/>
  <c r="I89" i="16"/>
  <c r="I92" i="16"/>
  <c r="I103" i="16"/>
  <c r="I109" i="16"/>
  <c r="I113" i="16"/>
  <c r="I117" i="16"/>
  <c r="I131" i="16"/>
  <c r="I139" i="16"/>
  <c r="I147" i="16"/>
  <c r="I151" i="16"/>
  <c r="I154" i="16"/>
  <c r="I158" i="16"/>
  <c r="I166" i="16"/>
  <c r="I172" i="16"/>
  <c r="I177" i="16"/>
  <c r="I181" i="16"/>
  <c r="I195" i="16"/>
  <c r="I215" i="16"/>
  <c r="I218" i="16"/>
  <c r="I226" i="16"/>
  <c r="I230" i="16"/>
  <c r="I18" i="16"/>
  <c r="I23" i="16"/>
  <c r="I32" i="16"/>
  <c r="I36" i="16"/>
  <c r="I39" i="16"/>
  <c r="I43" i="16"/>
  <c r="I51" i="16"/>
  <c r="I57" i="16"/>
  <c r="I62" i="16"/>
  <c r="I66" i="16"/>
  <c r="I85" i="16"/>
  <c r="I93" i="16"/>
  <c r="I100" i="16"/>
  <c r="I116" i="16"/>
  <c r="I121" i="16"/>
  <c r="I125" i="16"/>
  <c r="I155" i="16"/>
  <c r="I159" i="16"/>
  <c r="I162" i="16"/>
  <c r="I174" i="16"/>
  <c r="I180" i="16"/>
  <c r="I185" i="16"/>
  <c r="I189" i="16"/>
  <c r="I203" i="16"/>
  <c r="I5" i="16"/>
  <c r="W4" i="16"/>
  <c r="I8" i="16"/>
  <c r="X4" i="16"/>
  <c r="I12" i="16"/>
  <c r="I40" i="16"/>
  <c r="I44" i="16"/>
  <c r="I47" i="16"/>
  <c r="I59" i="16"/>
  <c r="I65" i="16"/>
  <c r="I70" i="16"/>
  <c r="I72" i="16"/>
  <c r="I104" i="16"/>
  <c r="I107" i="16"/>
  <c r="I118" i="16"/>
  <c r="I124" i="16"/>
  <c r="I129" i="16"/>
  <c r="I133" i="16"/>
  <c r="I163" i="16"/>
  <c r="I167" i="16"/>
  <c r="I170" i="16"/>
  <c r="I188" i="16"/>
  <c r="I193" i="16"/>
  <c r="I197" i="16"/>
  <c r="I211" i="16"/>
  <c r="N4" i="16"/>
  <c r="I13" i="16"/>
  <c r="I16" i="16"/>
  <c r="I20" i="16"/>
  <c r="I52" i="16"/>
  <c r="I55" i="16"/>
  <c r="I67" i="16"/>
  <c r="I71" i="16"/>
  <c r="I76" i="16"/>
  <c r="I79" i="16"/>
  <c r="I101" i="16"/>
  <c r="I112" i="16"/>
  <c r="I114" i="16"/>
  <c r="I126" i="16"/>
  <c r="I132" i="16"/>
  <c r="I137" i="16"/>
  <c r="I141" i="16"/>
  <c r="I175" i="16"/>
  <c r="I178" i="16"/>
  <c r="I182" i="16"/>
  <c r="I196" i="16"/>
  <c r="I201" i="16"/>
  <c r="I205" i="16"/>
  <c r="I219" i="16"/>
  <c r="I223" i="16"/>
  <c r="I207" i="16"/>
  <c r="O4" i="4"/>
  <c r="L4" i="16"/>
  <c r="Q4" i="16"/>
  <c r="I9" i="16"/>
  <c r="I21" i="16"/>
  <c r="I24" i="16"/>
  <c r="I60" i="16"/>
  <c r="I63" i="16"/>
  <c r="I73" i="16"/>
  <c r="I83" i="16"/>
  <c r="I87" i="16"/>
  <c r="I108" i="16"/>
  <c r="I119" i="16"/>
  <c r="I122" i="16"/>
  <c r="I134" i="16"/>
  <c r="I140" i="16"/>
  <c r="I145" i="16"/>
  <c r="I149" i="16"/>
  <c r="I183" i="16"/>
  <c r="I186" i="16"/>
  <c r="I190" i="16"/>
  <c r="I204" i="16"/>
  <c r="I209" i="16"/>
  <c r="I213" i="16"/>
  <c r="I227" i="16"/>
  <c r="I231" i="16"/>
  <c r="I16" i="5"/>
  <c r="I17" i="16"/>
  <c r="I34" i="16"/>
  <c r="I48" i="16"/>
  <c r="I56" i="16"/>
  <c r="I68" i="16"/>
  <c r="I80" i="16"/>
  <c r="I86" i="16"/>
  <c r="I91" i="16"/>
  <c r="I95" i="16"/>
  <c r="I115" i="16"/>
  <c r="I127" i="16"/>
  <c r="I130" i="16"/>
  <c r="I142" i="16"/>
  <c r="I148" i="16"/>
  <c r="I153" i="16"/>
  <c r="I157" i="16"/>
  <c r="I171" i="16"/>
  <c r="I191" i="16"/>
  <c r="I194" i="16"/>
  <c r="I198" i="16"/>
  <c r="I212" i="16"/>
  <c r="I217" i="16"/>
  <c r="I221" i="16"/>
  <c r="I17" i="5"/>
  <c r="I33" i="16"/>
  <c r="I38" i="16"/>
  <c r="I42" i="16"/>
  <c r="I74" i="16"/>
  <c r="I77" i="16"/>
  <c r="I88" i="16"/>
  <c r="I94" i="16"/>
  <c r="I99" i="16"/>
  <c r="I102" i="16"/>
  <c r="I135" i="16"/>
  <c r="I138" i="16"/>
  <c r="I150" i="16"/>
  <c r="I156" i="16"/>
  <c r="I161" i="16"/>
  <c r="I165" i="16"/>
  <c r="I179" i="16"/>
  <c r="I199" i="16"/>
  <c r="I202" i="16"/>
  <c r="I206" i="16"/>
  <c r="I214" i="16"/>
  <c r="I220" i="16"/>
  <c r="I225" i="16"/>
  <c r="I229" i="16"/>
  <c r="K4" i="16"/>
  <c r="I12" i="5"/>
  <c r="I97" i="16"/>
  <c r="J4" i="16"/>
  <c r="F11" i="10"/>
  <c r="G17" i="10"/>
  <c r="H17" i="10"/>
  <c r="F12" i="7"/>
  <c r="F14" i="10"/>
  <c r="F16" i="10"/>
  <c r="H17" i="7"/>
  <c r="F10" i="5"/>
  <c r="G19" i="5"/>
  <c r="F10" i="7"/>
  <c r="G17" i="7"/>
  <c r="F11" i="7"/>
  <c r="F11" i="5"/>
  <c r="F15" i="5"/>
  <c r="F17" i="5"/>
  <c r="F13" i="5"/>
  <c r="H19" i="5"/>
  <c r="C6" i="14"/>
  <c r="C41" i="5"/>
  <c r="Y6" i="2"/>
  <c r="E30" i="5" s="1"/>
  <c r="C27" i="7"/>
  <c r="AC12" i="2"/>
  <c r="E29" i="7" s="1"/>
  <c r="W6" i="2"/>
  <c r="E29" i="5" s="1"/>
  <c r="U12" i="2"/>
  <c r="E25" i="7" s="1"/>
  <c r="D30" i="5"/>
  <c r="AA6" i="2"/>
  <c r="E31" i="5" s="1"/>
  <c r="AC6" i="2"/>
  <c r="W12" i="2"/>
  <c r="E26" i="7" s="1"/>
  <c r="C29" i="7"/>
  <c r="AA12" i="2"/>
  <c r="E28" i="7" s="1"/>
  <c r="D29" i="5"/>
  <c r="C37" i="5"/>
  <c r="K4" i="5"/>
  <c r="O4" i="5" s="1"/>
  <c r="I10" i="5"/>
  <c r="I11" i="5"/>
  <c r="D5" i="5"/>
  <c r="K39" i="5" s="1"/>
  <c r="AL55" i="6"/>
  <c r="K31" i="7"/>
  <c r="AQ50" i="4"/>
  <c r="D25" i="7"/>
  <c r="I17" i="7" l="1"/>
  <c r="O5" i="5"/>
  <c r="K5" i="7"/>
  <c r="D7" i="14" s="1"/>
  <c r="O5" i="7"/>
  <c r="F17" i="10"/>
  <c r="I17" i="10"/>
  <c r="G28" i="10"/>
  <c r="G27" i="10"/>
  <c r="G26" i="10"/>
  <c r="G25" i="10"/>
  <c r="J27" i="7"/>
  <c r="J26" i="7"/>
  <c r="J28" i="7"/>
  <c r="J29" i="7"/>
  <c r="F19" i="5"/>
  <c r="K5" i="5"/>
  <c r="D8" i="14" s="1"/>
  <c r="I4" i="16"/>
  <c r="F17" i="7"/>
  <c r="K42" i="5"/>
  <c r="K41" i="5"/>
  <c r="K43" i="5"/>
  <c r="K40" i="5"/>
  <c r="I19" i="5"/>
  <c r="D6" i="14" l="1"/>
</calcChain>
</file>

<file path=xl/comments1.xml><?xml version="1.0" encoding="utf-8"?>
<comments xmlns="http://schemas.openxmlformats.org/spreadsheetml/2006/main">
  <authors>
    <author>lhislop</author>
    <author>Hislop, Leigh A</author>
  </authors>
  <commentList>
    <comment ref="AE2" authorId="0" shapeId="0">
      <text>
        <r>
          <rPr>
            <b/>
            <sz val="8"/>
            <color indexed="81"/>
            <rFont val="Tahoma"/>
            <family val="2"/>
          </rPr>
          <t>lhislop:</t>
        </r>
        <r>
          <rPr>
            <sz val="8"/>
            <color indexed="81"/>
            <rFont val="Tahoma"/>
            <family val="2"/>
          </rPr>
          <t xml:space="preserve">
CONTAINED WITHIN THE FIRST OPERATIONAL PERIOD
</t>
        </r>
      </text>
    </comment>
    <comment ref="AW3" authorId="1" shapeId="0">
      <text>
        <r>
          <rPr>
            <b/>
            <sz val="8"/>
            <color indexed="81"/>
            <rFont val="Tahoma"/>
            <family val="2"/>
          </rPr>
          <t>Hislop, Leigh A:</t>
        </r>
        <r>
          <rPr>
            <sz val="8"/>
            <color indexed="81"/>
            <rFont val="Tahoma"/>
            <family val="2"/>
          </rPr>
          <t xml:space="preserve">
INCLUDES ALL PROTECTION ACRES + ALL BOISE DISTRICT BLM ACRES BURNED</t>
        </r>
      </text>
    </comment>
  </commentList>
</comments>
</file>

<file path=xl/comments2.xml><?xml version="1.0" encoding="utf-8"?>
<comments xmlns="http://schemas.openxmlformats.org/spreadsheetml/2006/main">
  <authors>
    <author>Hislop, Leigh A</author>
  </authors>
  <commentList>
    <comment ref="AN3" authorId="0" shapeId="0">
      <text>
        <r>
          <rPr>
            <b/>
            <sz val="8"/>
            <color indexed="81"/>
            <rFont val="Tahoma"/>
            <family val="2"/>
          </rPr>
          <t>Hislop, Leigh A:</t>
        </r>
        <r>
          <rPr>
            <sz val="8"/>
            <color indexed="81"/>
            <rFont val="Tahoma"/>
            <family val="2"/>
          </rPr>
          <t xml:space="preserve">
INCLUDES PROTECTION ACRES + ANY SWI IDL LANDS BURNED</t>
        </r>
      </text>
    </comment>
  </commentList>
</comments>
</file>

<file path=xl/sharedStrings.xml><?xml version="1.0" encoding="utf-8"?>
<sst xmlns="http://schemas.openxmlformats.org/spreadsheetml/2006/main" count="5685" uniqueCount="1548">
  <si>
    <t>DATE</t>
  </si>
  <si>
    <t>INCIDENT #</t>
  </si>
  <si>
    <t>PRIVATE</t>
  </si>
  <si>
    <t>ACRES</t>
  </si>
  <si>
    <t>TOTAL ACRES</t>
  </si>
  <si>
    <t>TOTAL</t>
  </si>
  <si>
    <t xml:space="preserve"> </t>
  </si>
  <si>
    <t>FIRE NAME</t>
  </si>
  <si>
    <t>H</t>
  </si>
  <si>
    <t>L</t>
  </si>
  <si>
    <t>FRFO</t>
  </si>
  <si>
    <t>BOP</t>
  </si>
  <si>
    <t>BFO</t>
  </si>
  <si>
    <t>OFO</t>
  </si>
  <si>
    <t>BOD-BLM</t>
  </si>
  <si>
    <t>TOAL</t>
  </si>
  <si>
    <t>D1</t>
  </si>
  <si>
    <t>D3</t>
  </si>
  <si>
    <t>D4</t>
  </si>
  <si>
    <t>D5</t>
  </si>
  <si>
    <t>D6</t>
  </si>
  <si>
    <t>BOF-USFS</t>
  </si>
  <si>
    <t>TYPE</t>
  </si>
  <si>
    <t>SWS-IDL</t>
  </si>
  <si>
    <t>ORIGIN LOCATION</t>
  </si>
  <si>
    <t>FIRE        CODE</t>
  </si>
  <si>
    <t>LEGAL</t>
  </si>
  <si>
    <t>CAUSE</t>
  </si>
  <si>
    <t>CONTROL DATE</t>
  </si>
  <si>
    <t>ORIGIN OWNER</t>
  </si>
  <si>
    <t>REPORTED BY</t>
  </si>
  <si>
    <t>WUI</t>
  </si>
  <si>
    <t>LEPA AREA</t>
  </si>
  <si>
    <t>BORDER FIRE</t>
  </si>
  <si>
    <t>LAT        DDMMSS</t>
  </si>
  <si>
    <t>LONG                  DDMMSS</t>
  </si>
  <si>
    <t>UTM              EASTING</t>
  </si>
  <si>
    <t>UTM NORTHING</t>
  </si>
  <si>
    <t xml:space="preserve">HUMAN CAUSED FIRES </t>
  </si>
  <si>
    <t xml:space="preserve">LIGHTNING CAUSED FIRES </t>
  </si>
  <si>
    <t xml:space="preserve">FEDERAL AND STATE ASSIST </t>
  </si>
  <si>
    <t xml:space="preserve">COMBINED TOTOAL </t>
  </si>
  <si>
    <t>HUMAN</t>
  </si>
  <si>
    <t>LIGHTNING</t>
  </si>
  <si>
    <t>#FIRES BY OWNERSHIP ORIGIN</t>
  </si>
  <si>
    <t>TOTAL ACRES BY                                                       OWNERSHIP</t>
  </si>
  <si>
    <t>HUMAN                                               ACRES</t>
  </si>
  <si>
    <t>LIGHTNING                                   ACRES</t>
  </si>
  <si>
    <t># FIRES</t>
  </si>
  <si>
    <t xml:space="preserve">FOUR RIVERS </t>
  </si>
  <si>
    <t xml:space="preserve">BIRDS OF PREY </t>
  </si>
  <si>
    <t xml:space="preserve">BRUNEAU </t>
  </si>
  <si>
    <t xml:space="preserve">OWYHEE </t>
  </si>
  <si>
    <t xml:space="preserve">FALSE ALARMS </t>
  </si>
  <si>
    <t>DETECTION METHOD</t>
  </si>
  <si>
    <t xml:space="preserve">LOOKOUTS </t>
  </si>
  <si>
    <t xml:space="preserve">AIRCRAFT </t>
  </si>
  <si>
    <t xml:space="preserve">PRIVATE CITIZEN </t>
  </si>
  <si>
    <t xml:space="preserve">AGENCY PERSONNEL </t>
  </si>
  <si>
    <t xml:space="preserve">COUNTY DISPATCH </t>
  </si>
  <si>
    <t>%</t>
  </si>
  <si>
    <t>RFD ASSIST</t>
  </si>
  <si>
    <t>FED/ST    ASSIST</t>
  </si>
  <si>
    <t>RFD</t>
  </si>
  <si>
    <t>---</t>
  </si>
  <si>
    <t>HUMAN ACRES</t>
  </si>
  <si>
    <t>LIGHTNING ACRES</t>
  </si>
  <si>
    <t xml:space="preserve">BOD PROTECTION TOTAL FIRES </t>
  </si>
  <si>
    <t>HUMAN CAUSED ACRES</t>
  </si>
  <si>
    <t xml:space="preserve">LIGHTNING CAUSED ACRES </t>
  </si>
  <si>
    <t xml:space="preserve">OTHER BOD-BLM OWNED ACRES SUPPRESSED BY OTHER JURISDICTIONS </t>
  </si>
  <si>
    <t>BOD PROTECTION TOTAL ACRES</t>
  </si>
  <si>
    <t>INCIDENT               #</t>
  </si>
  <si>
    <t>SO             #</t>
  </si>
  <si>
    <t xml:space="preserve">BOF PROTECTION TOTAL FIRES </t>
  </si>
  <si>
    <t xml:space="preserve">MOUNTAIN HOME </t>
  </si>
  <si>
    <t xml:space="preserve">IDAHO CITY </t>
  </si>
  <si>
    <t xml:space="preserve">CASCADE </t>
  </si>
  <si>
    <t xml:space="preserve">LOWMAN </t>
  </si>
  <si>
    <t xml:space="preserve">EMMETT </t>
  </si>
  <si>
    <t xml:space="preserve">PRIVATE </t>
  </si>
  <si>
    <t xml:space="preserve">HUMAN CAUSED ACRES </t>
  </si>
  <si>
    <t xml:space="preserve">BOF PROTECTION TOTAL ACRES </t>
  </si>
  <si>
    <t xml:space="preserve">SWS PROTECTION TOTAL FIRES </t>
  </si>
  <si>
    <t xml:space="preserve">SWS PROTECTION TOTAL ACRES </t>
  </si>
  <si>
    <t>DETECTION</t>
  </si>
  <si>
    <t>SUCCESS IA</t>
  </si>
  <si>
    <t>CONTAIN DATE</t>
  </si>
  <si>
    <t>SUCCESS      IA</t>
  </si>
  <si>
    <t xml:space="preserve">SUCCESS INITIAL ATTACK </t>
  </si>
  <si>
    <t>SUCCESS    IA</t>
  </si>
  <si>
    <t>BOD</t>
  </si>
  <si>
    <t>SOUTHWEST IDAHO - BY OWNER - ACRES BY CAUSE</t>
  </si>
  <si>
    <t>BOF</t>
  </si>
  <si>
    <t>AGENCY</t>
  </si>
  <si>
    <t>SWS</t>
  </si>
  <si>
    <t>IC TRAINEE</t>
  </si>
  <si>
    <t>RFD - BOF</t>
  </si>
  <si>
    <t>RFD - SWS</t>
  </si>
  <si>
    <t>RFD - BOD</t>
  </si>
  <si>
    <t>FED/ST ASSIST - BOD</t>
  </si>
  <si>
    <t>FED/ST ASSIST - BOF</t>
  </si>
  <si>
    <t>FED/ST ASSIST - SWS</t>
  </si>
  <si>
    <t>BLM - BOD</t>
  </si>
  <si>
    <t>BLM - BOF</t>
  </si>
  <si>
    <t>BLM - SWS</t>
  </si>
  <si>
    <t>USFS - BOF</t>
  </si>
  <si>
    <t>USFS - BOD</t>
  </si>
  <si>
    <t>USFS - SWS</t>
  </si>
  <si>
    <t>IDL - SWS</t>
  </si>
  <si>
    <t>IDL - BOF</t>
  </si>
  <si>
    <t>IDL - BOD</t>
  </si>
  <si>
    <t>IC / CONTACT</t>
  </si>
  <si>
    <t>SOUTHWEST IDAHO - OWNERSHIP / PROTECTION  -   # FIRES BY CAUSE</t>
  </si>
  <si>
    <t>OWNER</t>
  </si>
  <si>
    <t>TOTAL # FIRES</t>
  </si>
  <si>
    <t>HUMAN FIRES</t>
  </si>
  <si>
    <t>LIGHTNING FIRES</t>
  </si>
  <si>
    <t>BLM ACRES</t>
  </si>
  <si>
    <t>PRIVATE ACRES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</si>
  <si>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</si>
  <si>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</si>
  <si>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</si>
  <si>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</si>
  <si>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</si>
  <si>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</si>
  <si>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</si>
  <si>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</si>
  <si>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</si>
  <si>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</si>
  <si>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BOISE DISPATCH CENTER STATISTICS</t>
  </si>
  <si>
    <t>TOTAL FIRES</t>
  </si>
  <si>
    <t>RFD ASSISTS</t>
  </si>
  <si>
    <t>LOCAL FIRE INFORMATION - BY PROTECTION</t>
  </si>
  <si>
    <t>FED/STATE ASSISTS</t>
  </si>
  <si>
    <t>FSO RESPONSE</t>
  </si>
  <si>
    <t xml:space="preserve"># OF BORDER FIRES </t>
  </si>
  <si>
    <t xml:space="preserve">WILDLAND URBAN INTERFACE </t>
  </si>
  <si>
    <t xml:space="preserve">FIRE SERVICE ORGANIZATION RESPONSE </t>
  </si>
  <si>
    <t>AREA</t>
  </si>
  <si>
    <t>STRATEGY TYPE</t>
  </si>
  <si>
    <t>OWYHEE MANAGEMENT AREA</t>
  </si>
  <si>
    <t xml:space="preserve">FIRES WITHIN LEPA AREA </t>
  </si>
  <si>
    <t xml:space="preserve">SUCCESSFUL INITIAL ATTACK FIRES </t>
  </si>
  <si>
    <t>NEED TO CALCULATE FORMULAS AS RECEIVE FIRES WITHIN THE TIMEFRAME</t>
  </si>
  <si>
    <t>USFS                ACRES</t>
  </si>
  <si>
    <t>HUMAN              ACRES</t>
  </si>
  <si>
    <t xml:space="preserve">FULL SUPPRESSION STRATEGY </t>
  </si>
  <si>
    <t xml:space="preserve">MONITOR STRATEGY </t>
  </si>
  <si>
    <t xml:space="preserve">UNABLE TO LOCATE </t>
  </si>
  <si>
    <t xml:space="preserve">OTHER BOF-USFS OWNED ACRES SUPPRESSED BY OTHER JURISDICTIONS  </t>
  </si>
  <si>
    <t>TOTAL INC</t>
  </si>
  <si>
    <t>BLM AC</t>
  </si>
  <si>
    <t>TOTAL AC</t>
  </si>
  <si>
    <t>FEBRUARY</t>
  </si>
  <si>
    <t xml:space="preserve">INDIVIDUAL TOTAL ACRES BY AGENCY   </t>
  </si>
  <si>
    <t xml:space="preserve">TOTAL   </t>
  </si>
  <si>
    <t>E</t>
  </si>
  <si>
    <t>WILDERNESS AREA</t>
  </si>
  <si>
    <t>DOZER LINE</t>
  </si>
  <si>
    <t xml:space="preserve">DETECTION METHOD </t>
  </si>
  <si>
    <t xml:space="preserve">WILDERNESS AREA </t>
  </si>
  <si>
    <t xml:space="preserve">NORTH FORK OWYHEE </t>
  </si>
  <si>
    <t xml:space="preserve">POLE CREEK </t>
  </si>
  <si>
    <t xml:space="preserve">OWYHEE RIVER </t>
  </si>
  <si>
    <t xml:space="preserve">LITTLE JACKS CREEK </t>
  </si>
  <si>
    <t xml:space="preserve">BIG JACKS CREEK </t>
  </si>
  <si>
    <t xml:space="preserve">BRUNEAU JARBIDGE </t>
  </si>
  <si>
    <t xml:space="preserve">DOZER LINE CONSTRUCTED </t>
  </si>
  <si>
    <t xml:space="preserve">MULTIPLE STRATEGY </t>
  </si>
  <si>
    <t>RETARDANT USED</t>
  </si>
  <si>
    <t>HELICOPTER BUCKET DROPS</t>
  </si>
  <si>
    <t>A</t>
  </si>
  <si>
    <t>C</t>
  </si>
  <si>
    <t>D</t>
  </si>
  <si>
    <t>ASSISTS</t>
  </si>
  <si>
    <t>TOTAL FOR FIRE ORG</t>
  </si>
  <si>
    <t>#FIRES</t>
  </si>
  <si>
    <t>FIRE SIZE</t>
  </si>
  <si>
    <t>B</t>
  </si>
  <si>
    <t>G</t>
  </si>
  <si>
    <t xml:space="preserve">F </t>
  </si>
  <si>
    <t>SAGE GROUSE</t>
  </si>
  <si>
    <t>FIRES WITHIN SAGE GROUSE HABITAT AREA</t>
  </si>
  <si>
    <t xml:space="preserve">RETARDANT USED </t>
  </si>
  <si>
    <t xml:space="preserve">RURAL FIRE DEPARTMENT ASSIST  </t>
  </si>
  <si>
    <t xml:space="preserve">RURAL FIRE DEPARTMENT ASSIST </t>
  </si>
  <si>
    <t>BOD PROTECTION ACRES SUPPRESSED</t>
  </si>
  <si>
    <t xml:space="preserve">BOD PROTECTION TOTAL # FIRES </t>
  </si>
  <si>
    <t>BOD PROTECTION FIRES AND ACRES BY OWNERSHIP</t>
  </si>
  <si>
    <t>F</t>
  </si>
  <si>
    <t xml:space="preserve">D </t>
  </si>
  <si>
    <t xml:space="preserve">FEDERAL AND STATE ASSIST  </t>
  </si>
  <si>
    <t xml:space="preserve">BOF PROTECTION TOTAL # FIRES </t>
  </si>
  <si>
    <t>BOF PROTECTION ACRES SUPPRESSED</t>
  </si>
  <si>
    <t>BOF PROTECTION FIRES AND ACRES BY OWNERSHIP</t>
  </si>
  <si>
    <t>IC/CONTACT</t>
  </si>
  <si>
    <t>FS AC</t>
  </si>
  <si>
    <t xml:space="preserve">SWS PROTECTION TOTAL # FIRES </t>
  </si>
  <si>
    <t>SWS PROTECTION ACRES SUPPRESSED</t>
  </si>
  <si>
    <t>SWS PROTECTION FIRES AND ACRES BY OWNERSHIP</t>
  </si>
  <si>
    <t xml:space="preserve">INDIVIDUAL TOTAL ACRES BY AGENCY     </t>
  </si>
  <si>
    <t>PRI</t>
  </si>
  <si>
    <t>DFR</t>
  </si>
  <si>
    <t>MHQ</t>
  </si>
  <si>
    <t>SRL</t>
  </si>
  <si>
    <t>LPE</t>
  </si>
  <si>
    <t>OUT                    DATE</t>
  </si>
  <si>
    <t>PRI - BOD</t>
  </si>
  <si>
    <t>PRI - BOF</t>
  </si>
  <si>
    <t>PRI- SWS</t>
  </si>
  <si>
    <t>MHQ - BOD</t>
  </si>
  <si>
    <t>LPE - BOD</t>
  </si>
  <si>
    <t>LPE - BOF</t>
  </si>
  <si>
    <t>LPE - SWS</t>
  </si>
  <si>
    <t>SRL - BOD</t>
  </si>
  <si>
    <t>SRL - BOF</t>
  </si>
  <si>
    <t>SRL - SWS</t>
  </si>
  <si>
    <t>DFR - BOD</t>
  </si>
  <si>
    <t>BLM-BOD</t>
  </si>
  <si>
    <t>USFS-BOF</t>
  </si>
  <si>
    <t>IDL-SWS</t>
  </si>
  <si>
    <t>FWS-DFR</t>
  </si>
  <si>
    <t>MILITARY-MHQ</t>
  </si>
  <si>
    <t>MILITARY-LPE</t>
  </si>
  <si>
    <t>BOR-SRL</t>
  </si>
  <si>
    <t># HELITACK DEPLOYED</t>
  </si>
  <si>
    <t>OMA - NORTH FORK OWYHEE</t>
  </si>
  <si>
    <t>OMA - POLE CREEK</t>
  </si>
  <si>
    <t xml:space="preserve"> OMA - OWYHEE RIVER</t>
  </si>
  <si>
    <t>OMA - LITTLE JACKS CREEK</t>
  </si>
  <si>
    <t>OMA - BIG JACKS CREEK</t>
  </si>
  <si>
    <t>OMA - BRUNEAU JARBIDGE</t>
  </si>
  <si>
    <t xml:space="preserve">SUCCESSFUL INITIAL ATTACK </t>
  </si>
  <si>
    <t>SIZE CLASS               OF FIRE</t>
  </si>
  <si>
    <t># OF FIRES BY                       SIZE CLASS</t>
  </si>
  <si>
    <t xml:space="preserve">OTHER SWS-IDL OWNED ACRES SUPPRESSED BY OTHER JURISDICTIONS   </t>
  </si>
  <si>
    <t xml:space="preserve"># OF FIRES RETARDANT USED </t>
  </si>
  <si>
    <t xml:space="preserve">AGENCY </t>
  </si>
  <si>
    <t>JUNIPER MTN STRATEGIC AREA</t>
  </si>
  <si>
    <t>JUNIPER   MTN STRATEGIC AREA</t>
  </si>
  <si>
    <t>PROTECTION AGENCY</t>
  </si>
  <si>
    <t xml:space="preserve"> FIELD OFFICE STATISTICS - BLM OWNED ACRES</t>
  </si>
  <si>
    <t>IDL AC</t>
  </si>
  <si>
    <t>ALL                                        SWI IDL                          ACRES</t>
  </si>
  <si>
    <t xml:space="preserve">SRL </t>
  </si>
  <si>
    <t xml:space="preserve"> RANGER DISTRICT STATISTICS - FS LAND ACRES</t>
  </si>
  <si>
    <t>OTHER ACRES</t>
  </si>
  <si>
    <t>FULL SUPPRESSION STRATAGY</t>
  </si>
  <si>
    <t>Date</t>
  </si>
  <si>
    <t>Name</t>
  </si>
  <si>
    <t>Burn Boss</t>
  </si>
  <si>
    <t>Legal</t>
  </si>
  <si>
    <t>RA District</t>
  </si>
  <si>
    <t>Remarks</t>
  </si>
  <si>
    <t>Acres</t>
  </si>
  <si>
    <t>ELX</t>
  </si>
  <si>
    <t>OWNERSHIP ACRES</t>
  </si>
  <si>
    <t>NPS</t>
  </si>
  <si>
    <t>STATE PARKS</t>
  </si>
  <si>
    <t>INL</t>
  </si>
  <si>
    <t>BIA</t>
  </si>
  <si>
    <t xml:space="preserve">TOTAL ACRES BY OWNERSHIP   </t>
  </si>
  <si>
    <t>1VX</t>
  </si>
  <si>
    <t>2CX</t>
  </si>
  <si>
    <t>6BX</t>
  </si>
  <si>
    <t>1AX</t>
  </si>
  <si>
    <t>1GX</t>
  </si>
  <si>
    <t>Number of Fires by County</t>
  </si>
  <si>
    <t>OWX</t>
  </si>
  <si>
    <t>Total</t>
  </si>
  <si>
    <t>1PX</t>
  </si>
  <si>
    <t>1WX</t>
  </si>
  <si>
    <t>ADX</t>
  </si>
  <si>
    <t>BOD- OWNERSHIP BY ORIGIN</t>
  </si>
  <si>
    <t>Number of Acres by County</t>
  </si>
  <si>
    <t>TOTALS</t>
  </si>
  <si>
    <t>BOD PROTECTION</t>
  </si>
  <si>
    <t>ORIGIN</t>
  </si>
  <si>
    <t>BOF- OWNERSHIP BY ORIGIN</t>
  </si>
  <si>
    <t>BOF PROTECTION</t>
  </si>
  <si>
    <t>SWS- OWNERSHIP BY ORIGIN</t>
  </si>
  <si>
    <t>SWS PROTECTION</t>
  </si>
  <si>
    <t>BOD-IANG</t>
  </si>
  <si>
    <t>FIRE SEASON 2018</t>
  </si>
  <si>
    <t>2018 BOISE DISTRICT BLM FIRE STATISTICS</t>
  </si>
  <si>
    <t>2018 BOISE NATIONAL FOREST FIRE STATISTICS</t>
  </si>
  <si>
    <t>2018 SOUTHWEST IDAHO DEPARTMENT OF LANDS FIRE STATISTICS</t>
  </si>
  <si>
    <t>2018 SOUTHWEST IDAHO DEPARTMENT OF LANDS WILDLAND FIRE SUPPRESSION SUMMARY</t>
  </si>
  <si>
    <t>2018 BOISE NATIONAL FOREST WILDLAND FIRE SUPPRESSION SUMMARY</t>
  </si>
  <si>
    <t>OTR #</t>
  </si>
  <si>
    <t>Firecode</t>
  </si>
  <si>
    <t>BDC Incident Number</t>
  </si>
  <si>
    <t>IncidentNumber</t>
  </si>
  <si>
    <t>IncidentDate</t>
  </si>
  <si>
    <t>Address</t>
  </si>
  <si>
    <t>IncidentType</t>
  </si>
  <si>
    <t>Latitude</t>
  </si>
  <si>
    <t>Longitude</t>
  </si>
  <si>
    <t>IncidentTime</t>
  </si>
  <si>
    <t>End Time</t>
  </si>
  <si>
    <t>Acres Burned</t>
  </si>
  <si>
    <t>Missing Report</t>
  </si>
  <si>
    <t>Mutual Aid</t>
  </si>
  <si>
    <t>KUNA</t>
  </si>
  <si>
    <t>X</t>
  </si>
  <si>
    <t>LK23</t>
  </si>
  <si>
    <t>C. KIDD</t>
  </si>
  <si>
    <t>1N 1W 04</t>
  </si>
  <si>
    <t>43 26 51</t>
  </si>
  <si>
    <t>116 27 16</t>
  </si>
  <si>
    <t>FULL</t>
  </si>
  <si>
    <t>COUNTY</t>
  </si>
  <si>
    <t>Y</t>
  </si>
  <si>
    <t>N</t>
  </si>
  <si>
    <t xml:space="preserve">N </t>
  </si>
  <si>
    <t>B (0.26-9)</t>
  </si>
  <si>
    <t>RUSSELL</t>
  </si>
  <si>
    <t>LK6Q</t>
  </si>
  <si>
    <t>8N 5E 9</t>
  </si>
  <si>
    <t>44 02 49</t>
  </si>
  <si>
    <t>C (10-99)</t>
  </si>
  <si>
    <t xml:space="preserve">BOF ASSIST RUSSELL </t>
  </si>
  <si>
    <t>PVT</t>
  </si>
  <si>
    <t>T MOXHAM</t>
  </si>
  <si>
    <t>LLC2</t>
  </si>
  <si>
    <t>FA 1 BOD</t>
  </si>
  <si>
    <t>FA</t>
  </si>
  <si>
    <t>4N 2E 16</t>
  </si>
  <si>
    <t>43 41 09</t>
  </si>
  <si>
    <t>116 13 18</t>
  </si>
  <si>
    <t>FENCELINE</t>
  </si>
  <si>
    <t>GHOLSON</t>
  </si>
  <si>
    <t>3S 4E 27</t>
  </si>
  <si>
    <t>8N 5E 09</t>
  </si>
  <si>
    <t>115 52 02</t>
  </si>
  <si>
    <t>MM112 I84</t>
  </si>
  <si>
    <t>LM4Z</t>
  </si>
  <si>
    <t>5S 9E 31</t>
  </si>
  <si>
    <t>42 57 06</t>
  </si>
  <si>
    <t>115 26 29</t>
  </si>
  <si>
    <t>SWAN</t>
  </si>
  <si>
    <t>1N 1W 23</t>
  </si>
  <si>
    <t>43 24 27</t>
  </si>
  <si>
    <t>KIDD</t>
  </si>
  <si>
    <t>116 24 51</t>
  </si>
  <si>
    <t>BERTELS</t>
  </si>
  <si>
    <t>11S 6W 24</t>
  </si>
  <si>
    <t>LN5L</t>
  </si>
  <si>
    <t>CASCADE PILES</t>
  </si>
  <si>
    <t>BISHOP</t>
  </si>
  <si>
    <t>19N 8E 29</t>
  </si>
  <si>
    <t>LPR4</t>
  </si>
  <si>
    <t>1S 4E 30</t>
  </si>
  <si>
    <t xml:space="preserve">43 18 45 </t>
  </si>
  <si>
    <t>116 1 41</t>
  </si>
  <si>
    <t>FA 2 BOD</t>
  </si>
  <si>
    <t>11N 5E 2</t>
  </si>
  <si>
    <t>LODGEPOLE</t>
  </si>
  <si>
    <t>CRAWFORD</t>
  </si>
  <si>
    <t>14N 4E 21</t>
  </si>
  <si>
    <t>LQK3</t>
  </si>
  <si>
    <t>LANDING ZONE</t>
  </si>
  <si>
    <t>HECKATHORN</t>
  </si>
  <si>
    <t>115 58 31</t>
  </si>
  <si>
    <t>USFS</t>
  </si>
  <si>
    <t xml:space="preserve">LANDING ZONE (SWS PROTECTION) </t>
  </si>
  <si>
    <t>O</t>
  </si>
  <si>
    <t>4N 4E 15</t>
  </si>
  <si>
    <t>SPANFELLENER</t>
  </si>
  <si>
    <t>7N 5E 18</t>
  </si>
  <si>
    <t>FA 1 BOF</t>
  </si>
  <si>
    <t>43 36 31</t>
  </si>
  <si>
    <t>115 50 26</t>
  </si>
  <si>
    <t>3N 5E 10</t>
  </si>
  <si>
    <t>LITTLE OPHIR</t>
  </si>
  <si>
    <t>LR86</t>
  </si>
  <si>
    <t>FA 1 SWS</t>
  </si>
  <si>
    <t>4N 3E 26</t>
  </si>
  <si>
    <t>43 39 22</t>
  </si>
  <si>
    <t>116 03 48</t>
  </si>
  <si>
    <t>MM3 HWY67</t>
  </si>
  <si>
    <t>LSE1</t>
  </si>
  <si>
    <t>BRUMMOND</t>
  </si>
  <si>
    <t>REYNOLDS</t>
  </si>
  <si>
    <t>LSM0</t>
  </si>
  <si>
    <t>4S 5E 11</t>
  </si>
  <si>
    <t>43 05 48</t>
  </si>
  <si>
    <t>HARTLEY</t>
  </si>
  <si>
    <t>LS2K</t>
  </si>
  <si>
    <t>THORNTON</t>
  </si>
  <si>
    <t>6N 2W 29</t>
  </si>
  <si>
    <t>A (0-0.25)</t>
  </si>
  <si>
    <t>2S 3W 03</t>
  </si>
  <si>
    <t xml:space="preserve">FA 2 SWS </t>
  </si>
  <si>
    <t>43 40 43</t>
  </si>
  <si>
    <t>FA 2 BOF</t>
  </si>
  <si>
    <t>EKW2</t>
  </si>
  <si>
    <t>12N 3E 10</t>
  </si>
  <si>
    <t>44 23 22</t>
  </si>
  <si>
    <t>116 05 09</t>
  </si>
  <si>
    <t>LS4W</t>
  </si>
  <si>
    <t>5N 3E 29</t>
  </si>
  <si>
    <t>43 44 22</t>
  </si>
  <si>
    <t>116 08 02</t>
  </si>
  <si>
    <t>WALKER</t>
  </si>
  <si>
    <t>10N 5E 18</t>
  </si>
  <si>
    <t>44 11 53</t>
  </si>
  <si>
    <t>MM12 HWY 21</t>
  </si>
  <si>
    <t>MM12 HWY21</t>
  </si>
  <si>
    <t>LTK7</t>
  </si>
  <si>
    <t>SCHELLENBERG</t>
  </si>
  <si>
    <t>2N 3E 1</t>
  </si>
  <si>
    <t>43 32 18</t>
  </si>
  <si>
    <t>BRUSH</t>
  </si>
  <si>
    <t>ANDERTON</t>
  </si>
  <si>
    <t>LUCARELLI</t>
  </si>
  <si>
    <t>13N 3E 22</t>
  </si>
  <si>
    <t>44 26 44</t>
  </si>
  <si>
    <t>BOD ASSIST MM12 HWY21</t>
  </si>
  <si>
    <t>115 49 47</t>
  </si>
  <si>
    <t>43 16 51</t>
  </si>
  <si>
    <t>116 41 08</t>
  </si>
  <si>
    <t>2N 3E 01</t>
  </si>
  <si>
    <t xml:space="preserve">43 32 18 </t>
  </si>
  <si>
    <t>116 02 44</t>
  </si>
  <si>
    <t xml:space="preserve">MORES SOUTH </t>
  </si>
  <si>
    <t>SMOLZYNSKI</t>
  </si>
  <si>
    <t>6N 6E 33</t>
  </si>
  <si>
    <t>115 54 35</t>
  </si>
  <si>
    <t xml:space="preserve">HAWLEY </t>
  </si>
  <si>
    <t>HAWLEY</t>
  </si>
  <si>
    <t>HAWLEY (SWS PROTECTION)</t>
  </si>
  <si>
    <t>PINE</t>
  </si>
  <si>
    <t>LTX9</t>
  </si>
  <si>
    <t>LTY8</t>
  </si>
  <si>
    <t>DURKIN</t>
  </si>
  <si>
    <t>7N 3E 24</t>
  </si>
  <si>
    <t>43 55 53</t>
  </si>
  <si>
    <t>116 02 49</t>
  </si>
  <si>
    <t>5N 4E 08</t>
  </si>
  <si>
    <t>43 46 58</t>
  </si>
  <si>
    <t>HIGHTOWER</t>
  </si>
  <si>
    <t>SWS ASSIST PINE</t>
  </si>
  <si>
    <t>GOAT</t>
  </si>
  <si>
    <t>SWS ASSIST GOAT</t>
  </si>
  <si>
    <t>LT2L</t>
  </si>
  <si>
    <t>6N 4E 22</t>
  </si>
  <si>
    <t>43 50 41</t>
  </si>
  <si>
    <t>115 58 20</t>
  </si>
  <si>
    <t>LT61</t>
  </si>
  <si>
    <t>FA 3 BOD</t>
  </si>
  <si>
    <t>2S 4E 29</t>
  </si>
  <si>
    <t>43 13 8</t>
  </si>
  <si>
    <t>116 0 27</t>
  </si>
  <si>
    <t>LT7B</t>
  </si>
  <si>
    <t>FA 4 BOD</t>
  </si>
  <si>
    <t>5S 5E 30</t>
  </si>
  <si>
    <t xml:space="preserve">42 57 45 </t>
  </si>
  <si>
    <t>115 54 20</t>
  </si>
  <si>
    <t>MM69 I84</t>
  </si>
  <si>
    <t>LT8Y</t>
  </si>
  <si>
    <t>DRY</t>
  </si>
  <si>
    <t>FA 3 BOF</t>
  </si>
  <si>
    <t>1N 4E 19</t>
  </si>
  <si>
    <t>43 24 20</t>
  </si>
  <si>
    <t>116 01 08</t>
  </si>
  <si>
    <t>5N 6E 36</t>
  </si>
  <si>
    <t>43 43 46</t>
  </si>
  <si>
    <t>115 41 21</t>
  </si>
  <si>
    <t>MM105 I84</t>
  </si>
  <si>
    <t>SOMMER</t>
  </si>
  <si>
    <t>BILBAO</t>
  </si>
  <si>
    <t>5S 8E 6</t>
  </si>
  <si>
    <t>43 01 11</t>
  </si>
  <si>
    <t>LUJ0</t>
  </si>
  <si>
    <t>LUQ6</t>
  </si>
  <si>
    <t>LUG4</t>
  </si>
  <si>
    <t>MCCARTHY</t>
  </si>
  <si>
    <t>VOLKER</t>
  </si>
  <si>
    <t>8N 2E 17</t>
  </si>
  <si>
    <t>44 02 01</t>
  </si>
  <si>
    <t>D (100-299)</t>
  </si>
  <si>
    <t>LUS1</t>
  </si>
  <si>
    <t>BAJA</t>
  </si>
  <si>
    <t>MARTINDALE</t>
  </si>
  <si>
    <t>3S 3E 31</t>
  </si>
  <si>
    <t>LONG</t>
  </si>
  <si>
    <t>VAN HORN</t>
  </si>
  <si>
    <t>DIAZ</t>
  </si>
  <si>
    <t>12N 6E 9</t>
  </si>
  <si>
    <t>44 23 20</t>
  </si>
  <si>
    <t>115 45 03</t>
  </si>
  <si>
    <t>DALE</t>
  </si>
  <si>
    <t>MM28 HWY78</t>
  </si>
  <si>
    <t>MCQUILLEN</t>
  </si>
  <si>
    <t>LUP4</t>
  </si>
  <si>
    <t>NIBLETT</t>
  </si>
  <si>
    <t>DEROME</t>
  </si>
  <si>
    <t>1S 1E 04</t>
  </si>
  <si>
    <t>LUT8</t>
  </si>
  <si>
    <t>2S 2W 15</t>
  </si>
  <si>
    <t>43 14 41</t>
  </si>
  <si>
    <t xml:space="preserve">DRY </t>
  </si>
  <si>
    <t xml:space="preserve">GOAT </t>
  </si>
  <si>
    <t>LU38</t>
  </si>
  <si>
    <t>WHEELER</t>
  </si>
  <si>
    <t>42 57 10</t>
  </si>
  <si>
    <t>LU4R</t>
  </si>
  <si>
    <t>CRAFT</t>
  </si>
  <si>
    <t>1N 3E 11</t>
  </si>
  <si>
    <t>RA 1  ELMORE CO</t>
  </si>
  <si>
    <t>CHRISTMAS</t>
  </si>
  <si>
    <t>CHRISTMAS 2</t>
  </si>
  <si>
    <t>LU4W</t>
  </si>
  <si>
    <t>RA 1 ELMORE CO</t>
  </si>
  <si>
    <t>5S 9E 29</t>
  </si>
  <si>
    <t>LU4S</t>
  </si>
  <si>
    <t>HALL</t>
  </si>
  <si>
    <t>LU4Z</t>
  </si>
  <si>
    <t>1S 2E 22</t>
  </si>
  <si>
    <t>MM113  I84</t>
  </si>
  <si>
    <t>MM66 I84</t>
  </si>
  <si>
    <t>OWENS</t>
  </si>
  <si>
    <t>116 04 44</t>
  </si>
  <si>
    <t>WEST SIM</t>
  </si>
  <si>
    <t>LVG2</t>
  </si>
  <si>
    <t>HERSLEY</t>
  </si>
  <si>
    <t>3S 4E 28</t>
  </si>
  <si>
    <t>43 08 25</t>
  </si>
  <si>
    <t>115 58 50</t>
  </si>
  <si>
    <t>FA 4 BOF</t>
  </si>
  <si>
    <t>44 18 59</t>
  </si>
  <si>
    <t>115 49 36</t>
  </si>
  <si>
    <t>FA 5 BOF</t>
  </si>
  <si>
    <t>44 33 42</t>
  </si>
  <si>
    <t>116 08 42</t>
  </si>
  <si>
    <t>14N 3E 7</t>
  </si>
  <si>
    <t>MEDBURY</t>
  </si>
  <si>
    <t xml:space="preserve">MEDBURY </t>
  </si>
  <si>
    <t>43 22 19</t>
  </si>
  <si>
    <t>116 20 03</t>
  </si>
  <si>
    <t>LVS3</t>
  </si>
  <si>
    <t>5S 8E 29</t>
  </si>
  <si>
    <t>42 57 39</t>
  </si>
  <si>
    <t>FRENCH</t>
  </si>
  <si>
    <t>LV1Z</t>
  </si>
  <si>
    <t>MORGAN</t>
  </si>
  <si>
    <t>14N 3E 21</t>
  </si>
  <si>
    <t>44 31 46</t>
  </si>
  <si>
    <t>116 06 29</t>
  </si>
  <si>
    <t>FA 6 BOF</t>
  </si>
  <si>
    <t>12N 2E 9</t>
  </si>
  <si>
    <t>44 23 29</t>
  </si>
  <si>
    <t>116 13 21</t>
  </si>
  <si>
    <t>LV24</t>
  </si>
  <si>
    <t>FA 3 SWS</t>
  </si>
  <si>
    <t>7N 4E 22</t>
  </si>
  <si>
    <t>43 55 30</t>
  </si>
  <si>
    <t>115 57 59</t>
  </si>
  <si>
    <t>FA 7 BOF</t>
  </si>
  <si>
    <t>10N 6E 26</t>
  </si>
  <si>
    <t>44 10 17</t>
  </si>
  <si>
    <t>115 42 26</t>
  </si>
  <si>
    <t>MM47 HWY 52</t>
  </si>
  <si>
    <t>LV35</t>
  </si>
  <si>
    <t>MM47 HWY52</t>
  </si>
  <si>
    <t>HOUTS</t>
  </si>
  <si>
    <t>115 33 18</t>
  </si>
  <si>
    <t>TEN</t>
  </si>
  <si>
    <t>LV63</t>
  </si>
  <si>
    <t>OVERFELT</t>
  </si>
  <si>
    <t>9N 9E 22</t>
  </si>
  <si>
    <t>1N 4W 05</t>
  </si>
  <si>
    <t>43 26 53</t>
  </si>
  <si>
    <t>YOUNG</t>
  </si>
  <si>
    <t>116 33 41</t>
  </si>
  <si>
    <t>LOOKOUT</t>
  </si>
  <si>
    <t>RA 2 ELMORE CO</t>
  </si>
  <si>
    <t>BLACKS</t>
  </si>
  <si>
    <t>LWD1</t>
  </si>
  <si>
    <t>LWC4</t>
  </si>
  <si>
    <t>LVN1</t>
  </si>
  <si>
    <t>FA 5 BOD</t>
  </si>
  <si>
    <t>0N 3E 27</t>
  </si>
  <si>
    <t>43 28 56</t>
  </si>
  <si>
    <t>116 05 00</t>
  </si>
  <si>
    <t>LWQ8</t>
  </si>
  <si>
    <t>FA 6 BOD</t>
  </si>
  <si>
    <t>5S 10E 29</t>
  </si>
  <si>
    <t xml:space="preserve">42 57 52 </t>
  </si>
  <si>
    <t>115 17 45</t>
  </si>
  <si>
    <t xml:space="preserve">TWIN </t>
  </si>
  <si>
    <t>TWIN</t>
  </si>
  <si>
    <t>LW2Q</t>
  </si>
  <si>
    <t>4N 5E 25</t>
  </si>
  <si>
    <t>43 38 55</t>
  </si>
  <si>
    <t>115 48 04</t>
  </si>
  <si>
    <t>116 50 52</t>
  </si>
  <si>
    <t>43 26 28</t>
  </si>
  <si>
    <t>116 04 06</t>
  </si>
  <si>
    <t xml:space="preserve">FA 7 BOD </t>
  </si>
  <si>
    <t>FA 8 BOD</t>
  </si>
  <si>
    <t>LW89</t>
  </si>
  <si>
    <t>2N 3E 30</t>
  </si>
  <si>
    <t>43 28 39</t>
  </si>
  <si>
    <t>116 08 14</t>
  </si>
  <si>
    <t>LXA5</t>
  </si>
  <si>
    <t xml:space="preserve">2N 2E 20 </t>
  </si>
  <si>
    <t>43 29 18</t>
  </si>
  <si>
    <t>116 14 13</t>
  </si>
  <si>
    <t xml:space="preserve"> LXF1</t>
  </si>
  <si>
    <t>RA 3 ADA CO</t>
  </si>
  <si>
    <t>2N 1E 26</t>
  </si>
  <si>
    <t xml:space="preserve">43 28 50 </t>
  </si>
  <si>
    <t>LXM1</t>
  </si>
  <si>
    <t>JENNY</t>
  </si>
  <si>
    <t>ROJAS</t>
  </si>
  <si>
    <t>WELCH</t>
  </si>
  <si>
    <t xml:space="preserve">BURLEY </t>
  </si>
  <si>
    <t>MM72 I84</t>
  </si>
  <si>
    <t>CINDER</t>
  </si>
  <si>
    <t xml:space="preserve">CINDER </t>
  </si>
  <si>
    <t>LXQ2</t>
  </si>
  <si>
    <t>LXR7</t>
  </si>
  <si>
    <t>1S 4E 03</t>
  </si>
  <si>
    <t>43 21 56</t>
  </si>
  <si>
    <t>3S 7E 22</t>
  </si>
  <si>
    <t>43 09 08</t>
  </si>
  <si>
    <t>115 36 02</t>
  </si>
  <si>
    <t xml:space="preserve">BOD ASSIST CINDER </t>
  </si>
  <si>
    <t xml:space="preserve">HERSLEY </t>
  </si>
  <si>
    <t>MM81 I84</t>
  </si>
  <si>
    <t>RA 4 PAYETTE CO</t>
  </si>
  <si>
    <t xml:space="preserve">PV </t>
  </si>
  <si>
    <t>PV</t>
  </si>
  <si>
    <t>BOD ASSIST MM81 I84</t>
  </si>
  <si>
    <t xml:space="preserve">GUSTY </t>
  </si>
  <si>
    <t>GARINGER</t>
  </si>
  <si>
    <t>2S 5E 09</t>
  </si>
  <si>
    <t>43 16 11</t>
  </si>
  <si>
    <t>115 52 19</t>
  </si>
  <si>
    <t>LXU8</t>
  </si>
  <si>
    <t>LXX7</t>
  </si>
  <si>
    <t>ELLIS</t>
  </si>
  <si>
    <t>1S 2E 08</t>
  </si>
  <si>
    <t>43 21 05</t>
  </si>
  <si>
    <t>LX0B</t>
  </si>
  <si>
    <t>1S 2E 05</t>
  </si>
  <si>
    <t>116 15 02</t>
  </si>
  <si>
    <t>LXU5</t>
  </si>
  <si>
    <t xml:space="preserve">PICKLE </t>
  </si>
  <si>
    <t xml:space="preserve">MARTINEZ </t>
  </si>
  <si>
    <t>PICKLE</t>
  </si>
  <si>
    <t>LX08</t>
  </si>
  <si>
    <t>2N 3W 27</t>
  </si>
  <si>
    <t>43 28 34</t>
  </si>
  <si>
    <t>RA 5 CANYON CO</t>
  </si>
  <si>
    <t>SHORTCUT</t>
  </si>
  <si>
    <t>SHORTCUT (BOD PROTECTION)</t>
  </si>
  <si>
    <t>LAKE FRONT</t>
  </si>
  <si>
    <t xml:space="preserve">LAKEFRONT </t>
  </si>
  <si>
    <t>PUMP</t>
  </si>
  <si>
    <t>NICOLSEN</t>
  </si>
  <si>
    <t>DEWEY</t>
  </si>
  <si>
    <t>LX23</t>
  </si>
  <si>
    <t>2N 3W 12</t>
  </si>
  <si>
    <t>43 31 46</t>
  </si>
  <si>
    <t>116 39 00</t>
  </si>
  <si>
    <t>LX28</t>
  </si>
  <si>
    <t xml:space="preserve">CHARCOAL </t>
  </si>
  <si>
    <t>CHARCOAL</t>
  </si>
  <si>
    <t xml:space="preserve">FIVE CENT </t>
  </si>
  <si>
    <t>FIVE CENT</t>
  </si>
  <si>
    <t>8N 1W 31</t>
  </si>
  <si>
    <t>LX8P</t>
  </si>
  <si>
    <t xml:space="preserve">BRUMMOND </t>
  </si>
  <si>
    <t>42 56 22</t>
  </si>
  <si>
    <t>LX8Q</t>
  </si>
  <si>
    <t>1N 1E 22</t>
  </si>
  <si>
    <t>LX8R</t>
  </si>
  <si>
    <t>NEIWERT</t>
  </si>
  <si>
    <t>LX82</t>
  </si>
  <si>
    <t>KONRAD</t>
  </si>
  <si>
    <t>2N 4E 05</t>
  </si>
  <si>
    <t>LX9M</t>
  </si>
  <si>
    <t>BETTS</t>
  </si>
  <si>
    <t>5S 5E 06</t>
  </si>
  <si>
    <t>43 01 30</t>
  </si>
  <si>
    <t>115 54 22</t>
  </si>
  <si>
    <t>BOD ASSIST CHARCOAL</t>
  </si>
  <si>
    <t>COVEREC</t>
  </si>
  <si>
    <t>LYA1</t>
  </si>
  <si>
    <t>6S 4E 02</t>
  </si>
  <si>
    <t>BOD ASSIST FIVE CENT</t>
  </si>
  <si>
    <t>43 59 05</t>
  </si>
  <si>
    <t>116 29 40</t>
  </si>
  <si>
    <t>E (300-999)</t>
  </si>
  <si>
    <t>F (1000-4999)</t>
  </si>
  <si>
    <t>43 24 25</t>
  </si>
  <si>
    <t>43 52 20</t>
  </si>
  <si>
    <t>RA 6 ELMORE CO</t>
  </si>
  <si>
    <t>5S 10E 28</t>
  </si>
  <si>
    <t>42 57 37</t>
  </si>
  <si>
    <t>LYS2</t>
  </si>
  <si>
    <t>LY4Y</t>
  </si>
  <si>
    <t>MM11 EAST HWY21</t>
  </si>
  <si>
    <t>116 02 40</t>
  </si>
  <si>
    <t>LYS8</t>
  </si>
  <si>
    <t>BONJOUR</t>
  </si>
  <si>
    <t>14N 3E 28</t>
  </si>
  <si>
    <t>116 06 22</t>
  </si>
  <si>
    <t>DUZI</t>
  </si>
  <si>
    <t xml:space="preserve">RA 7 ADA CO </t>
  </si>
  <si>
    <t>LY68</t>
  </si>
  <si>
    <t>LY7F</t>
  </si>
  <si>
    <t>LOVELESS</t>
  </si>
  <si>
    <t>5N 1E 24</t>
  </si>
  <si>
    <t>43 58 09</t>
  </si>
  <si>
    <t>43 45 21</t>
  </si>
  <si>
    <t xml:space="preserve">BONJOUR </t>
  </si>
  <si>
    <t>BOD ASSIST MM11 EAST HWY21</t>
  </si>
  <si>
    <t>RA 7 ADA CO</t>
  </si>
  <si>
    <t>43 32 25</t>
  </si>
  <si>
    <t>LZU7</t>
  </si>
  <si>
    <t>MM115 I84</t>
  </si>
  <si>
    <t>5S 9E 32</t>
  </si>
  <si>
    <t>LZX0</t>
  </si>
  <si>
    <t>SLAW</t>
  </si>
  <si>
    <t>115 24 39</t>
  </si>
  <si>
    <t>5S 9E 26</t>
  </si>
  <si>
    <t>42 57 36</t>
  </si>
  <si>
    <t>115 21 16</t>
  </si>
  <si>
    <t>LZ3B</t>
  </si>
  <si>
    <t>RA 8 OWYHEE CO</t>
  </si>
  <si>
    <t>5S 3E 22</t>
  </si>
  <si>
    <t>42 58 49</t>
  </si>
  <si>
    <t>116 05 30</t>
  </si>
  <si>
    <t>LZ3T</t>
  </si>
  <si>
    <t>FA 9 BOD</t>
  </si>
  <si>
    <t>4S 5E 22</t>
  </si>
  <si>
    <t>43 04 09</t>
  </si>
  <si>
    <t>115 50 02</t>
  </si>
  <si>
    <t>FA 8 BOF</t>
  </si>
  <si>
    <t>43 49 56</t>
  </si>
  <si>
    <t>116 35 56</t>
  </si>
  <si>
    <t>43 07 03</t>
  </si>
  <si>
    <t>116 08 20</t>
  </si>
  <si>
    <t xml:space="preserve">LODGEPOLE </t>
  </si>
  <si>
    <t>ERICKSON</t>
  </si>
  <si>
    <t>11N 5E 02</t>
  </si>
  <si>
    <t>44 19 15</t>
  </si>
  <si>
    <t>115 49 53</t>
  </si>
  <si>
    <t>FA 4 SWS</t>
  </si>
  <si>
    <t>MM99 I84</t>
  </si>
  <si>
    <t>MM79 HWY51</t>
  </si>
  <si>
    <t xml:space="preserve">FA 5 SWS </t>
  </si>
  <si>
    <t>L0EK</t>
  </si>
  <si>
    <t>L0EJ</t>
  </si>
  <si>
    <t>4S 7E 15</t>
  </si>
  <si>
    <t>115 35 59</t>
  </si>
  <si>
    <t xml:space="preserve">LAKE FRONT </t>
  </si>
  <si>
    <t>HAUPT</t>
  </si>
  <si>
    <t>GUSTAFSON</t>
  </si>
  <si>
    <t>14N 3E 35</t>
  </si>
  <si>
    <t>44 30 38</t>
  </si>
  <si>
    <t>116 03 33</t>
  </si>
  <si>
    <t>LX4N</t>
  </si>
  <si>
    <t>DRAKE</t>
  </si>
  <si>
    <t>5S 6E 29</t>
  </si>
  <si>
    <t>115 45 56</t>
  </si>
  <si>
    <t>MM21 HWY21</t>
  </si>
  <si>
    <t>EAST BEN</t>
  </si>
  <si>
    <t>L0GZ</t>
  </si>
  <si>
    <t>L0HR</t>
  </si>
  <si>
    <t>5S 8E 26</t>
  </si>
  <si>
    <t>42 57 43</t>
  </si>
  <si>
    <t>EAST WHITE</t>
  </si>
  <si>
    <t xml:space="preserve">SUB </t>
  </si>
  <si>
    <t>SWS ASSIST MM21 HWY21</t>
  </si>
  <si>
    <t xml:space="preserve">MM106 I84 </t>
  </si>
  <si>
    <t xml:space="preserve">WEST DUCK </t>
  </si>
  <si>
    <t xml:space="preserve">FA 10 BOD </t>
  </si>
  <si>
    <t>OTTER</t>
  </si>
  <si>
    <t>FA 9 BOF</t>
  </si>
  <si>
    <t>GARAT</t>
  </si>
  <si>
    <t>L0K2</t>
  </si>
  <si>
    <t>L0LT</t>
  </si>
  <si>
    <t>L0K9</t>
  </si>
  <si>
    <t>L0LR</t>
  </si>
  <si>
    <t>L0LW</t>
  </si>
  <si>
    <t>RED BASIN</t>
  </si>
  <si>
    <t>FLAT</t>
  </si>
  <si>
    <t>MM73 I84</t>
  </si>
  <si>
    <t>L0MM</t>
  </si>
  <si>
    <t>L0MT</t>
  </si>
  <si>
    <t>L0NX</t>
  </si>
  <si>
    <t>L0PZ</t>
  </si>
  <si>
    <t>BUTLER</t>
  </si>
  <si>
    <t>TRAPPER</t>
  </si>
  <si>
    <t>10S 7E 34</t>
  </si>
  <si>
    <t>42 31 11</t>
  </si>
  <si>
    <t>1S 4E 10</t>
  </si>
  <si>
    <t>13S 2E 4</t>
  </si>
  <si>
    <t>14S 4E 32</t>
  </si>
  <si>
    <t>16S 1E 18</t>
  </si>
  <si>
    <t>6S 5E 20</t>
  </si>
  <si>
    <t>14S 1W 20</t>
  </si>
  <si>
    <t>42 11 29</t>
  </si>
  <si>
    <t>42 53 32</t>
  </si>
  <si>
    <t>42 02 04</t>
  </si>
  <si>
    <t>42 19 50</t>
  </si>
  <si>
    <t>116 13 34</t>
  </si>
  <si>
    <t>G (5000+)</t>
  </si>
  <si>
    <t>MM21 HWY21 (SWS PROTECTION)</t>
  </si>
  <si>
    <t xml:space="preserve">BOWN </t>
  </si>
  <si>
    <t>BOWN</t>
  </si>
  <si>
    <t>L0UT</t>
  </si>
  <si>
    <t>MARTINEZ</t>
  </si>
  <si>
    <t>43 55 29</t>
  </si>
  <si>
    <t>116 03 13</t>
  </si>
  <si>
    <t>L00J</t>
  </si>
  <si>
    <t>MM74 I84</t>
  </si>
  <si>
    <t>STROUD</t>
  </si>
  <si>
    <t>1S 4E 14</t>
  </si>
  <si>
    <t>115 56 41</t>
  </si>
  <si>
    <t>L00K</t>
  </si>
  <si>
    <t>RA 9 ADA CO</t>
  </si>
  <si>
    <t>4N 2E 27</t>
  </si>
  <si>
    <t>WAVERLY</t>
  </si>
  <si>
    <t>TOTEM</t>
  </si>
  <si>
    <t xml:space="preserve">WAVERLY </t>
  </si>
  <si>
    <t>MEYERS</t>
  </si>
  <si>
    <t>L025</t>
  </si>
  <si>
    <t>WOLF</t>
  </si>
  <si>
    <t>COOK</t>
  </si>
  <si>
    <t>17N 8E 22</t>
  </si>
  <si>
    <t>44 47 57</t>
  </si>
  <si>
    <t>115 28 20</t>
  </si>
  <si>
    <t>ROUNDS</t>
  </si>
  <si>
    <t>L01L</t>
  </si>
  <si>
    <t>BARBER</t>
  </si>
  <si>
    <t>ABELA</t>
  </si>
  <si>
    <t>7N 2E 11</t>
  </si>
  <si>
    <t>43 57 55</t>
  </si>
  <si>
    <t>EAST WHITE (BOD PROTECTION)</t>
  </si>
  <si>
    <t>ELK RUN</t>
  </si>
  <si>
    <t xml:space="preserve">ELK RUN </t>
  </si>
  <si>
    <t>ELK RUN (SWS ASSIST)</t>
  </si>
  <si>
    <t>L04U</t>
  </si>
  <si>
    <t>L056</t>
  </si>
  <si>
    <t>CAMERON</t>
  </si>
  <si>
    <t>10N 10E 28</t>
  </si>
  <si>
    <t>44 09 55</t>
  </si>
  <si>
    <t>L05S</t>
  </si>
  <si>
    <t xml:space="preserve">CAMERON </t>
  </si>
  <si>
    <t>4N 4E 21</t>
  </si>
  <si>
    <t>4N 3E 30</t>
  </si>
  <si>
    <t>43 39 12</t>
  </si>
  <si>
    <t>115 36 47</t>
  </si>
  <si>
    <t>43 37 18</t>
  </si>
  <si>
    <t>115 59 44</t>
  </si>
  <si>
    <t>115 26 18</t>
  </si>
  <si>
    <t>115 24 53</t>
  </si>
  <si>
    <t>OTHER</t>
  </si>
  <si>
    <t>--</t>
  </si>
  <si>
    <t>SIT REPORT ACRES</t>
  </si>
  <si>
    <t>LEONE</t>
  </si>
  <si>
    <t>L082</t>
  </si>
  <si>
    <t>1N 3E 06</t>
  </si>
  <si>
    <t>43 26 55</t>
  </si>
  <si>
    <t>INDIAN HEAD (ID-PAF PROTECTION)</t>
  </si>
  <si>
    <t>13S 4W 02</t>
  </si>
  <si>
    <t>TRESTLE (ID-PAF PROTECTION)</t>
  </si>
  <si>
    <t xml:space="preserve">ANIMAL </t>
  </si>
  <si>
    <t>L1DA</t>
  </si>
  <si>
    <t xml:space="preserve">BURKE </t>
  </si>
  <si>
    <t>1N 2E 15</t>
  </si>
  <si>
    <t>11N 7W 23</t>
  </si>
  <si>
    <t>44 16 26</t>
  </si>
  <si>
    <t>117 09 02</t>
  </si>
  <si>
    <t>BEAV</t>
  </si>
  <si>
    <t>NIPNTUCK</t>
  </si>
  <si>
    <t>CAT</t>
  </si>
  <si>
    <t>L1FY</t>
  </si>
  <si>
    <t>L1F0</t>
  </si>
  <si>
    <t>L1GB</t>
  </si>
  <si>
    <t>15S 6E 21</t>
  </si>
  <si>
    <t>COW</t>
  </si>
  <si>
    <t>9S 3W 26</t>
  </si>
  <si>
    <t>12S 3W 09</t>
  </si>
  <si>
    <t>L1HE</t>
  </si>
  <si>
    <t>FREY</t>
  </si>
  <si>
    <t>WEINER</t>
  </si>
  <si>
    <t>AIRCRAFT</t>
  </si>
  <si>
    <t>ROCK CREEK (ID-PAF PROTECTION)</t>
  </si>
  <si>
    <t>MM73 HWY55</t>
  </si>
  <si>
    <t>SWS ASSIST MM73 HWY55</t>
  </si>
  <si>
    <t xml:space="preserve">MM73 HWY55 </t>
  </si>
  <si>
    <t>L1M5</t>
  </si>
  <si>
    <t>BIG POINT</t>
  </si>
  <si>
    <t>LEE</t>
  </si>
  <si>
    <t>12S 3W 13</t>
  </si>
  <si>
    <t>42 23 08</t>
  </si>
  <si>
    <t>43 02 51</t>
  </si>
  <si>
    <t>4S 6W 25</t>
  </si>
  <si>
    <t>KEITHLY (ID-PAF PROTECTION)</t>
  </si>
  <si>
    <t>42 23 11</t>
  </si>
  <si>
    <t>42 36 53</t>
  </si>
  <si>
    <t>42 06 15</t>
  </si>
  <si>
    <t>115 45 37</t>
  </si>
  <si>
    <t xml:space="preserve">BIG POINT </t>
  </si>
  <si>
    <t>L1LU</t>
  </si>
  <si>
    <t>8N 3E 19</t>
  </si>
  <si>
    <t>44 00 53</t>
  </si>
  <si>
    <t>116 09 14</t>
  </si>
  <si>
    <t>BRUNEAU JARBIDGE</t>
  </si>
  <si>
    <t>OWYHEE RIVER</t>
  </si>
  <si>
    <t>POLE CREEK (OR-VAD PROTECTION)</t>
  </si>
  <si>
    <t>116 00 09</t>
  </si>
  <si>
    <t>SWEARINGEN</t>
  </si>
  <si>
    <t>116 14 17</t>
  </si>
  <si>
    <t>115 32 05</t>
  </si>
  <si>
    <t>5S 8E 325</t>
  </si>
  <si>
    <t>42 57 31</t>
  </si>
  <si>
    <t>115 27 33</t>
  </si>
  <si>
    <t>1N 3E 04</t>
  </si>
  <si>
    <t>43 27 17</t>
  </si>
  <si>
    <t>116 06 48</t>
  </si>
  <si>
    <t>116 17 45</t>
  </si>
  <si>
    <t>L1Z8</t>
  </si>
  <si>
    <t>6N 5E 33</t>
  </si>
  <si>
    <t>L1JE</t>
  </si>
  <si>
    <t>L1NG</t>
  </si>
  <si>
    <t>L1CG</t>
  </si>
  <si>
    <t>DEMASTERS</t>
  </si>
  <si>
    <t xml:space="preserve">44 00 53 </t>
  </si>
  <si>
    <t>116 09 15</t>
  </si>
  <si>
    <t>35S 46E 23</t>
  </si>
  <si>
    <t>42 29 06</t>
  </si>
  <si>
    <t>L1RE</t>
  </si>
  <si>
    <t>2018 BOISE DISTRICT BLM WILDLAND FIRE SUPPRESSION SUMMARY</t>
  </si>
  <si>
    <t>FA 10 BOF</t>
  </si>
  <si>
    <t xml:space="preserve">SMITH </t>
  </si>
  <si>
    <t>SMITH</t>
  </si>
  <si>
    <t xml:space="preserve">BOF ASSIST SMITH </t>
  </si>
  <si>
    <t>L173</t>
  </si>
  <si>
    <t>7N 1E 15</t>
  </si>
  <si>
    <t>43 56 39</t>
  </si>
  <si>
    <t>116 18 59</t>
  </si>
  <si>
    <t>44 06 19</t>
  </si>
  <si>
    <t>115 22 55</t>
  </si>
  <si>
    <t>6N 2W 19</t>
  </si>
  <si>
    <t>43 50 18</t>
  </si>
  <si>
    <t>116 36 48</t>
  </si>
  <si>
    <t>115 58 30</t>
  </si>
  <si>
    <t>115 36 03</t>
  </si>
  <si>
    <t>43 16 12</t>
  </si>
  <si>
    <t>115 52 20</t>
  </si>
  <si>
    <t>7N 4W 28</t>
  </si>
  <si>
    <t>43 54 33</t>
  </si>
  <si>
    <t>116 49 05</t>
  </si>
  <si>
    <t>43 22 16</t>
  </si>
  <si>
    <t>116 41 09</t>
  </si>
  <si>
    <t>116 29 41</t>
  </si>
  <si>
    <t xml:space="preserve">JUDD </t>
  </si>
  <si>
    <t>5S 6E 36</t>
  </si>
  <si>
    <t>115 40 39</t>
  </si>
  <si>
    <t>CEDAR</t>
  </si>
  <si>
    <t>116 19 51</t>
  </si>
  <si>
    <t>MAYER</t>
  </si>
  <si>
    <t>CORRECT</t>
  </si>
  <si>
    <t>43 28 49</t>
  </si>
  <si>
    <t>2N 2E 27</t>
  </si>
  <si>
    <t>L2P6</t>
  </si>
  <si>
    <t>MM108 I84</t>
  </si>
  <si>
    <t>L2QF</t>
  </si>
  <si>
    <t>5S 8E 08</t>
  </si>
  <si>
    <t>115 31 58</t>
  </si>
  <si>
    <t>3N 8E 32</t>
  </si>
  <si>
    <t>43 33 07</t>
  </si>
  <si>
    <t>MESA (ID-PAF PROTECTION)</t>
  </si>
  <si>
    <t>L1TG</t>
  </si>
  <si>
    <t>43 32 44</t>
  </si>
  <si>
    <t>13N 5E 23</t>
  </si>
  <si>
    <t>44 27 10</t>
  </si>
  <si>
    <t>115 49 35</t>
  </si>
  <si>
    <t>L0L8</t>
  </si>
  <si>
    <t>2N 5E 04</t>
  </si>
  <si>
    <t>43 32 23</t>
  </si>
  <si>
    <t>115 51 52</t>
  </si>
  <si>
    <t>18N 8E 35</t>
  </si>
  <si>
    <t>44 51 10</t>
  </si>
  <si>
    <t>115 26 13</t>
  </si>
  <si>
    <t>L2SC</t>
  </si>
  <si>
    <t>PLESS</t>
  </si>
  <si>
    <t>TELLERIA</t>
  </si>
  <si>
    <t>43 21 19</t>
  </si>
  <si>
    <t>SPANISH</t>
  </si>
  <si>
    <t>SPANISH (SWS PROTECTION)</t>
  </si>
  <si>
    <t xml:space="preserve">SPANISH </t>
  </si>
  <si>
    <t>MM16 HWY21</t>
  </si>
  <si>
    <t xml:space="preserve">BOD ASSIST MM16 HWY21 </t>
  </si>
  <si>
    <t>LS2E</t>
  </si>
  <si>
    <t>CARTER</t>
  </si>
  <si>
    <t>WONTORNICK</t>
  </si>
  <si>
    <t>6N 5E 21</t>
  </si>
  <si>
    <t>43 51 02</t>
  </si>
  <si>
    <t>115 51 46</t>
  </si>
  <si>
    <t>L2T6</t>
  </si>
  <si>
    <t>3N 4E 20</t>
  </si>
  <si>
    <t>43 34 47</t>
  </si>
  <si>
    <t xml:space="preserve">115 59 52 </t>
  </si>
  <si>
    <t xml:space="preserve">1S 2E 22 </t>
  </si>
  <si>
    <t>43 18 53</t>
  </si>
  <si>
    <t>116 12 24</t>
  </si>
  <si>
    <t>116 12 27</t>
  </si>
  <si>
    <t>CHARCOAL (BOD PROTECTION)</t>
  </si>
  <si>
    <t>116 00 02</t>
  </si>
  <si>
    <t>MM117 I84</t>
  </si>
  <si>
    <t>L2WW</t>
  </si>
  <si>
    <t>42 57 28</t>
  </si>
  <si>
    <t>115 21 37</t>
  </si>
  <si>
    <t>MM73 HWY55 (SWS PROTECTION)</t>
  </si>
  <si>
    <t>L0P9</t>
  </si>
  <si>
    <t>6N 3W 08</t>
  </si>
  <si>
    <t>116 42 48</t>
  </si>
  <si>
    <t>FIVE CENT (BOD PROTECTION)</t>
  </si>
  <si>
    <t>43 01 34</t>
  </si>
  <si>
    <t>115 54 29</t>
  </si>
  <si>
    <t>115 16 55</t>
  </si>
  <si>
    <t>42 55 57</t>
  </si>
  <si>
    <t>115 56 59</t>
  </si>
  <si>
    <t>3N 3E 36</t>
  </si>
  <si>
    <t>116 02 41</t>
  </si>
  <si>
    <t>42 56 44</t>
  </si>
  <si>
    <t>GRAPINE</t>
  </si>
  <si>
    <t>NURSE</t>
  </si>
  <si>
    <t>L29D</t>
  </si>
  <si>
    <t>43 35 17</t>
  </si>
  <si>
    <t>BOD ASSIST NURSE</t>
  </si>
  <si>
    <t>L29C</t>
  </si>
  <si>
    <t>SWS ASSIST GRAPINE</t>
  </si>
  <si>
    <t>BERTALOTTO</t>
  </si>
  <si>
    <t>JAMISON</t>
  </si>
  <si>
    <t>6N 5E 36</t>
  </si>
  <si>
    <t>43 48 45</t>
  </si>
  <si>
    <t>115 48 27</t>
  </si>
  <si>
    <t>115 59 52</t>
  </si>
  <si>
    <t>L3C1</t>
  </si>
  <si>
    <t>TC</t>
  </si>
  <si>
    <t>COLE</t>
  </si>
  <si>
    <t>L3C2</t>
  </si>
  <si>
    <t xml:space="preserve">MEYER </t>
  </si>
  <si>
    <t>2N 2E 19</t>
  </si>
  <si>
    <t>43 29 34</t>
  </si>
  <si>
    <t>43 28 50</t>
  </si>
  <si>
    <t>SLATER</t>
  </si>
  <si>
    <t>L3E4</t>
  </si>
  <si>
    <t>1N 4E 13</t>
  </si>
  <si>
    <t>43 25 33</t>
  </si>
  <si>
    <t>44 31 20</t>
  </si>
  <si>
    <t>BEETS</t>
  </si>
  <si>
    <t>BRIGGS</t>
  </si>
  <si>
    <t>L3HL</t>
  </si>
  <si>
    <t>43 00 49</t>
  </si>
  <si>
    <t>7N 1W 05</t>
  </si>
  <si>
    <t>116 29 17</t>
  </si>
  <si>
    <t>43 04 45</t>
  </si>
  <si>
    <t>MUDDY</t>
  </si>
  <si>
    <t>POISON</t>
  </si>
  <si>
    <t>TWENTY</t>
  </si>
  <si>
    <t>MM108 HWY 20</t>
  </si>
  <si>
    <t>CANYON</t>
  </si>
  <si>
    <t>GOLDIE</t>
  </si>
  <si>
    <t>ALKIE</t>
  </si>
  <si>
    <t>BENNY</t>
  </si>
  <si>
    <t>LITTLE C</t>
  </si>
  <si>
    <t>BIG C</t>
  </si>
  <si>
    <t>MM98 HWY20</t>
  </si>
  <si>
    <t>CUTOFF</t>
  </si>
  <si>
    <t>HAYNES</t>
  </si>
  <si>
    <t>VALLE</t>
  </si>
  <si>
    <t>L3K0</t>
  </si>
  <si>
    <t>L3K1</t>
  </si>
  <si>
    <t>L3K8</t>
  </si>
  <si>
    <t>L3LC</t>
  </si>
  <si>
    <t>L3LA</t>
  </si>
  <si>
    <t>L3K6</t>
  </si>
  <si>
    <t>L3LG</t>
  </si>
  <si>
    <t>L3LP</t>
  </si>
  <si>
    <t>L3LQ</t>
  </si>
  <si>
    <t>L3LS</t>
  </si>
  <si>
    <t>L3LT</t>
  </si>
  <si>
    <t>9S 3W 22</t>
  </si>
  <si>
    <t>2S 8E 19</t>
  </si>
  <si>
    <t>2S 6E 25</t>
  </si>
  <si>
    <t>5S 6E 26</t>
  </si>
  <si>
    <t>4S 9E 24</t>
  </si>
  <si>
    <t>6S 3E 30</t>
  </si>
  <si>
    <t>43 05 13</t>
  </si>
  <si>
    <t>43 05 37</t>
  </si>
  <si>
    <t>43 05 02</t>
  </si>
  <si>
    <t>L3MG</t>
  </si>
  <si>
    <t>MM108 HWY20</t>
  </si>
  <si>
    <t>BOD ASSIST ALKIE</t>
  </si>
  <si>
    <t>MM79 I84</t>
  </si>
  <si>
    <t>42 57 45</t>
  </si>
  <si>
    <t>115 27 59</t>
  </si>
  <si>
    <t>42 31 06</t>
  </si>
  <si>
    <t>115 37 03</t>
  </si>
  <si>
    <t>FA 11 BOD</t>
  </si>
  <si>
    <t>L2VJ</t>
  </si>
  <si>
    <t>3N 3E 05</t>
  </si>
  <si>
    <t>43 37 45</t>
  </si>
  <si>
    <t>116 07 10</t>
  </si>
  <si>
    <t>L215</t>
  </si>
  <si>
    <t>FA 12 BOD</t>
  </si>
  <si>
    <t>6N 2E 10</t>
  </si>
  <si>
    <t>43 52 03</t>
  </si>
  <si>
    <t>116 12 38</t>
  </si>
  <si>
    <t>L3KL</t>
  </si>
  <si>
    <t>FA 13 BOD</t>
  </si>
  <si>
    <t>9S 6E 02</t>
  </si>
  <si>
    <t>42 40 27</t>
  </si>
  <si>
    <t>115 42 60</t>
  </si>
  <si>
    <t>116 29 25</t>
  </si>
  <si>
    <t>115 53 32</t>
  </si>
  <si>
    <t>43 03 47</t>
  </si>
  <si>
    <t>115 20 30</t>
  </si>
  <si>
    <t>3N 11E 33</t>
  </si>
  <si>
    <t>43 33 15</t>
  </si>
  <si>
    <t>115 09 21</t>
  </si>
  <si>
    <t>IDL</t>
  </si>
  <si>
    <t>3N 4E 05</t>
  </si>
  <si>
    <t>115 59 45</t>
  </si>
  <si>
    <t>JOHNSON</t>
  </si>
  <si>
    <t>43 00 20</t>
  </si>
  <si>
    <t>115 31 48</t>
  </si>
  <si>
    <t>LOST</t>
  </si>
  <si>
    <t>MUNSON</t>
  </si>
  <si>
    <t>PERRY</t>
  </si>
  <si>
    <t>CLINE</t>
  </si>
  <si>
    <t>HANEY</t>
  </si>
  <si>
    <t>5N 9E 31</t>
  </si>
  <si>
    <t>116 23 30</t>
  </si>
  <si>
    <t>42 09 52</t>
  </si>
  <si>
    <t>116 01 04</t>
  </si>
  <si>
    <t>ASHTON</t>
  </si>
  <si>
    <t>42 18 59</t>
  </si>
  <si>
    <t>116 46 43</t>
  </si>
  <si>
    <t>43 21 28</t>
  </si>
  <si>
    <t>115 58 06</t>
  </si>
  <si>
    <t>JAMES</t>
  </si>
  <si>
    <t>1S 4E 26</t>
  </si>
  <si>
    <t>43 18 22</t>
  </si>
  <si>
    <t>115 57 17</t>
  </si>
  <si>
    <t>FA 11 BOF</t>
  </si>
  <si>
    <t>FA 12 BOF</t>
  </si>
  <si>
    <t>13N 3E 32</t>
  </si>
  <si>
    <t>44 24 42</t>
  </si>
  <si>
    <t>116 07 55</t>
  </si>
  <si>
    <t>BARNES</t>
  </si>
  <si>
    <t>5N 11E 05</t>
  </si>
  <si>
    <t>43 48 05</t>
  </si>
  <si>
    <t>RA 10 WASHINGTON CO</t>
  </si>
  <si>
    <t xml:space="preserve">FA 6 SWS </t>
  </si>
  <si>
    <t>L3Z9</t>
  </si>
  <si>
    <t>4N 3E 23</t>
  </si>
  <si>
    <t>43 40 21</t>
  </si>
  <si>
    <t>116 03 54</t>
  </si>
  <si>
    <t>13N 3W 35</t>
  </si>
  <si>
    <t>L30B</t>
  </si>
  <si>
    <t>MRFD</t>
  </si>
  <si>
    <t>43 20 16</t>
  </si>
  <si>
    <t>43 39 41</t>
  </si>
  <si>
    <t>116 11 49</t>
  </si>
  <si>
    <t>116 11 20</t>
  </si>
  <si>
    <t>116 08 15</t>
  </si>
  <si>
    <t>115 16 04</t>
  </si>
  <si>
    <t>43 39 46</t>
  </si>
  <si>
    <t>WAPITI</t>
  </si>
  <si>
    <t>SHANNAHAN</t>
  </si>
  <si>
    <t xml:space="preserve">CATON (PAF PROTECTION) </t>
  </si>
  <si>
    <t>L32N</t>
  </si>
  <si>
    <t>L3Y5</t>
  </si>
  <si>
    <t>12N 6W 32</t>
  </si>
  <si>
    <t>44 20 14</t>
  </si>
  <si>
    <t>117 05 20</t>
  </si>
  <si>
    <t>EKW7</t>
  </si>
  <si>
    <t>18N 7E 09</t>
  </si>
  <si>
    <t>44 54 53</t>
  </si>
  <si>
    <t>115 36 08</t>
  </si>
  <si>
    <t>116 17 08</t>
  </si>
  <si>
    <t>MONUMENT</t>
  </si>
  <si>
    <t>L37Q</t>
  </si>
  <si>
    <t>KORUS</t>
  </si>
  <si>
    <t>6N 1W 21</t>
  </si>
  <si>
    <t>43 50 44</t>
  </si>
  <si>
    <t>116 27 59</t>
  </si>
  <si>
    <t>STEAMBOAT</t>
  </si>
  <si>
    <t>L38F</t>
  </si>
  <si>
    <t>115 48 15</t>
  </si>
  <si>
    <t>STEAMBOAT (BOF PROTECTION)</t>
  </si>
  <si>
    <t>HOLLY</t>
  </si>
  <si>
    <t xml:space="preserve">HOLLY </t>
  </si>
  <si>
    <t>2N 2E 09</t>
  </si>
  <si>
    <t>L38V</t>
  </si>
  <si>
    <t>FA 14 BOD</t>
  </si>
  <si>
    <t>1N 4E 27</t>
  </si>
  <si>
    <t>L387</t>
  </si>
  <si>
    <t>43 23 40</t>
  </si>
  <si>
    <t>115 57 48</t>
  </si>
  <si>
    <t>116 08 52</t>
  </si>
  <si>
    <t>43 25 22</t>
  </si>
  <si>
    <t>116 11 42</t>
  </si>
  <si>
    <t>ANIMAL</t>
  </si>
  <si>
    <t>RIVER RUN</t>
  </si>
  <si>
    <t>446C</t>
  </si>
  <si>
    <t>L4DH</t>
  </si>
  <si>
    <t>HOBBS</t>
  </si>
  <si>
    <t>8N 4E 1</t>
  </si>
  <si>
    <t>44 03 45</t>
  </si>
  <si>
    <t>115 55 45</t>
  </si>
  <si>
    <t>L4EN</t>
  </si>
  <si>
    <t>BROWN</t>
  </si>
  <si>
    <t>13N 3E 35</t>
  </si>
  <si>
    <t>44 24 57</t>
  </si>
  <si>
    <t>DOLE</t>
  </si>
  <si>
    <t>SOUTH BLACK</t>
  </si>
  <si>
    <t>L4E2</t>
  </si>
  <si>
    <t>116 08 49</t>
  </si>
  <si>
    <t>PEARLY</t>
  </si>
  <si>
    <t>MM14 HWY21</t>
  </si>
  <si>
    <t>L4HU</t>
  </si>
  <si>
    <t>L4HW</t>
  </si>
  <si>
    <t>BERTALATTO</t>
  </si>
  <si>
    <t>BOD ASSIST MM14 HWY21</t>
  </si>
  <si>
    <t>BROCKET</t>
  </si>
  <si>
    <t>43 34 33</t>
  </si>
  <si>
    <t>6N 4W 30</t>
  </si>
  <si>
    <t>FA 13 BOF</t>
  </si>
  <si>
    <t>12N 5E 36</t>
  </si>
  <si>
    <t>44 19 43</t>
  </si>
  <si>
    <t>115 48 08</t>
  </si>
  <si>
    <t>116 41 37</t>
  </si>
  <si>
    <t>BEAV (BOD PROTECTION)</t>
  </si>
  <si>
    <t xml:space="preserve">FREY </t>
  </si>
  <si>
    <t>12S 3W 08</t>
  </si>
  <si>
    <t>SHRICKER</t>
  </si>
  <si>
    <t>116 39 40</t>
  </si>
  <si>
    <t>CASNER</t>
  </si>
  <si>
    <t xml:space="preserve">ROARING </t>
  </si>
  <si>
    <t>SHEEP</t>
  </si>
  <si>
    <t>WREN</t>
  </si>
  <si>
    <t>GERMAN</t>
  </si>
  <si>
    <t>ABBY</t>
  </si>
  <si>
    <t>L4QF</t>
  </si>
  <si>
    <t>STEWART</t>
  </si>
  <si>
    <t>BELL</t>
  </si>
  <si>
    <t>9N 9E 02</t>
  </si>
  <si>
    <t>44 08 20</t>
  </si>
  <si>
    <t>115 21 12</t>
  </si>
  <si>
    <t>3N 8E 01</t>
  </si>
  <si>
    <t>WAITE</t>
  </si>
  <si>
    <t>4N 8E 10</t>
  </si>
  <si>
    <t>6N 8E 11</t>
  </si>
  <si>
    <t>43 52 16</t>
  </si>
  <si>
    <t xml:space="preserve">6N 7E 20 </t>
  </si>
  <si>
    <t>43 50 33</t>
  </si>
  <si>
    <t>115 38 51</t>
  </si>
  <si>
    <t>WILSON</t>
  </si>
  <si>
    <t>7N 8E 10</t>
  </si>
  <si>
    <t>FA 15 BOD</t>
  </si>
  <si>
    <t>YAKET</t>
  </si>
  <si>
    <t>L4TT</t>
  </si>
  <si>
    <t xml:space="preserve">DOYLE </t>
  </si>
  <si>
    <t>14N 6E 12</t>
  </si>
  <si>
    <t>L4SK</t>
  </si>
  <si>
    <t>4S 7E 23</t>
  </si>
  <si>
    <t>43 03 29</t>
  </si>
  <si>
    <t>115 35 18</t>
  </si>
  <si>
    <t>L3X3</t>
  </si>
  <si>
    <t>FA 7 SWS</t>
  </si>
  <si>
    <t>43 40 13</t>
  </si>
  <si>
    <t>115 59 04</t>
  </si>
  <si>
    <t>CAT (BOD PROTECTION)</t>
  </si>
  <si>
    <t>SHELLENBERG</t>
  </si>
  <si>
    <t>TINTIRE</t>
  </si>
  <si>
    <t>L4Y9</t>
  </si>
  <si>
    <t>5S 5E 28</t>
  </si>
  <si>
    <t>42 57 19</t>
  </si>
  <si>
    <t>OLSON</t>
  </si>
  <si>
    <t>L405</t>
  </si>
  <si>
    <t>13N 3E 23</t>
  </si>
  <si>
    <t>44 27 01</t>
  </si>
  <si>
    <t>L41A</t>
  </si>
  <si>
    <t>115 56 46</t>
  </si>
  <si>
    <t>WET</t>
  </si>
  <si>
    <t>L42Q</t>
  </si>
  <si>
    <t>7N 5E 31</t>
  </si>
  <si>
    <t>43 54 20</t>
  </si>
  <si>
    <t>115 56 06</t>
  </si>
  <si>
    <t>COW (BOD PROTECTION)</t>
  </si>
  <si>
    <t>117 00 05</t>
  </si>
  <si>
    <t>116 38 37</t>
  </si>
  <si>
    <t>43 49 11</t>
  </si>
  <si>
    <t>115 51 50</t>
  </si>
  <si>
    <t>117 01 53</t>
  </si>
  <si>
    <t>MOUNTAIN MAN (PAF PROTECTION)</t>
  </si>
  <si>
    <t>115 32 06</t>
  </si>
  <si>
    <t>116 12 41</t>
  </si>
  <si>
    <t>CORRECT (BOD PROTECTION)</t>
  </si>
  <si>
    <t>42 59 51</t>
  </si>
  <si>
    <t>WORTONICK</t>
  </si>
  <si>
    <t>L43B</t>
  </si>
  <si>
    <t>14N 6W 05</t>
  </si>
  <si>
    <t>44 34 59</t>
  </si>
  <si>
    <t>117 05 47</t>
  </si>
  <si>
    <t xml:space="preserve">FA 8 SWS </t>
  </si>
  <si>
    <t>L43V</t>
  </si>
  <si>
    <t>116 03 53</t>
  </si>
  <si>
    <t>L45L</t>
  </si>
  <si>
    <t>SOUTH MOUNT</t>
  </si>
  <si>
    <t>42 46 36</t>
  </si>
  <si>
    <t>7S 5W 36</t>
  </si>
  <si>
    <t>1S 2E 09</t>
  </si>
  <si>
    <t>116 13 58</t>
  </si>
  <si>
    <t>MM65 HWY55</t>
  </si>
  <si>
    <t>L46Z</t>
  </si>
  <si>
    <t>7N 2E 23</t>
  </si>
  <si>
    <t>43 55 39</t>
  </si>
  <si>
    <t>PARK</t>
  </si>
  <si>
    <t>L49J</t>
  </si>
  <si>
    <t>16N 7E 10</t>
  </si>
  <si>
    <t>44 43 59</t>
  </si>
  <si>
    <t>SOUTH BONNIE</t>
  </si>
  <si>
    <t>L49U</t>
  </si>
  <si>
    <t>2N 3E 35</t>
  </si>
  <si>
    <t>43 27 47</t>
  </si>
  <si>
    <t>SWS ASSIST MM65 HWY55</t>
  </si>
  <si>
    <t>FA 9 SWS</t>
  </si>
  <si>
    <t>L49W</t>
  </si>
  <si>
    <t>3N 4E 21</t>
  </si>
  <si>
    <t>115 59 27</t>
  </si>
  <si>
    <t>116 16 20</t>
  </si>
  <si>
    <t>2N 1E 25</t>
  </si>
  <si>
    <t>116 16 27</t>
  </si>
  <si>
    <t>115 55 51</t>
  </si>
  <si>
    <t>SLATER (BOD PROTECTION)</t>
  </si>
  <si>
    <t>5S 7E 02</t>
  </si>
  <si>
    <t>115 35 26</t>
  </si>
  <si>
    <t>BUCK</t>
  </si>
  <si>
    <t xml:space="preserve">BUCK (SWS PROTECTION) </t>
  </si>
  <si>
    <t>CARSON</t>
  </si>
  <si>
    <t>9N 3E 05</t>
  </si>
  <si>
    <t>44 08 28</t>
  </si>
  <si>
    <t>L5B9</t>
  </si>
  <si>
    <t>MM10 HWY21</t>
  </si>
  <si>
    <t>2N 3E 02</t>
  </si>
  <si>
    <t>43 31 58</t>
  </si>
  <si>
    <t>L5DA</t>
  </si>
  <si>
    <t>SOUTH BONNIE (BOD PROTECTION)</t>
  </si>
  <si>
    <t>7S 2E 36</t>
  </si>
  <si>
    <t>42 46 05</t>
  </si>
  <si>
    <t>116 16 35</t>
  </si>
  <si>
    <t>POISON (BOD PROTECTION)</t>
  </si>
  <si>
    <t>7S 1E 36</t>
  </si>
  <si>
    <t>3S 7E 09</t>
  </si>
  <si>
    <t>43 10 16</t>
  </si>
  <si>
    <t>115 37 55</t>
  </si>
  <si>
    <t>43 13 50</t>
  </si>
  <si>
    <t>115 32 40</t>
  </si>
  <si>
    <t>43 13 00</t>
  </si>
  <si>
    <t>115 41 28</t>
  </si>
  <si>
    <t>42 57 33</t>
  </si>
  <si>
    <t>115 42 57</t>
  </si>
  <si>
    <t>GOLDIE (BOD PROTECTION)</t>
  </si>
  <si>
    <t>43 03 45</t>
  </si>
  <si>
    <t>115 20 22</t>
  </si>
  <si>
    <t>MAYFIELD</t>
  </si>
  <si>
    <t>PADDOCK</t>
  </si>
  <si>
    <t>BUTTE</t>
  </si>
  <si>
    <t>L5HF</t>
  </si>
  <si>
    <t>DODSON</t>
  </si>
  <si>
    <t>1N 4E 26</t>
  </si>
  <si>
    <t>43 23 17</t>
  </si>
  <si>
    <t>L5JY</t>
  </si>
  <si>
    <t>10N 2W 33</t>
  </si>
  <si>
    <t>L5JW</t>
  </si>
  <si>
    <t>1N 1W 03</t>
  </si>
  <si>
    <t xml:space="preserve">BOD ASSIST PADDOCK </t>
  </si>
  <si>
    <t>BEAR</t>
  </si>
  <si>
    <t>L5KV</t>
  </si>
  <si>
    <t>13N 10E 29</t>
  </si>
  <si>
    <t>44 25 36</t>
  </si>
  <si>
    <t>L5LM</t>
  </si>
  <si>
    <t>RA 11 ADA CO</t>
  </si>
  <si>
    <t>BFD</t>
  </si>
  <si>
    <t>4N 2E 23</t>
  </si>
  <si>
    <t>L5MT</t>
  </si>
  <si>
    <t>COTTONWOOD</t>
  </si>
  <si>
    <t>ELLES</t>
  </si>
  <si>
    <t>4N 5E 26</t>
  </si>
  <si>
    <t>BOF ASSIST COTTONWOOD</t>
  </si>
  <si>
    <t>42 37 25</t>
  </si>
  <si>
    <t>116 41 12</t>
  </si>
  <si>
    <t>115 17 11</t>
  </si>
  <si>
    <t>BENNY (BOD PROTECTION)</t>
  </si>
  <si>
    <t>4S 10E 08</t>
  </si>
  <si>
    <t>4S 10E 09</t>
  </si>
  <si>
    <t>115 16 33</t>
  </si>
  <si>
    <t>4S 9E 11</t>
  </si>
  <si>
    <t>115 21 44</t>
  </si>
  <si>
    <t>116 03 32</t>
  </si>
  <si>
    <t>43 10 36</t>
  </si>
  <si>
    <t>115 38 00</t>
  </si>
  <si>
    <t>42 52 34</t>
  </si>
  <si>
    <t>116 08 57</t>
  </si>
  <si>
    <t>CUTOFF (BOD PROTECTION)</t>
  </si>
  <si>
    <t>115 10 39</t>
  </si>
  <si>
    <t>43 43 24</t>
  </si>
  <si>
    <t>115 26 05</t>
  </si>
  <si>
    <t>44 25 24</t>
  </si>
  <si>
    <t>116 40 24</t>
  </si>
  <si>
    <t>PADDDOCK (BOD PROTECTION)</t>
  </si>
  <si>
    <t>43 48 56</t>
  </si>
  <si>
    <t>ZARFIS</t>
  </si>
  <si>
    <t>43 31 14</t>
  </si>
  <si>
    <t>116 13 51</t>
  </si>
  <si>
    <t>116 04 28</t>
  </si>
  <si>
    <t>43 27 16</t>
  </si>
  <si>
    <t>43 49 47</t>
  </si>
  <si>
    <t>116 51 38</t>
  </si>
  <si>
    <t>BROCKETT</t>
  </si>
  <si>
    <t>3N 4E 19</t>
  </si>
  <si>
    <t>116 01 01</t>
  </si>
  <si>
    <t>43 37 22</t>
  </si>
  <si>
    <t>115 26 38</t>
  </si>
  <si>
    <t>43 41 48</t>
  </si>
  <si>
    <t>115 29 45</t>
  </si>
  <si>
    <t>OAKLEAF</t>
  </si>
  <si>
    <t>HATHAWAY</t>
  </si>
  <si>
    <t>115 29 13</t>
  </si>
  <si>
    <t>RIDGE (PAF PROTECTION)</t>
  </si>
  <si>
    <t>L5VJ</t>
  </si>
  <si>
    <t>17N 1W 17</t>
  </si>
  <si>
    <t>44 48 44</t>
  </si>
  <si>
    <t>116 28 57</t>
  </si>
  <si>
    <t>17N 7E 25</t>
  </si>
  <si>
    <t>44 46 30</t>
  </si>
  <si>
    <t>115 32 51</t>
  </si>
  <si>
    <t>FA 10 SWS</t>
  </si>
  <si>
    <t>L5V0</t>
  </si>
  <si>
    <t>10N 3E 20</t>
  </si>
  <si>
    <t>44 10 53</t>
  </si>
  <si>
    <t>116 07 05</t>
  </si>
  <si>
    <t>43 57 15</t>
  </si>
  <si>
    <t xml:space="preserve">MM113 SOUTH I84 </t>
  </si>
  <si>
    <t>L5XS</t>
  </si>
  <si>
    <t>MM113 SOUTH I84</t>
  </si>
  <si>
    <t>42 57 02</t>
  </si>
  <si>
    <t>115 26 07</t>
  </si>
  <si>
    <t>43 39 30</t>
  </si>
  <si>
    <t>115 50 08</t>
  </si>
  <si>
    <t>44 09 26</t>
  </si>
  <si>
    <t xml:space="preserve">COTTONWOOD 2 </t>
  </si>
  <si>
    <t xml:space="preserve">ELLES </t>
  </si>
  <si>
    <t>4N 5E 11</t>
  </si>
  <si>
    <t>L508</t>
  </si>
  <si>
    <t>2N 5W 20</t>
  </si>
  <si>
    <t>43 29 54</t>
  </si>
  <si>
    <t>JUIMP</t>
  </si>
  <si>
    <t>JUMP</t>
  </si>
  <si>
    <t>CLOVEPOE</t>
  </si>
  <si>
    <t>43 24 28</t>
  </si>
  <si>
    <t>44 33 40</t>
  </si>
  <si>
    <t>115 40 51</t>
  </si>
  <si>
    <t>115 52 30</t>
  </si>
  <si>
    <t>116 03 28</t>
  </si>
  <si>
    <t>MM74POINT5 I84</t>
  </si>
  <si>
    <t>43 20 17</t>
  </si>
  <si>
    <t>500 COVERTED TO WF</t>
  </si>
  <si>
    <t>700 CONVERTED TO WF</t>
  </si>
  <si>
    <t>L57P</t>
  </si>
  <si>
    <t>9N 1E 36</t>
  </si>
  <si>
    <t xml:space="preserve">FA 11 SWS </t>
  </si>
  <si>
    <t>44 01 57</t>
  </si>
  <si>
    <t>116 16 58</t>
  </si>
  <si>
    <t>D4 SLASH &amp; DEBRIS</t>
  </si>
  <si>
    <t>18N 8E 29</t>
  </si>
  <si>
    <t xml:space="preserve">MULTIPLE UNITS </t>
  </si>
  <si>
    <t>FRUITVALE (PAF PROTECTION)</t>
  </si>
  <si>
    <t>L53C</t>
  </si>
  <si>
    <t>L581</t>
  </si>
  <si>
    <t>17N 1W 10</t>
  </si>
  <si>
    <t>44 49 18</t>
  </si>
  <si>
    <t>116 26 32</t>
  </si>
  <si>
    <t>L0CS</t>
  </si>
  <si>
    <t>10N 11E 25</t>
  </si>
  <si>
    <t>44 10 02</t>
  </si>
  <si>
    <t>115 12 03</t>
  </si>
  <si>
    <t>MULTIPLE</t>
  </si>
  <si>
    <t>BOF ASSIST WAPITI</t>
  </si>
  <si>
    <t>10N 10E 25</t>
  </si>
  <si>
    <t>L4SF</t>
  </si>
  <si>
    <t>KOEHLER</t>
  </si>
  <si>
    <t>116 52 17</t>
  </si>
  <si>
    <t>116 11 23</t>
  </si>
  <si>
    <t>DULHANTY</t>
  </si>
  <si>
    <t>115 35 06</t>
  </si>
  <si>
    <t>MCFADDEN</t>
  </si>
  <si>
    <t>LOWMAN ADMIN</t>
  </si>
  <si>
    <t>BLOM</t>
  </si>
  <si>
    <t>9N 7E 35</t>
  </si>
  <si>
    <t>12N 3E 24</t>
  </si>
  <si>
    <t>44 21 56</t>
  </si>
  <si>
    <t>116 03 22</t>
  </si>
  <si>
    <t>FA 14 BOF</t>
  </si>
  <si>
    <t>FA 15 BOF</t>
  </si>
  <si>
    <t>TEAPOT</t>
  </si>
  <si>
    <t>PEARL</t>
  </si>
  <si>
    <t>L6DA</t>
  </si>
  <si>
    <t>6N 4W 33</t>
  </si>
  <si>
    <t>43 49 12</t>
  </si>
  <si>
    <t>116 49 46</t>
  </si>
  <si>
    <t>L6DC</t>
  </si>
  <si>
    <t>3S 8E 06</t>
  </si>
  <si>
    <t>43 11 46</t>
  </si>
  <si>
    <t>115 32 59</t>
  </si>
  <si>
    <t>116 03 25</t>
  </si>
  <si>
    <t>115 57 03</t>
  </si>
  <si>
    <t>116 35 08</t>
  </si>
  <si>
    <t>43 26 48</t>
  </si>
  <si>
    <t>116 26 14</t>
  </si>
  <si>
    <t>115 17 37</t>
  </si>
  <si>
    <t>116 08 12</t>
  </si>
  <si>
    <t>43 39 54</t>
  </si>
  <si>
    <t>116 11 22</t>
  </si>
  <si>
    <t>116 57 58</t>
  </si>
  <si>
    <t>JONATHAN (PAF PROTECTION)</t>
  </si>
  <si>
    <t>116 19 52</t>
  </si>
  <si>
    <t>5N 5E 07</t>
  </si>
  <si>
    <t>43 46 44</t>
  </si>
  <si>
    <t>115 53 59</t>
  </si>
  <si>
    <t>3N 8E 31</t>
  </si>
  <si>
    <t>43 33 02</t>
  </si>
  <si>
    <t>115 32 35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</si>
</sst>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m/d/yy;@"/>
    <numFmt numFmtId="166" formatCode="0.0"/>
    <numFmt numFmtId="167" formatCode="h:mm:ss;@"/>
  </numFmts>
  <fonts count="3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222222"/>
      <name val="Arial"/>
      <family val="2"/>
    </font>
    <font>
      <sz val="8"/>
      <color rgb="FF222222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D3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8D8D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</cellStyleXfs>
  <cellXfs count="12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7" xfId="0" applyFont="1" applyBorder="1" applyAlignment="1">
      <alignment horizontal="right" vertical="center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2" fillId="14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0" fontId="12" fillId="13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right" vertical="center"/>
    </xf>
    <xf numFmtId="0" fontId="1" fillId="20" borderId="1" xfId="0" applyFont="1" applyFill="1" applyBorder="1" applyAlignment="1">
      <alignment horizontal="center" vertical="center"/>
    </xf>
    <xf numFmtId="0" fontId="21" fillId="2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9" borderId="1" xfId="0" quotePrefix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10" borderId="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0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" fontId="2" fillId="1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2" fillId="13" borderId="1" xfId="0" quotePrefix="1" applyNumberFormat="1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1" fontId="2" fillId="13" borderId="0" xfId="0" applyNumberFormat="1" applyFont="1" applyFill="1" applyAlignment="1">
      <alignment horizontal="center" vertical="center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49" fontId="2" fillId="13" borderId="1" xfId="0" applyNumberFormat="1" applyFont="1" applyFill="1" applyBorder="1" applyAlignment="1">
      <alignment horizontal="center" vertical="center"/>
    </xf>
    <xf numFmtId="164" fontId="12" fillId="13" borderId="1" xfId="0" applyNumberFormat="1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164" fontId="2" fillId="13" borderId="1" xfId="0" quotePrefix="1" applyNumberFormat="1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 wrapText="1"/>
    </xf>
    <xf numFmtId="2" fontId="2" fillId="13" borderId="1" xfId="0" applyNumberFormat="1" applyFont="1" applyFill="1" applyBorder="1" applyAlignment="1">
      <alignment horizontal="center" vertical="center"/>
    </xf>
    <xf numFmtId="2" fontId="12" fillId="1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9" fontId="1" fillId="9" borderId="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/>
    </xf>
    <xf numFmtId="0" fontId="2" fillId="19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0" xfId="0" applyFill="1"/>
    <xf numFmtId="0" fontId="0" fillId="5" borderId="0" xfId="0" applyFill="1"/>
    <xf numFmtId="0" fontId="0" fillId="13" borderId="0" xfId="0" applyFill="1"/>
    <xf numFmtId="0" fontId="2" fillId="13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164" fontId="2" fillId="13" borderId="0" xfId="0" applyNumberFormat="1" applyFont="1" applyFill="1" applyAlignment="1">
      <alignment horizontal="center" vertical="center"/>
    </xf>
    <xf numFmtId="165" fontId="2" fillId="13" borderId="0" xfId="0" applyNumberFormat="1" applyFont="1" applyFill="1" applyAlignment="1">
      <alignment horizontal="center" vertical="center"/>
    </xf>
    <xf numFmtId="165" fontId="2" fillId="13" borderId="6" xfId="0" applyNumberFormat="1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165" fontId="2" fillId="8" borderId="6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165" fontId="2" fillId="5" borderId="6" xfId="0" applyNumberFormat="1" applyFont="1" applyFill="1" applyBorder="1" applyAlignment="1">
      <alignment horizontal="center" vertical="center" wrapText="1"/>
    </xf>
    <xf numFmtId="2" fontId="2" fillId="13" borderId="0" xfId="0" applyNumberFormat="1" applyFont="1" applyFill="1" applyAlignment="1">
      <alignment horizontal="center" vertical="center"/>
    </xf>
    <xf numFmtId="2" fontId="2" fillId="13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165" fontId="2" fillId="16" borderId="6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165" fontId="2" fillId="20" borderId="6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3" borderId="0" xfId="0" applyFill="1" applyBorder="1" applyAlignment="1">
      <alignment vertical="center"/>
    </xf>
    <xf numFmtId="0" fontId="0" fillId="13" borderId="1" xfId="0" applyFill="1" applyBorder="1"/>
    <xf numFmtId="0" fontId="2" fillId="9" borderId="0" xfId="0" applyFont="1" applyFill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/>
    </xf>
    <xf numFmtId="0" fontId="0" fillId="21" borderId="0" xfId="0" applyFill="1"/>
    <xf numFmtId="0" fontId="0" fillId="4" borderId="0" xfId="0" applyFill="1"/>
    <xf numFmtId="0" fontId="0" fillId="16" borderId="0" xfId="0" applyFill="1"/>
    <xf numFmtId="0" fontId="0" fillId="3" borderId="0" xfId="0" applyFill="1"/>
    <xf numFmtId="0" fontId="0" fillId="20" borderId="0" xfId="0" applyFill="1"/>
    <xf numFmtId="0" fontId="0" fillId="18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64" fontId="2" fillId="21" borderId="1" xfId="0" applyNumberFormat="1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2" borderId="4" xfId="0" applyFill="1" applyBorder="1" applyAlignment="1" applyProtection="1"/>
    <xf numFmtId="0" fontId="0" fillId="0" borderId="1" xfId="0" applyBorder="1" applyAlignment="1" applyProtection="1">
      <alignment horizontal="center" textRotation="90"/>
    </xf>
    <xf numFmtId="0" fontId="0" fillId="9" borderId="1" xfId="0" applyFill="1" applyBorder="1" applyAlignment="1" applyProtection="1">
      <alignment horizontal="center"/>
    </xf>
    <xf numFmtId="0" fontId="0" fillId="13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9" borderId="1" xfId="0" applyFill="1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9" borderId="1" xfId="0" applyFill="1" applyBorder="1" applyAlignment="1" applyProtection="1">
      <protection locked="0"/>
    </xf>
    <xf numFmtId="0" fontId="0" fillId="13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2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2" fontId="4" fillId="9" borderId="3" xfId="0" applyNumberFormat="1" applyFont="1" applyFill="1" applyBorder="1" applyAlignment="1" applyProtection="1"/>
    <xf numFmtId="2" fontId="18" fillId="9" borderId="4" xfId="0" applyNumberFormat="1" applyFont="1" applyFill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13" borderId="3" xfId="0" applyFill="1" applyBorder="1" applyAlignment="1" applyProtection="1"/>
    <xf numFmtId="0" fontId="0" fillId="13" borderId="4" xfId="0" applyFill="1" applyBorder="1" applyAlignment="1" applyProtection="1"/>
    <xf numFmtId="0" fontId="0" fillId="2" borderId="3" xfId="0" applyFill="1" applyBorder="1" applyAlignment="1" applyProtection="1"/>
    <xf numFmtId="2" fontId="9" fillId="9" borderId="1" xfId="0" applyNumberFormat="1" applyFont="1" applyFill="1" applyBorder="1" applyProtection="1">
      <protection locked="0"/>
    </xf>
    <xf numFmtId="2" fontId="9" fillId="0" borderId="1" xfId="0" applyNumberFormat="1" applyFont="1" applyBorder="1" applyProtection="1">
      <protection locked="0"/>
    </xf>
    <xf numFmtId="2" fontId="9" fillId="13" borderId="1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0" fontId="9" fillId="14" borderId="1" xfId="0" applyNumberFormat="1" applyFont="1" applyFill="1" applyBorder="1" applyProtection="1">
      <protection locked="0"/>
    </xf>
    <xf numFmtId="166" fontId="9" fillId="13" borderId="1" xfId="0" applyNumberFormat="1" applyFont="1" applyFill="1" applyBorder="1" applyProtection="1">
      <protection locked="0"/>
    </xf>
    <xf numFmtId="0" fontId="9" fillId="9" borderId="1" xfId="0" applyNumberFormat="1" applyFont="1" applyFill="1" applyBorder="1" applyProtection="1">
      <protection locked="0"/>
    </xf>
    <xf numFmtId="0" fontId="9" fillId="0" borderId="1" xfId="0" applyNumberFormat="1" applyFont="1" applyBorder="1" applyProtection="1">
      <protection locked="0"/>
    </xf>
    <xf numFmtId="0" fontId="9" fillId="13" borderId="1" xfId="0" applyNumberFormat="1" applyFont="1" applyFill="1" applyBorder="1" applyProtection="1">
      <protection locked="0"/>
    </xf>
    <xf numFmtId="0" fontId="9" fillId="2" borderId="1" xfId="0" applyNumberFormat="1" applyFont="1" applyFill="1" applyBorder="1" applyProtection="1">
      <protection locked="0"/>
    </xf>
    <xf numFmtId="1" fontId="9" fillId="13" borderId="1" xfId="0" applyNumberFormat="1" applyFont="1" applyFill="1" applyBorder="1" applyProtection="1">
      <protection locked="0"/>
    </xf>
    <xf numFmtId="166" fontId="9" fillId="2" borderId="1" xfId="0" applyNumberFormat="1" applyFont="1" applyFill="1" applyBorder="1" applyProtection="1">
      <protection locked="0"/>
    </xf>
    <xf numFmtId="1" fontId="9" fillId="9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2" fillId="21" borderId="6" xfId="0" applyNumberFormat="1" applyFont="1" applyFill="1" applyBorder="1" applyAlignment="1">
      <alignment horizontal="center" vertical="center" wrapText="1"/>
    </xf>
    <xf numFmtId="164" fontId="2" fillId="21" borderId="6" xfId="0" applyNumberFormat="1" applyFont="1" applyFill="1" applyBorder="1" applyAlignment="1">
      <alignment horizontal="center" vertical="center"/>
    </xf>
    <xf numFmtId="164" fontId="0" fillId="0" borderId="0" xfId="0" applyNumberFormat="1" applyAlignment="1" applyProtection="1">
      <alignment horizontal="left"/>
    </xf>
    <xf numFmtId="164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 textRotation="90"/>
    </xf>
    <xf numFmtId="164" fontId="0" fillId="0" borderId="1" xfId="0" applyNumberFormat="1" applyBorder="1" applyAlignment="1" applyProtection="1">
      <alignment horizontal="right"/>
      <protection locked="0"/>
    </xf>
    <xf numFmtId="164" fontId="22" fillId="0" borderId="0" xfId="0" applyNumberFormat="1" applyFont="1" applyBorder="1" applyProtection="1"/>
    <xf numFmtId="164" fontId="0" fillId="0" borderId="6" xfId="0" applyNumberFormat="1" applyBorder="1" applyAlignment="1" applyProtection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13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14" borderId="1" xfId="0" applyNumberFormat="1" applyFont="1" applyFill="1" applyBorder="1" applyProtection="1">
      <protection locked="0"/>
    </xf>
    <xf numFmtId="166" fontId="1" fillId="13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1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" fontId="1" fillId="13" borderId="1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" fontId="1" fillId="9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 textRotation="90"/>
    </xf>
    <xf numFmtId="0" fontId="1" fillId="9" borderId="1" xfId="0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13" borderId="1" xfId="0" applyNumberFormat="1" applyFont="1" applyFill="1" applyBorder="1" applyAlignment="1">
      <alignment horizontal="center" vertical="center"/>
    </xf>
    <xf numFmtId="0" fontId="1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6" xfId="0" applyFont="1" applyBorder="1" applyProtection="1"/>
    <xf numFmtId="2" fontId="1" fillId="9" borderId="3" xfId="0" applyNumberFormat="1" applyFont="1" applyFill="1" applyBorder="1" applyAlignment="1" applyProtection="1">
      <alignment horizontal="center"/>
    </xf>
    <xf numFmtId="2" fontId="1" fillId="9" borderId="4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13" borderId="3" xfId="0" applyFont="1" applyFill="1" applyBorder="1" applyAlignment="1" applyProtection="1">
      <alignment horizontal="center"/>
    </xf>
    <xf numFmtId="0" fontId="1" fillId="13" borderId="4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1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12" fillId="22" borderId="1" xfId="0" applyNumberFormat="1" applyFont="1" applyFill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/>
    </xf>
    <xf numFmtId="0" fontId="0" fillId="13" borderId="1" xfId="0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2" fillId="13" borderId="5" xfId="0" applyNumberFormat="1" applyFont="1" applyFill="1" applyBorder="1" applyAlignment="1">
      <alignment horizontal="center" vertical="center"/>
    </xf>
    <xf numFmtId="1" fontId="2" fillId="13" borderId="5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2" fillId="24" borderId="1" xfId="0" applyFont="1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0" fillId="9" borderId="3" xfId="0" applyFill="1" applyBorder="1" applyAlignment="1" applyProtection="1">
      <alignment horizontal="center"/>
    </xf>
    <xf numFmtId="0" fontId="0" fillId="13" borderId="4" xfId="0" applyFill="1" applyBorder="1" applyAlignment="1" applyProtection="1">
      <alignment horizontal="center"/>
    </xf>
    <xf numFmtId="2" fontId="9" fillId="13" borderId="1" xfId="0" applyNumberFormat="1" applyFont="1" applyFill="1" applyBorder="1" applyAlignment="1" applyProtection="1">
      <alignment horizontal="center"/>
      <protection locked="0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1" fontId="9" fillId="13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2" fontId="4" fillId="9" borderId="3" xfId="0" applyNumberFormat="1" applyFont="1" applyFill="1" applyBorder="1" applyAlignment="1" applyProtection="1">
      <alignment horizontal="center"/>
    </xf>
    <xf numFmtId="2" fontId="18" fillId="9" borderId="4" xfId="0" applyNumberFormat="1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13" borderId="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2" fontId="9" fillId="9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166" fontId="9" fillId="13" borderId="1" xfId="0" applyNumberFormat="1" applyFont="1" applyFill="1" applyBorder="1" applyAlignment="1" applyProtection="1">
      <alignment horizontal="center"/>
      <protection locked="0"/>
    </xf>
    <xf numFmtId="0" fontId="9" fillId="9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14" borderId="1" xfId="0" applyNumberFormat="1" applyFont="1" applyFill="1" applyBorder="1" applyAlignment="1" applyProtection="1">
      <alignment horizontal="center"/>
      <protection locked="0"/>
    </xf>
    <xf numFmtId="1" fontId="9" fillId="9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4" fontId="2" fillId="13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0" fontId="0" fillId="5" borderId="1" xfId="0" applyFill="1" applyBorder="1"/>
    <xf numFmtId="14" fontId="4" fillId="13" borderId="1" xfId="0" applyNumberFormat="1" applyFont="1" applyFill="1" applyBorder="1"/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165" fontId="2" fillId="13" borderId="6" xfId="0" applyNumberFormat="1" applyFont="1" applyFill="1" applyBorder="1" applyAlignment="1">
      <alignment horizontal="center" vertical="center" wrapText="1"/>
    </xf>
    <xf numFmtId="166" fontId="1" fillId="9" borderId="4" xfId="0" applyNumberFormat="1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164" fontId="2" fillId="13" borderId="6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164" fontId="2" fillId="13" borderId="6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 wrapText="1"/>
      <protection locked="0"/>
    </xf>
    <xf numFmtId="165" fontId="1" fillId="13" borderId="1" xfId="0" applyNumberFormat="1" applyFont="1" applyFill="1" applyBorder="1" applyAlignment="1" applyProtection="1">
      <alignment horizontal="center"/>
      <protection locked="0"/>
    </xf>
    <xf numFmtId="14" fontId="1" fillId="13" borderId="1" xfId="0" applyNumberFormat="1" applyFont="1" applyFill="1" applyBorder="1"/>
    <xf numFmtId="0" fontId="1" fillId="13" borderId="1" xfId="0" applyFont="1" applyFill="1" applyBorder="1" applyAlignment="1">
      <alignment horizontal="center"/>
    </xf>
    <xf numFmtId="14" fontId="1" fillId="13" borderId="1" xfId="0" applyNumberFormat="1" applyFont="1" applyFill="1" applyBorder="1" applyAlignment="1">
      <alignment horizontal="center"/>
    </xf>
    <xf numFmtId="165" fontId="2" fillId="13" borderId="1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left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/>
    </xf>
    <xf numFmtId="1" fontId="14" fillId="13" borderId="15" xfId="0" applyNumberFormat="1" applyFont="1" applyFill="1" applyBorder="1" applyAlignment="1">
      <alignment horizontal="center" vertical="center"/>
    </xf>
    <xf numFmtId="164" fontId="4" fillId="13" borderId="1" xfId="0" applyNumberFormat="1" applyFont="1" applyFill="1" applyBorder="1" applyAlignment="1" applyProtection="1">
      <alignment horizontal="center"/>
      <protection locked="0"/>
    </xf>
    <xf numFmtId="165" fontId="0" fillId="13" borderId="1" xfId="0" applyNumberFormat="1" applyFill="1" applyBorder="1" applyAlignment="1" applyProtection="1">
      <alignment horizontal="right"/>
      <protection locked="0"/>
    </xf>
    <xf numFmtId="0" fontId="16" fillId="13" borderId="19" xfId="0" applyFont="1" applyFill="1" applyBorder="1" applyAlignment="1">
      <alignment vertical="center"/>
    </xf>
    <xf numFmtId="0" fontId="16" fillId="13" borderId="21" xfId="0" applyFont="1" applyFill="1" applyBorder="1" applyAlignment="1">
      <alignment vertical="center"/>
    </xf>
    <xf numFmtId="0" fontId="16" fillId="13" borderId="20" xfId="0" applyFont="1" applyFill="1" applyBorder="1" applyAlignment="1">
      <alignment vertical="center"/>
    </xf>
    <xf numFmtId="0" fontId="11" fillId="13" borderId="19" xfId="0" applyFont="1" applyFill="1" applyBorder="1" applyAlignment="1">
      <alignment vertical="center"/>
    </xf>
    <xf numFmtId="0" fontId="11" fillId="13" borderId="20" xfId="0" applyFont="1" applyFill="1" applyBorder="1" applyAlignment="1">
      <alignment vertical="center"/>
    </xf>
    <xf numFmtId="0" fontId="1" fillId="23" borderId="7" xfId="0" applyFont="1" applyFill="1" applyBorder="1" applyAlignment="1" applyProtection="1">
      <alignment horizontal="center"/>
    </xf>
    <xf numFmtId="0" fontId="1" fillId="23" borderId="3" xfId="0" applyFont="1" applyFill="1" applyBorder="1" applyAlignment="1" applyProtection="1">
      <alignment horizontal="center"/>
    </xf>
    <xf numFmtId="166" fontId="1" fillId="13" borderId="4" xfId="0" applyNumberFormat="1" applyFont="1" applyFill="1" applyBorder="1" applyAlignment="1">
      <alignment horizontal="center" vertical="center"/>
    </xf>
    <xf numFmtId="0" fontId="1" fillId="13" borderId="20" xfId="0" applyFont="1" applyFill="1" applyBorder="1" applyAlignment="1" applyProtection="1"/>
    <xf numFmtId="166" fontId="1" fillId="13" borderId="20" xfId="0" applyNumberFormat="1" applyFont="1" applyFill="1" applyBorder="1" applyAlignment="1">
      <alignment horizontal="center" vertical="center"/>
    </xf>
    <xf numFmtId="0" fontId="1" fillId="13" borderId="20" xfId="0" applyFont="1" applyFill="1" applyBorder="1" applyAlignment="1" applyProtection="1">
      <alignment horizontal="center"/>
    </xf>
    <xf numFmtId="0" fontId="1" fillId="13" borderId="20" xfId="0" applyFont="1" applyFill="1" applyBorder="1" applyAlignment="1" applyProtection="1">
      <alignment horizontal="center"/>
      <protection locked="0"/>
    </xf>
    <xf numFmtId="0" fontId="0" fillId="13" borderId="20" xfId="0" applyFill="1" applyBorder="1" applyProtection="1">
      <protection locked="0"/>
    </xf>
    <xf numFmtId="0" fontId="4" fillId="13" borderId="1" xfId="0" applyFont="1" applyFill="1" applyBorder="1" applyAlignment="1" applyProtection="1">
      <alignment horizontal="center"/>
      <protection locked="0"/>
    </xf>
    <xf numFmtId="166" fontId="1" fillId="13" borderId="1" xfId="0" applyNumberFormat="1" applyFont="1" applyFill="1" applyBorder="1" applyAlignment="1">
      <alignment horizontal="center" vertical="center"/>
    </xf>
    <xf numFmtId="0" fontId="0" fillId="13" borderId="3" xfId="0" applyFill="1" applyBorder="1"/>
    <xf numFmtId="164" fontId="0" fillId="13" borderId="1" xfId="0" applyNumberFormat="1" applyFill="1" applyBorder="1" applyAlignment="1" applyProtection="1">
      <alignment horizontal="center"/>
      <protection locked="0"/>
    </xf>
    <xf numFmtId="164" fontId="0" fillId="13" borderId="1" xfId="0" applyNumberFormat="1" applyFill="1" applyBorder="1" applyAlignment="1" applyProtection="1">
      <alignment horizontal="right"/>
      <protection locked="0"/>
    </xf>
    <xf numFmtId="0" fontId="0" fillId="13" borderId="1" xfId="0" applyFill="1" applyBorder="1" applyAlignment="1" applyProtection="1">
      <alignment horizontal="center" wrapText="1"/>
      <protection locked="0"/>
    </xf>
    <xf numFmtId="0" fontId="0" fillId="13" borderId="22" xfId="0" applyFill="1" applyBorder="1" applyAlignment="1" applyProtection="1">
      <alignment horizontal="center"/>
      <protection locked="0"/>
    </xf>
    <xf numFmtId="0" fontId="0" fillId="14" borderId="22" xfId="0" applyFill="1" applyBorder="1" applyAlignment="1" applyProtection="1">
      <alignment horizontal="center"/>
      <protection locked="0"/>
    </xf>
    <xf numFmtId="2" fontId="1" fillId="0" borderId="1" xfId="0" applyNumberFormat="1" applyFont="1" applyBorder="1"/>
    <xf numFmtId="0" fontId="0" fillId="13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0" fillId="13" borderId="1" xfId="0" applyFont="1" applyFill="1" applyBorder="1" applyAlignment="1">
      <alignment horizontal="center" vertical="center"/>
    </xf>
    <xf numFmtId="165" fontId="30" fillId="13" borderId="1" xfId="0" applyNumberFormat="1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 wrapText="1"/>
    </xf>
    <xf numFmtId="167" fontId="30" fillId="13" borderId="1" xfId="0" applyNumberFormat="1" applyFont="1" applyFill="1" applyBorder="1" applyAlignment="1">
      <alignment horizontal="center" vertical="center"/>
    </xf>
    <xf numFmtId="167" fontId="30" fillId="13" borderId="0" xfId="0" applyNumberFormat="1" applyFont="1" applyFill="1" applyAlignment="1">
      <alignment horizontal="center" vertical="center"/>
    </xf>
    <xf numFmtId="0" fontId="30" fillId="13" borderId="1" xfId="1" applyFont="1" applyFill="1" applyBorder="1" applyAlignment="1">
      <alignment horizontal="center" vertical="center"/>
    </xf>
    <xf numFmtId="165" fontId="30" fillId="13" borderId="1" xfId="1" applyNumberFormat="1" applyFont="1" applyFill="1" applyBorder="1" applyAlignment="1">
      <alignment horizontal="center" vertical="center"/>
    </xf>
    <xf numFmtId="0" fontId="30" fillId="13" borderId="1" xfId="1" applyFont="1" applyFill="1" applyBorder="1" applyAlignment="1">
      <alignment horizontal="center" vertical="center" wrapText="1"/>
    </xf>
    <xf numFmtId="167" fontId="30" fillId="13" borderId="1" xfId="1" applyNumberFormat="1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0" fillId="13" borderId="1" xfId="2" applyFont="1" applyFill="1" applyBorder="1" applyAlignment="1">
      <alignment horizontal="center" vertical="center"/>
    </xf>
    <xf numFmtId="165" fontId="30" fillId="13" borderId="1" xfId="2" applyNumberFormat="1" applyFont="1" applyFill="1" applyBorder="1" applyAlignment="1">
      <alignment horizontal="center" vertical="center"/>
    </xf>
    <xf numFmtId="0" fontId="30" fillId="13" borderId="1" xfId="2" applyFont="1" applyFill="1" applyBorder="1" applyAlignment="1">
      <alignment horizontal="center" vertical="center" wrapText="1"/>
    </xf>
    <xf numFmtId="167" fontId="30" fillId="13" borderId="1" xfId="2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7" fontId="29" fillId="13" borderId="0" xfId="3" applyNumberFormat="1" applyFill="1" applyBorder="1" applyAlignment="1">
      <alignment horizontal="center" vertical="center"/>
    </xf>
    <xf numFmtId="167" fontId="28" fillId="26" borderId="0" xfId="2" applyNumberForma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29" fillId="27" borderId="0" xfId="3" applyNumberForma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7" fontId="28" fillId="13" borderId="0" xfId="2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/>
    </xf>
    <xf numFmtId="0" fontId="2" fillId="2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4" fontId="12" fillId="9" borderId="1" xfId="0" applyNumberFormat="1" applyFont="1" applyFill="1" applyBorder="1" applyAlignment="1">
      <alignment horizontal="center" vertical="center"/>
    </xf>
    <xf numFmtId="164" fontId="2" fillId="9" borderId="6" xfId="0" applyNumberFormat="1" applyFont="1" applyFill="1" applyBorder="1" applyAlignment="1">
      <alignment horizontal="center" vertical="center" wrapText="1"/>
    </xf>
    <xf numFmtId="165" fontId="2" fillId="9" borderId="6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3" borderId="0" xfId="0" applyFont="1" applyFill="1" applyAlignment="1">
      <alignment horizontal="center" vertical="center"/>
    </xf>
    <xf numFmtId="165" fontId="12" fillId="13" borderId="6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14" borderId="6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2" fillId="2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64" fontId="2" fillId="18" borderId="1" xfId="0" applyNumberFormat="1" applyFont="1" applyFill="1" applyBorder="1" applyAlignment="1">
      <alignment horizontal="center" vertical="center"/>
    </xf>
    <xf numFmtId="1" fontId="2" fillId="18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5" fontId="2" fillId="18" borderId="6" xfId="0" applyNumberFormat="1" applyFont="1" applyFill="1" applyBorder="1" applyAlignment="1">
      <alignment horizontal="center" vertical="center" wrapText="1"/>
    </xf>
    <xf numFmtId="164" fontId="12" fillId="18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3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2" fillId="18" borderId="6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2" fillId="9" borderId="6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right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quotePrefix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2" fillId="15" borderId="6" xfId="0" applyNumberFormat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14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29" borderId="3" xfId="0" applyFont="1" applyFill="1" applyBorder="1" applyAlignment="1">
      <alignment horizontal="center" vertical="center"/>
    </xf>
    <xf numFmtId="164" fontId="2" fillId="29" borderId="1" xfId="0" applyNumberFormat="1" applyFont="1" applyFill="1" applyBorder="1" applyAlignment="1">
      <alignment horizontal="center" vertical="center"/>
    </xf>
    <xf numFmtId="1" fontId="2" fillId="29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horizontal="center" vertical="center" textRotation="90"/>
    </xf>
    <xf numFmtId="0" fontId="0" fillId="13" borderId="15" xfId="0" applyFill="1" applyBorder="1" applyAlignment="1">
      <alignment horizontal="center" vertical="center" textRotation="90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24" borderId="1" xfId="0" applyFont="1" applyFill="1" applyBorder="1" applyAlignment="1">
      <alignment horizontal="center" vertical="center"/>
    </xf>
    <xf numFmtId="0" fontId="18" fillId="24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right" vertical="center"/>
    </xf>
    <xf numFmtId="0" fontId="3" fillId="9" borderId="7" xfId="0" applyFont="1" applyFill="1" applyBorder="1" applyAlignment="1">
      <alignment horizontal="right" vertical="center"/>
    </xf>
    <xf numFmtId="0" fontId="3" fillId="9" borderId="4" xfId="0" applyFont="1" applyFill="1" applyBorder="1" applyAlignment="1">
      <alignment horizontal="right" vertical="center"/>
    </xf>
    <xf numFmtId="0" fontId="3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 wrapText="1"/>
    </xf>
    <xf numFmtId="1" fontId="0" fillId="13" borderId="1" xfId="0" applyNumberForma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right" vertical="center"/>
    </xf>
    <xf numFmtId="0" fontId="4" fillId="9" borderId="7" xfId="0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165" fontId="2" fillId="13" borderId="5" xfId="0" applyNumberFormat="1" applyFont="1" applyFill="1" applyBorder="1" applyAlignment="1">
      <alignment horizontal="center" vertical="center" wrapText="1"/>
    </xf>
    <xf numFmtId="165" fontId="2" fillId="13" borderId="6" xfId="0" applyNumberFormat="1" applyFont="1" applyFill="1" applyBorder="1" applyAlignment="1">
      <alignment horizontal="center" vertical="center" wrapText="1"/>
    </xf>
    <xf numFmtId="0" fontId="1" fillId="14" borderId="1" xfId="0" applyFont="1" applyFill="1" applyBorder="1" applyAlignment="1" applyProtection="1">
      <alignment horizontal="center" textRotation="90"/>
    </xf>
    <xf numFmtId="0" fontId="1" fillId="0" borderId="2" xfId="0" applyFont="1" applyBorder="1" applyAlignment="1" applyProtection="1">
      <alignment horizontal="center"/>
    </xf>
    <xf numFmtId="0" fontId="1" fillId="23" borderId="1" xfId="0" applyFont="1" applyFill="1" applyBorder="1" applyAlignment="1" applyProtection="1">
      <alignment horizontal="center"/>
    </xf>
    <xf numFmtId="0" fontId="1" fillId="23" borderId="3" xfId="0" applyFont="1" applyFill="1" applyBorder="1" applyAlignment="1" applyProtection="1">
      <alignment horizontal="center"/>
    </xf>
    <xf numFmtId="0" fontId="1" fillId="23" borderId="7" xfId="0" applyFont="1" applyFill="1" applyBorder="1" applyAlignment="1" applyProtection="1">
      <alignment horizontal="center"/>
    </xf>
    <xf numFmtId="0" fontId="1" fillId="23" borderId="4" xfId="0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6" fontId="1" fillId="5" borderId="3" xfId="0" applyNumberFormat="1" applyFont="1" applyFill="1" applyBorder="1" applyAlignment="1">
      <alignment horizontal="center" vertical="center"/>
    </xf>
    <xf numFmtId="166" fontId="1" fillId="5" borderId="4" xfId="0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7" xfId="0" applyNumberFormat="1" applyFont="1" applyFill="1" applyBorder="1" applyAlignment="1">
      <alignment horizontal="center" vertical="center"/>
    </xf>
    <xf numFmtId="166" fontId="1" fillId="4" borderId="4" xfId="0" applyNumberFormat="1" applyFont="1" applyFill="1" applyBorder="1" applyAlignment="1">
      <alignment horizontal="center" vertical="center"/>
    </xf>
    <xf numFmtId="166" fontId="1" fillId="5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right" vertical="center"/>
    </xf>
    <xf numFmtId="0" fontId="0" fillId="9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166" fontId="1" fillId="9" borderId="3" xfId="0" applyNumberFormat="1" applyFont="1" applyFill="1" applyBorder="1" applyAlignment="1">
      <alignment horizontal="center" vertical="center"/>
    </xf>
    <xf numFmtId="166" fontId="1" fillId="9" borderId="4" xfId="0" applyNumberFormat="1" applyFont="1" applyFill="1" applyBorder="1" applyAlignment="1">
      <alignment horizontal="center" vertical="center"/>
    </xf>
    <xf numFmtId="166" fontId="1" fillId="6" borderId="3" xfId="0" applyNumberFormat="1" applyFont="1" applyFill="1" applyBorder="1" applyAlignment="1">
      <alignment horizontal="center" vertical="center"/>
    </xf>
    <xf numFmtId="166" fontId="1" fillId="6" borderId="4" xfId="0" applyNumberFormat="1" applyFont="1" applyFill="1" applyBorder="1" applyAlignment="1">
      <alignment horizontal="center" vertical="center"/>
    </xf>
    <xf numFmtId="166" fontId="1" fillId="10" borderId="3" xfId="0" applyNumberFormat="1" applyFont="1" applyFill="1" applyBorder="1" applyAlignment="1">
      <alignment horizontal="center" vertical="center"/>
    </xf>
    <xf numFmtId="166" fontId="1" fillId="10" borderId="7" xfId="0" applyNumberFormat="1" applyFont="1" applyFill="1" applyBorder="1" applyAlignment="1">
      <alignment horizontal="center" vertical="center"/>
    </xf>
    <xf numFmtId="166" fontId="1" fillId="10" borderId="4" xfId="0" applyNumberFormat="1" applyFont="1" applyFill="1" applyBorder="1" applyAlignment="1">
      <alignment horizontal="center" vertical="center"/>
    </xf>
    <xf numFmtId="166" fontId="1" fillId="7" borderId="3" xfId="0" applyNumberFormat="1" applyFont="1" applyFill="1" applyBorder="1" applyAlignment="1">
      <alignment horizontal="center" vertical="center"/>
    </xf>
    <xf numFmtId="166" fontId="1" fillId="7" borderId="7" xfId="0" applyNumberFormat="1" applyFont="1" applyFill="1" applyBorder="1" applyAlignment="1">
      <alignment horizontal="center" vertical="center"/>
    </xf>
    <xf numFmtId="166" fontId="1" fillId="7" borderId="4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right" vertical="center"/>
    </xf>
    <xf numFmtId="0" fontId="1" fillId="20" borderId="7" xfId="0" applyFont="1" applyFill="1" applyBorder="1" applyAlignment="1">
      <alignment horizontal="right" vertical="center"/>
    </xf>
    <xf numFmtId="0" fontId="1" fillId="20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6" fontId="1" fillId="9" borderId="7" xfId="0" applyNumberFormat="1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1" fillId="8" borderId="7" xfId="0" applyNumberFormat="1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right" vertical="center"/>
    </xf>
    <xf numFmtId="0" fontId="1" fillId="8" borderId="7" xfId="0" applyFont="1" applyFill="1" applyBorder="1" applyAlignment="1">
      <alignment horizontal="right" vertical="center"/>
    </xf>
    <xf numFmtId="0" fontId="1" fillId="8" borderId="4" xfId="0" applyFont="1" applyFill="1" applyBorder="1" applyAlignment="1">
      <alignment horizontal="right" vertical="center"/>
    </xf>
    <xf numFmtId="0" fontId="1" fillId="10" borderId="3" xfId="0" applyFont="1" applyFill="1" applyBorder="1" applyAlignment="1">
      <alignment horizontal="right" vertical="center"/>
    </xf>
    <xf numFmtId="0" fontId="1" fillId="10" borderId="7" xfId="0" applyFont="1" applyFill="1" applyBorder="1" applyAlignment="1">
      <alignment vertical="center"/>
    </xf>
    <xf numFmtId="0" fontId="1" fillId="10" borderId="4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7" borderId="3" xfId="0" applyFont="1" applyFill="1" applyBorder="1" applyAlignment="1">
      <alignment horizontal="right" vertical="center"/>
    </xf>
    <xf numFmtId="0" fontId="1" fillId="7" borderId="7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 vertical="center"/>
    </xf>
    <xf numFmtId="166" fontId="1" fillId="20" borderId="3" xfId="0" applyNumberFormat="1" applyFont="1" applyFill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1" fillId="6" borderId="4" xfId="0" applyFont="1" applyFill="1" applyBorder="1" applyAlignment="1">
      <alignment horizontal="right" vertical="center"/>
    </xf>
    <xf numFmtId="166" fontId="1" fillId="15" borderId="3" xfId="0" applyNumberFormat="1" applyFont="1" applyFill="1" applyBorder="1" applyAlignment="1">
      <alignment horizontal="center" vertical="center"/>
    </xf>
    <xf numFmtId="166" fontId="0" fillId="15" borderId="4" xfId="0" applyNumberFormat="1" applyFill="1" applyBorder="1" applyAlignment="1">
      <alignment horizontal="center" vertical="center"/>
    </xf>
    <xf numFmtId="166" fontId="1" fillId="15" borderId="7" xfId="0" applyNumberFormat="1" applyFont="1" applyFill="1" applyBorder="1" applyAlignment="1">
      <alignment horizontal="center" vertical="center"/>
    </xf>
    <xf numFmtId="166" fontId="1" fillId="15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right" vertical="center"/>
    </xf>
    <xf numFmtId="0" fontId="1" fillId="9" borderId="7" xfId="0" applyFont="1" applyFill="1" applyBorder="1" applyAlignment="1">
      <alignment horizontal="right" vertical="center"/>
    </xf>
    <xf numFmtId="0" fontId="1" fillId="9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 wrapText="1"/>
    </xf>
    <xf numFmtId="164" fontId="0" fillId="13" borderId="1" xfId="0" applyNumberFormat="1" applyFill="1" applyBorder="1" applyAlignment="1">
      <alignment horizontal="center" vertical="center"/>
    </xf>
    <xf numFmtId="164" fontId="2" fillId="13" borderId="5" xfId="0" applyNumberFormat="1" applyFont="1" applyFill="1" applyBorder="1" applyAlignment="1">
      <alignment horizontal="center" vertical="center" wrapText="1"/>
    </xf>
    <xf numFmtId="164" fontId="2" fillId="13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" fontId="2" fillId="13" borderId="5" xfId="0" applyNumberFormat="1" applyFont="1" applyFill="1" applyBorder="1" applyAlignment="1">
      <alignment horizontal="center" vertical="center" wrapText="1"/>
    </xf>
    <xf numFmtId="1" fontId="0" fillId="13" borderId="6" xfId="0" applyNumberFormat="1" applyFill="1" applyBorder="1" applyAlignment="1">
      <alignment horizontal="center" vertical="center"/>
    </xf>
    <xf numFmtId="0" fontId="0" fillId="14" borderId="14" xfId="0" applyFill="1" applyBorder="1" applyAlignment="1" applyProtection="1">
      <alignment horizontal="center" textRotation="90"/>
    </xf>
    <xf numFmtId="0" fontId="0" fillId="14" borderId="6" xfId="0" applyFill="1" applyBorder="1" applyAlignment="1" applyProtection="1">
      <alignment horizontal="center" textRotation="90"/>
    </xf>
    <xf numFmtId="0" fontId="0" fillId="0" borderId="2" xfId="0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0" fillId="11" borderId="3" xfId="0" applyFill="1" applyBorder="1" applyAlignment="1" applyProtection="1">
      <alignment horizontal="center"/>
    </xf>
    <xf numFmtId="0" fontId="0" fillId="11" borderId="7" xfId="0" applyFill="1" applyBorder="1" applyAlignment="1" applyProtection="1">
      <alignment horizontal="center"/>
    </xf>
    <xf numFmtId="0" fontId="0" fillId="11" borderId="4" xfId="0" applyFill="1" applyBorder="1" applyAlignment="1" applyProtection="1">
      <alignment horizontal="center"/>
    </xf>
    <xf numFmtId="0" fontId="0" fillId="13" borderId="20" xfId="0" applyFill="1" applyBorder="1" applyAlignment="1" applyProtection="1">
      <alignment horizontal="center" textRotation="90"/>
    </xf>
    <xf numFmtId="0" fontId="1" fillId="15" borderId="3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righ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2" fontId="1" fillId="20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right"/>
    </xf>
    <xf numFmtId="0" fontId="0" fillId="8" borderId="1" xfId="0" applyFill="1" applyBorder="1" applyAlignment="1">
      <alignment vertical="center"/>
    </xf>
    <xf numFmtId="0" fontId="2" fillId="13" borderId="3" xfId="0" applyFont="1" applyFill="1" applyBorder="1" applyAlignment="1">
      <alignment horizontal="right" vertical="center"/>
    </xf>
    <xf numFmtId="0" fontId="2" fillId="13" borderId="7" xfId="0" applyFont="1" applyFill="1" applyBorder="1" applyAlignment="1">
      <alignment horizontal="right" vertical="center"/>
    </xf>
    <xf numFmtId="0" fontId="2" fillId="13" borderId="4" xfId="0" applyFont="1" applyFill="1" applyBorder="1" applyAlignment="1">
      <alignment horizontal="right" vertical="center"/>
    </xf>
    <xf numFmtId="0" fontId="1" fillId="13" borderId="2" xfId="0" applyFont="1" applyFill="1" applyBorder="1" applyAlignment="1">
      <alignment horizontal="left" vertical="center"/>
    </xf>
    <xf numFmtId="0" fontId="0" fillId="13" borderId="2" xfId="0" applyFill="1" applyBorder="1" applyAlignment="1">
      <alignment vertical="center"/>
    </xf>
    <xf numFmtId="0" fontId="0" fillId="14" borderId="5" xfId="0" applyFill="1" applyBorder="1" applyAlignment="1" applyProtection="1">
      <alignment horizontal="center" textRotation="90"/>
    </xf>
    <xf numFmtId="0" fontId="0" fillId="12" borderId="1" xfId="0" applyFill="1" applyBorder="1" applyAlignment="1" applyProtection="1">
      <alignment horizontal="center"/>
    </xf>
    <xf numFmtId="0" fontId="0" fillId="12" borderId="3" xfId="0" applyFill="1" applyBorder="1" applyAlignment="1" applyProtection="1">
      <alignment horizontal="center"/>
    </xf>
    <xf numFmtId="0" fontId="0" fillId="12" borderId="7" xfId="0" applyFill="1" applyBorder="1" applyAlignment="1" applyProtection="1">
      <alignment horizontal="center"/>
    </xf>
    <xf numFmtId="0" fontId="0" fillId="12" borderId="4" xfId="0" applyFill="1" applyBorder="1" applyAlignment="1" applyProtection="1">
      <alignment horizontal="center"/>
    </xf>
    <xf numFmtId="0" fontId="0" fillId="13" borderId="22" xfId="0" applyFill="1" applyBorder="1" applyAlignment="1" applyProtection="1">
      <alignment horizontal="center" textRotation="9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1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20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10" borderId="7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5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textRotation="75"/>
    </xf>
    <xf numFmtId="165" fontId="0" fillId="0" borderId="1" xfId="0" applyNumberFormat="1" applyBorder="1" applyAlignment="1">
      <alignment horizontal="center" textRotation="75"/>
    </xf>
    <xf numFmtId="2" fontId="1" fillId="2" borderId="3" xfId="0" applyNumberFormat="1" applyFont="1" applyFill="1" applyBorder="1" applyAlignment="1" applyProtection="1">
      <alignment horizontal="center"/>
    </xf>
    <xf numFmtId="2" fontId="1" fillId="0" borderId="3" xfId="0" applyNumberFormat="1" applyFont="1" applyBorder="1" applyAlignment="1" applyProtection="1">
      <alignment horizontal="center"/>
    </xf>
    <xf numFmtId="2" fontId="1" fillId="13" borderId="4" xfId="0" applyNumberFormat="1" applyFont="1" applyFill="1" applyBorder="1" applyAlignment="1" applyProtection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D8D8D8"/>
      <color rgb="FFFCD3C0"/>
      <color rgb="FFFFCC99"/>
      <color rgb="FF9999FF"/>
      <color rgb="FFCCFF99"/>
      <color rgb="FFE7C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80" zoomScaleNormal="80" workbookViewId="0">
      <selection activeCell="C9" sqref="C9"/>
    </sheetView>
  </sheetViews>
  <sheetFormatPr defaultColWidth="15.7109375" defaultRowHeight="18" customHeight="1" x14ac:dyDescent="0.25"/>
  <cols>
    <col min="1" max="1" width="3.42578125" style="106" customWidth="1"/>
    <col min="2" max="2" width="13.140625" style="1" customWidth="1"/>
    <col min="3" max="3" width="10.140625" style="106" customWidth="1"/>
    <col min="4" max="4" width="11.28515625" style="106" customWidth="1"/>
    <col min="5" max="5" width="10.5703125" style="106" customWidth="1"/>
    <col min="6" max="6" width="12.7109375" style="106" customWidth="1"/>
    <col min="7" max="7" width="9.140625" style="106" customWidth="1"/>
    <col min="8" max="8" width="10.85546875" style="106" customWidth="1"/>
    <col min="9" max="9" width="12.28515625" style="106" customWidth="1"/>
    <col min="10" max="10" width="11" style="106" customWidth="1"/>
    <col min="11" max="11" width="9.7109375" style="106" customWidth="1"/>
    <col min="12" max="12" width="9.42578125" style="106" customWidth="1"/>
    <col min="13" max="13" width="9" style="106" customWidth="1"/>
    <col min="14" max="16384" width="15.7109375" style="106"/>
  </cols>
  <sheetData>
    <row r="1" spans="1:13" ht="18" customHeight="1" x14ac:dyDescent="0.25">
      <c r="B1" s="1009" t="s">
        <v>130</v>
      </c>
      <c r="C1" s="1010"/>
      <c r="D1" s="1010"/>
      <c r="E1" s="1010"/>
    </row>
    <row r="2" spans="1:13" ht="18" customHeight="1" x14ac:dyDescent="0.25">
      <c r="B2" s="1009" t="s">
        <v>284</v>
      </c>
      <c r="C2" s="1010"/>
      <c r="D2" s="1010"/>
      <c r="E2" s="1010"/>
    </row>
    <row r="3" spans="1:13" ht="3.75" customHeight="1" x14ac:dyDescent="0.25">
      <c r="C3" s="107"/>
    </row>
    <row r="4" spans="1:13" s="108" customFormat="1" ht="18" customHeight="1" x14ac:dyDescent="0.25">
      <c r="B4" s="1011" t="s">
        <v>133</v>
      </c>
      <c r="C4" s="1012"/>
      <c r="D4" s="1012"/>
      <c r="E4" s="1012"/>
      <c r="F4" s="1012"/>
    </row>
    <row r="5" spans="1:13" s="116" customFormat="1" ht="31.5" customHeight="1" x14ac:dyDescent="0.25">
      <c r="B5" s="115" t="s">
        <v>94</v>
      </c>
      <c r="C5" s="115" t="s">
        <v>131</v>
      </c>
      <c r="D5" s="115" t="s">
        <v>4</v>
      </c>
      <c r="E5" s="115" t="s">
        <v>132</v>
      </c>
      <c r="F5" s="115" t="s">
        <v>134</v>
      </c>
    </row>
    <row r="6" spans="1:13" s="108" customFormat="1" ht="18" customHeight="1" x14ac:dyDescent="0.25">
      <c r="B6" s="109" t="s">
        <v>5</v>
      </c>
      <c r="C6" s="114">
        <f>SUM(C7:C9)</f>
        <v>147</v>
      </c>
      <c r="D6" s="114">
        <f>SUM(D7:D9)</f>
        <v>80605.890000000014</v>
      </c>
      <c r="E6" s="114">
        <f>SUM(E7:E9)</f>
        <v>11</v>
      </c>
      <c r="F6" s="114">
        <f>SUM(F7:F9)</f>
        <v>23</v>
      </c>
    </row>
    <row r="7" spans="1:13" ht="18" customHeight="1" x14ac:dyDescent="0.25">
      <c r="B7" s="110" t="s">
        <v>93</v>
      </c>
      <c r="C7" s="111">
        <f>COUNTIF('# FIRES CAUSE'!C:C,"BOF")</f>
        <v>31</v>
      </c>
      <c r="D7" s="111">
        <f>SUM('USFS SUM'!K5)</f>
        <v>6418.8700000000026</v>
      </c>
      <c r="E7" s="111">
        <f>SUM('USFS SUM'!F19)</f>
        <v>0</v>
      </c>
      <c r="F7" s="111">
        <f>SUM('USFS SUM'!F20)</f>
        <v>15</v>
      </c>
    </row>
    <row r="8" spans="1:13" ht="18" customHeight="1" x14ac:dyDescent="0.25">
      <c r="B8" s="273" t="s">
        <v>91</v>
      </c>
      <c r="C8" s="274">
        <f>COUNTIF('# FIRES CAUSE'!C:C,"BOD")</f>
        <v>100</v>
      </c>
      <c r="D8" s="274">
        <f>SUM('BLM SUM'!K5)</f>
        <v>69003.05</v>
      </c>
      <c r="E8" s="274">
        <f>SUM('BLM SUM'!F21)</f>
        <v>11</v>
      </c>
      <c r="F8" s="274">
        <f>SUM('BLM SUM'!F22)</f>
        <v>6</v>
      </c>
    </row>
    <row r="9" spans="1:13" ht="18" customHeight="1" x14ac:dyDescent="0.25">
      <c r="B9" s="112" t="s">
        <v>95</v>
      </c>
      <c r="C9" s="113">
        <f>COUNTIF('# FIRES CAUSE'!C:C,"SWS")</f>
        <v>16</v>
      </c>
      <c r="D9" s="113">
        <f>SUM('IDL SUM'!K6)</f>
        <v>5183.9700000000012</v>
      </c>
      <c r="E9" s="113">
        <f>SUM('IDL SUM'!F19)</f>
        <v>0</v>
      </c>
      <c r="F9" s="113">
        <f>SUM('IDL SUM'!F20)</f>
        <v>2</v>
      </c>
    </row>
    <row r="10" spans="1:13" ht="18" customHeight="1" x14ac:dyDescent="0.25">
      <c r="B10" s="275"/>
      <c r="C10" s="276"/>
      <c r="D10" s="276"/>
      <c r="E10" s="276"/>
      <c r="F10" s="276"/>
    </row>
    <row r="11" spans="1:13" ht="18" customHeight="1" x14ac:dyDescent="0.25">
      <c r="A11" s="750"/>
      <c r="B11" s="751"/>
      <c r="C11" s="750"/>
      <c r="D11" s="750"/>
      <c r="E11" s="750"/>
      <c r="F11" s="750"/>
      <c r="G11" s="750"/>
      <c r="H11" s="750"/>
      <c r="I11" s="750"/>
      <c r="J11" s="750"/>
      <c r="K11" s="750"/>
      <c r="L11" s="750"/>
      <c r="M11" s="750"/>
    </row>
    <row r="12" spans="1:13" ht="18" customHeight="1" x14ac:dyDescent="0.25">
      <c r="A12" s="758"/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60"/>
    </row>
    <row r="13" spans="1:13" s="108" customFormat="1" ht="30" customHeight="1" x14ac:dyDescent="0.25">
      <c r="A13" s="761"/>
      <c r="B13" s="762"/>
      <c r="C13" s="752"/>
      <c r="D13" s="752"/>
      <c r="E13" s="752"/>
      <c r="F13" s="752"/>
      <c r="G13" s="752"/>
      <c r="H13" s="752"/>
      <c r="I13" s="752"/>
      <c r="J13" s="752"/>
      <c r="K13" s="752"/>
      <c r="L13" s="753"/>
      <c r="M13" s="752"/>
    </row>
    <row r="14" spans="1:13" s="108" customFormat="1" ht="30" customHeight="1" x14ac:dyDescent="0.25">
      <c r="A14" s="754"/>
      <c r="B14" s="754"/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</row>
    <row r="15" spans="1:13" ht="18" customHeight="1" x14ac:dyDescent="0.25">
      <c r="A15" s="1007"/>
      <c r="B15" s="754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</row>
    <row r="16" spans="1:13" ht="18" customHeight="1" x14ac:dyDescent="0.25">
      <c r="A16" s="1007"/>
      <c r="B16" s="754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</row>
    <row r="17" spans="1:13" ht="18" customHeight="1" x14ac:dyDescent="0.25">
      <c r="A17" s="1007"/>
      <c r="B17" s="754"/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</row>
    <row r="18" spans="1:13" ht="18" customHeight="1" x14ac:dyDescent="0.25">
      <c r="A18" s="1007"/>
      <c r="B18" s="754"/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</row>
    <row r="19" spans="1:13" ht="18" customHeight="1" x14ac:dyDescent="0.25">
      <c r="A19" s="1007"/>
      <c r="B19" s="754"/>
      <c r="C19" s="755"/>
      <c r="D19" s="750"/>
      <c r="E19" s="750"/>
      <c r="F19" s="750"/>
      <c r="G19" s="750"/>
      <c r="H19" s="750"/>
      <c r="I19" s="750"/>
      <c r="J19" s="750"/>
      <c r="K19" s="750"/>
      <c r="L19" s="750"/>
      <c r="M19" s="750"/>
    </row>
    <row r="20" spans="1:13" ht="18" customHeight="1" x14ac:dyDescent="0.25">
      <c r="A20" s="1007"/>
      <c r="B20" s="754"/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</row>
    <row r="21" spans="1:13" ht="18" customHeight="1" x14ac:dyDescent="0.25">
      <c r="A21" s="1007"/>
      <c r="B21" s="754"/>
      <c r="C21" s="750"/>
      <c r="D21" s="750"/>
      <c r="E21" s="750"/>
      <c r="F21" s="750"/>
      <c r="G21" s="750"/>
      <c r="H21" s="750"/>
      <c r="I21" s="750"/>
      <c r="J21" s="750"/>
      <c r="K21" s="750"/>
      <c r="L21" s="750"/>
      <c r="M21" s="750"/>
    </row>
    <row r="22" spans="1:13" ht="18" customHeight="1" x14ac:dyDescent="0.25">
      <c r="A22" s="1007"/>
      <c r="B22" s="754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</row>
    <row r="23" spans="1:13" ht="18" customHeight="1" x14ac:dyDescent="0.25">
      <c r="A23" s="1008"/>
      <c r="B23" s="754"/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</row>
    <row r="24" spans="1:13" ht="18" customHeight="1" x14ac:dyDescent="0.25">
      <c r="A24" s="746"/>
      <c r="B24" s="747"/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9"/>
    </row>
  </sheetData>
  <mergeCells count="5">
    <mergeCell ref="A19:A23"/>
    <mergeCell ref="B1:E1"/>
    <mergeCell ref="B2:E2"/>
    <mergeCell ref="A15:A18"/>
    <mergeCell ref="B4:F4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76"/>
  <sheetViews>
    <sheetView topLeftCell="A19" workbookViewId="0">
      <selection activeCell="H49" sqref="H49"/>
    </sheetView>
  </sheetViews>
  <sheetFormatPr defaultRowHeight="15" x14ac:dyDescent="0.25"/>
  <cols>
    <col min="1" max="1" width="8" style="449" customWidth="1"/>
    <col min="2" max="3" width="8.140625" style="449" customWidth="1"/>
    <col min="4" max="4" width="8.7109375" style="449" customWidth="1"/>
    <col min="5" max="5" width="35.85546875" style="449" customWidth="1"/>
    <col min="6" max="6" width="14.28515625" style="449" customWidth="1"/>
    <col min="7" max="7" width="12.7109375" style="449" customWidth="1"/>
    <col min="8" max="8" width="6.28515625" style="449" customWidth="1"/>
    <col min="9" max="9" width="8.5703125" style="449" customWidth="1"/>
    <col min="10" max="11" width="9.140625" style="449"/>
    <col min="12" max="12" width="9.140625" style="483"/>
    <col min="13" max="13" width="9.140625" style="448"/>
    <col min="14" max="14" width="9.140625" style="484"/>
    <col min="15" max="15" width="9.140625" style="486"/>
    <col min="16" max="16" width="9.140625" style="449"/>
    <col min="17" max="17" width="9.140625" style="485"/>
    <col min="18" max="18" width="9.140625" style="487"/>
    <col min="19" max="19" width="9.140625" style="488"/>
    <col min="20" max="20" width="9.140625" style="447"/>
    <col min="21" max="21" width="9.7109375" style="449" bestFit="1" customWidth="1"/>
    <col min="22" max="22" width="8.5703125" style="449" customWidth="1"/>
    <col min="23" max="25" width="9.140625" style="449"/>
    <col min="26" max="26" width="5" style="449" customWidth="1"/>
    <col min="27" max="27" width="9.140625" style="449"/>
    <col min="28" max="28" width="7.85546875" style="449" customWidth="1"/>
    <col min="29" max="29" width="10.140625" style="449" customWidth="1"/>
    <col min="30" max="31" width="10.140625" style="449" hidden="1" customWidth="1"/>
    <col min="32" max="32" width="10.140625" style="449" customWidth="1"/>
    <col min="40" max="40" width="10.140625" customWidth="1"/>
  </cols>
  <sheetData>
    <row r="1" spans="1:75" ht="15" customHeight="1" x14ac:dyDescent="0.25">
      <c r="A1" s="1247" t="s">
        <v>287</v>
      </c>
      <c r="B1" s="1248"/>
      <c r="C1" s="1248"/>
      <c r="D1" s="1248"/>
      <c r="E1" s="1248"/>
      <c r="F1" s="1248"/>
      <c r="G1" s="479"/>
      <c r="H1" s="363"/>
      <c r="I1" s="363"/>
      <c r="J1" s="363"/>
      <c r="K1" s="363"/>
      <c r="L1" s="376"/>
      <c r="M1" s="460"/>
      <c r="N1" s="477"/>
      <c r="O1" s="464"/>
      <c r="P1" s="363"/>
      <c r="Q1" s="465"/>
      <c r="R1" s="474"/>
      <c r="S1" s="470"/>
      <c r="T1" s="481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</row>
    <row r="2" spans="1:75" ht="15" customHeight="1" x14ac:dyDescent="0.25">
      <c r="A2" s="1068" t="s">
        <v>0</v>
      </c>
      <c r="B2" s="1068" t="s">
        <v>25</v>
      </c>
      <c r="C2" s="1066" t="s">
        <v>29</v>
      </c>
      <c r="D2" s="1066" t="s">
        <v>72</v>
      </c>
      <c r="E2" s="1068" t="s">
        <v>7</v>
      </c>
      <c r="F2" s="1068" t="s">
        <v>196</v>
      </c>
      <c r="G2" s="1066" t="s">
        <v>96</v>
      </c>
      <c r="H2" s="1068" t="s">
        <v>27</v>
      </c>
      <c r="I2" s="1195" t="s">
        <v>24</v>
      </c>
      <c r="J2" s="1196"/>
      <c r="K2" s="1197"/>
      <c r="L2" s="1017" t="s">
        <v>3</v>
      </c>
      <c r="M2" s="1073"/>
      <c r="N2" s="1073"/>
      <c r="O2" s="1073"/>
      <c r="P2" s="1073"/>
      <c r="Q2" s="1073"/>
      <c r="R2" s="1073"/>
      <c r="S2" s="1073"/>
      <c r="T2" s="1074"/>
      <c r="U2" s="1066" t="s">
        <v>87</v>
      </c>
      <c r="V2" s="1068" t="s">
        <v>28</v>
      </c>
      <c r="W2" s="1068" t="s">
        <v>29</v>
      </c>
      <c r="X2" s="1068" t="s">
        <v>30</v>
      </c>
      <c r="Y2" s="1066" t="s">
        <v>90</v>
      </c>
      <c r="Z2" s="1068" t="s">
        <v>31</v>
      </c>
      <c r="AA2" s="1066" t="s">
        <v>135</v>
      </c>
      <c r="AB2" s="1068" t="s">
        <v>33</v>
      </c>
      <c r="AC2" s="1066" t="s">
        <v>170</v>
      </c>
      <c r="AD2" s="1083" t="s">
        <v>226</v>
      </c>
      <c r="AE2" s="1083" t="s">
        <v>171</v>
      </c>
      <c r="AF2" s="1083" t="s">
        <v>234</v>
      </c>
      <c r="AG2" s="103" t="s">
        <v>144</v>
      </c>
      <c r="AH2" s="2"/>
      <c r="AI2" s="2"/>
      <c r="AJ2" s="2"/>
      <c r="AK2" s="2"/>
      <c r="AL2" s="2"/>
      <c r="AM2" s="270"/>
      <c r="AN2" s="2"/>
    </row>
    <row r="3" spans="1:75" ht="34.5" customHeight="1" x14ac:dyDescent="0.25">
      <c r="A3" s="1069"/>
      <c r="B3" s="1069"/>
      <c r="C3" s="1070"/>
      <c r="D3" s="1067"/>
      <c r="E3" s="1069"/>
      <c r="F3" s="1069"/>
      <c r="G3" s="1075"/>
      <c r="H3" s="1069"/>
      <c r="I3" s="456" t="s">
        <v>26</v>
      </c>
      <c r="J3" s="456" t="s">
        <v>34</v>
      </c>
      <c r="K3" s="456" t="s">
        <v>35</v>
      </c>
      <c r="L3" s="482" t="s">
        <v>5</v>
      </c>
      <c r="M3" s="28" t="s">
        <v>95</v>
      </c>
      <c r="N3" s="27" t="s">
        <v>93</v>
      </c>
      <c r="O3" s="26" t="s">
        <v>91</v>
      </c>
      <c r="P3" s="450" t="s">
        <v>202</v>
      </c>
      <c r="Q3" s="466" t="s">
        <v>206</v>
      </c>
      <c r="R3" s="188" t="s">
        <v>205</v>
      </c>
      <c r="S3" s="471" t="s">
        <v>61</v>
      </c>
      <c r="T3" s="32" t="s">
        <v>62</v>
      </c>
      <c r="U3" s="1070"/>
      <c r="V3" s="1069"/>
      <c r="W3" s="1069"/>
      <c r="X3" s="1069"/>
      <c r="Y3" s="1067"/>
      <c r="Z3" s="1069"/>
      <c r="AA3" s="1067"/>
      <c r="AB3" s="1069"/>
      <c r="AC3" s="1075"/>
      <c r="AD3" s="1085"/>
      <c r="AE3" s="1075"/>
      <c r="AF3" s="1085"/>
      <c r="AG3" s="216"/>
      <c r="AH3" s="29" t="s">
        <v>115</v>
      </c>
      <c r="AI3" s="31" t="s">
        <v>116</v>
      </c>
      <c r="AJ3" s="26" t="s">
        <v>117</v>
      </c>
      <c r="AK3" s="40" t="s">
        <v>244</v>
      </c>
      <c r="AL3" s="121" t="s">
        <v>119</v>
      </c>
      <c r="AM3" s="442" t="s">
        <v>247</v>
      </c>
      <c r="AN3" s="443" t="s">
        <v>3</v>
      </c>
    </row>
    <row r="4" spans="1:75" x14ac:dyDescent="0.25">
      <c r="A4" s="1244" t="s">
        <v>155</v>
      </c>
      <c r="B4" s="1245"/>
      <c r="C4" s="1245"/>
      <c r="D4" s="1245"/>
      <c r="E4" s="1245"/>
      <c r="F4" s="1245"/>
      <c r="G4" s="1245"/>
      <c r="H4" s="1245"/>
      <c r="I4" s="1245"/>
      <c r="J4" s="1245"/>
      <c r="K4" s="1246"/>
      <c r="L4" s="482">
        <f>SUM(L5:L175)</f>
        <v>14655.369999999999</v>
      </c>
      <c r="M4" s="28">
        <f t="shared" ref="M4:T4" si="0">SUM(M5:M179)</f>
        <v>4177.5</v>
      </c>
      <c r="N4" s="27">
        <f t="shared" si="0"/>
        <v>97.01</v>
      </c>
      <c r="O4" s="26">
        <f t="shared" si="0"/>
        <v>705</v>
      </c>
      <c r="P4" s="450">
        <f t="shared" si="0"/>
        <v>3432.86</v>
      </c>
      <c r="Q4" s="466">
        <f t="shared" si="0"/>
        <v>43</v>
      </c>
      <c r="R4" s="188">
        <f t="shared" si="0"/>
        <v>0</v>
      </c>
      <c r="S4" s="471">
        <f t="shared" si="0"/>
        <v>0</v>
      </c>
      <c r="T4" s="32">
        <f t="shared" si="0"/>
        <v>6598</v>
      </c>
      <c r="U4" s="370"/>
      <c r="V4" s="91"/>
      <c r="W4" s="91"/>
      <c r="X4" s="371"/>
      <c r="Y4" s="370"/>
      <c r="Z4" s="91"/>
      <c r="AA4" s="370"/>
      <c r="AB4" s="91"/>
      <c r="AC4" s="91"/>
      <c r="AD4" s="91"/>
      <c r="AE4" s="91"/>
      <c r="AF4" s="91"/>
      <c r="AG4" s="104" t="s">
        <v>154</v>
      </c>
      <c r="AH4" s="18"/>
      <c r="AI4" s="120"/>
      <c r="AJ4" s="15"/>
      <c r="AK4" s="41"/>
      <c r="AL4" s="119"/>
      <c r="AM4" s="185"/>
      <c r="AN4" s="80">
        <f t="shared" ref="AN4:AN14" si="1">SUM(AK4:AM4)</f>
        <v>0</v>
      </c>
    </row>
    <row r="5" spans="1:75" x14ac:dyDescent="0.25">
      <c r="A5" s="358">
        <v>43217</v>
      </c>
      <c r="B5" s="358" t="s">
        <v>361</v>
      </c>
      <c r="C5" s="729" t="s">
        <v>93</v>
      </c>
      <c r="D5" s="359">
        <v>112</v>
      </c>
      <c r="E5" s="17" t="s">
        <v>362</v>
      </c>
      <c r="F5" s="729" t="s">
        <v>363</v>
      </c>
      <c r="G5" s="729"/>
      <c r="H5" s="729" t="s">
        <v>8</v>
      </c>
      <c r="I5" s="729" t="s">
        <v>368</v>
      </c>
      <c r="J5" s="729" t="s">
        <v>395</v>
      </c>
      <c r="K5" s="729" t="s">
        <v>364</v>
      </c>
      <c r="L5" s="375">
        <f>SUM(M5:T5)</f>
        <v>0.3</v>
      </c>
      <c r="M5" s="17"/>
      <c r="N5" s="16">
        <v>0.3</v>
      </c>
      <c r="O5" s="15"/>
      <c r="P5" s="91"/>
      <c r="Q5" s="84"/>
      <c r="R5" s="187"/>
      <c r="S5" s="89"/>
      <c r="T5" s="446"/>
      <c r="U5" s="358">
        <v>43217</v>
      </c>
      <c r="V5" s="358">
        <v>43217</v>
      </c>
      <c r="W5" s="729" t="s">
        <v>365</v>
      </c>
      <c r="X5" s="729" t="s">
        <v>312</v>
      </c>
      <c r="Y5" s="729" t="s">
        <v>313</v>
      </c>
      <c r="Z5" s="729" t="s">
        <v>313</v>
      </c>
      <c r="AA5" s="729" t="s">
        <v>313</v>
      </c>
      <c r="AB5" s="729" t="s">
        <v>315</v>
      </c>
      <c r="AC5" s="729" t="s">
        <v>315</v>
      </c>
      <c r="AD5" s="729"/>
      <c r="AE5" s="729"/>
      <c r="AF5" s="729" t="s">
        <v>316</v>
      </c>
      <c r="AG5" s="105" t="s">
        <v>120</v>
      </c>
      <c r="AH5" s="18"/>
      <c r="AI5" s="120"/>
      <c r="AJ5" s="15"/>
      <c r="AK5" s="41"/>
      <c r="AL5" s="119"/>
      <c r="AM5" s="185"/>
      <c r="AN5" s="80">
        <f t="shared" si="1"/>
        <v>0</v>
      </c>
    </row>
    <row r="6" spans="1:75" x14ac:dyDescent="0.25">
      <c r="A6" s="817">
        <v>43232</v>
      </c>
      <c r="B6" s="817" t="s">
        <v>376</v>
      </c>
      <c r="C6" s="828" t="s">
        <v>265</v>
      </c>
      <c r="D6" s="819">
        <v>170</v>
      </c>
      <c r="E6" s="828" t="s">
        <v>377</v>
      </c>
      <c r="F6" s="828"/>
      <c r="G6" s="828"/>
      <c r="H6" s="828" t="s">
        <v>327</v>
      </c>
      <c r="I6" s="828" t="s">
        <v>378</v>
      </c>
      <c r="J6" s="828" t="s">
        <v>379</v>
      </c>
      <c r="K6" s="828" t="s">
        <v>380</v>
      </c>
      <c r="L6" s="375">
        <f t="shared" ref="L6:L80" si="2">SUM(M6:T6)</f>
        <v>0</v>
      </c>
      <c r="M6" s="17"/>
      <c r="N6" s="16"/>
      <c r="O6" s="15"/>
      <c r="P6" s="91"/>
      <c r="Q6" s="84"/>
      <c r="R6" s="187"/>
      <c r="S6" s="89"/>
      <c r="T6" s="446"/>
      <c r="U6" s="817"/>
      <c r="V6" s="817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105" t="s">
        <v>122</v>
      </c>
      <c r="AH6" s="18"/>
      <c r="AI6" s="120"/>
      <c r="AJ6" s="15"/>
      <c r="AK6" s="41"/>
      <c r="AL6" s="119"/>
      <c r="AM6" s="185"/>
      <c r="AN6" s="80">
        <f t="shared" si="1"/>
        <v>0</v>
      </c>
    </row>
    <row r="7" spans="1:75" x14ac:dyDescent="0.25">
      <c r="A7" s="817">
        <v>43240</v>
      </c>
      <c r="B7" s="817" t="s">
        <v>401</v>
      </c>
      <c r="C7" s="831" t="s">
        <v>265</v>
      </c>
      <c r="D7" s="819">
        <v>195</v>
      </c>
      <c r="E7" s="831" t="s">
        <v>394</v>
      </c>
      <c r="F7" s="831"/>
      <c r="G7" s="831"/>
      <c r="H7" s="831" t="s">
        <v>327</v>
      </c>
      <c r="I7" s="831" t="s">
        <v>402</v>
      </c>
      <c r="J7" s="831" t="s">
        <v>403</v>
      </c>
      <c r="K7" s="831" t="s">
        <v>404</v>
      </c>
      <c r="L7" s="375">
        <f t="shared" si="2"/>
        <v>0</v>
      </c>
      <c r="M7" s="17"/>
      <c r="N7" s="16"/>
      <c r="O7" s="15"/>
      <c r="P7" s="91"/>
      <c r="Q7" s="84"/>
      <c r="R7" s="187"/>
      <c r="S7" s="89"/>
      <c r="T7" s="201"/>
      <c r="U7" s="817"/>
      <c r="V7" s="817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105" t="s">
        <v>123</v>
      </c>
      <c r="AH7" s="18"/>
      <c r="AI7" s="120"/>
      <c r="AJ7" s="15"/>
      <c r="AK7" s="41"/>
      <c r="AL7" s="119"/>
      <c r="AM7" s="185"/>
      <c r="AN7" s="80">
        <f>SUM(AK7:AM7)</f>
        <v>0</v>
      </c>
    </row>
    <row r="8" spans="1:75" x14ac:dyDescent="0.25">
      <c r="A8" s="358">
        <v>43248</v>
      </c>
      <c r="B8" s="358" t="s">
        <v>434</v>
      </c>
      <c r="C8" s="729" t="s">
        <v>93</v>
      </c>
      <c r="D8" s="359">
        <v>230</v>
      </c>
      <c r="E8" s="17" t="s">
        <v>431</v>
      </c>
      <c r="F8" s="729" t="s">
        <v>436</v>
      </c>
      <c r="G8" s="729"/>
      <c r="H8" s="729" t="s">
        <v>9</v>
      </c>
      <c r="I8" s="729" t="s">
        <v>437</v>
      </c>
      <c r="J8" s="729" t="s">
        <v>819</v>
      </c>
      <c r="K8" s="729" t="s">
        <v>820</v>
      </c>
      <c r="L8" s="375">
        <f t="shared" si="2"/>
        <v>0.1</v>
      </c>
      <c r="M8" s="17"/>
      <c r="N8" s="16">
        <v>0.1</v>
      </c>
      <c r="O8" s="15"/>
      <c r="P8" s="520"/>
      <c r="Q8" s="84"/>
      <c r="R8" s="187"/>
      <c r="S8" s="89"/>
      <c r="T8" s="201"/>
      <c r="U8" s="358">
        <v>43248</v>
      </c>
      <c r="V8" s="358">
        <v>43248</v>
      </c>
      <c r="W8" s="729" t="s">
        <v>365</v>
      </c>
      <c r="X8" s="729" t="s">
        <v>312</v>
      </c>
      <c r="Y8" s="729" t="s">
        <v>313</v>
      </c>
      <c r="Z8" s="729" t="s">
        <v>314</v>
      </c>
      <c r="AA8" s="729" t="s">
        <v>313</v>
      </c>
      <c r="AB8" s="729" t="s">
        <v>315</v>
      </c>
      <c r="AC8" s="729" t="s">
        <v>315</v>
      </c>
      <c r="AD8" s="729"/>
      <c r="AE8" s="729"/>
      <c r="AF8" s="729" t="s">
        <v>392</v>
      </c>
      <c r="AG8" s="105" t="s">
        <v>124</v>
      </c>
      <c r="AH8" s="18"/>
      <c r="AI8" s="120"/>
      <c r="AJ8" s="15"/>
      <c r="AK8" s="41"/>
      <c r="AL8" s="119"/>
      <c r="AM8" s="185"/>
      <c r="AN8" s="80">
        <f t="shared" si="1"/>
        <v>0</v>
      </c>
    </row>
    <row r="9" spans="1:75" x14ac:dyDescent="0.25">
      <c r="A9" s="358">
        <v>43248</v>
      </c>
      <c r="B9" s="358" t="s">
        <v>435</v>
      </c>
      <c r="C9" s="729" t="s">
        <v>265</v>
      </c>
      <c r="D9" s="359">
        <v>233</v>
      </c>
      <c r="E9" s="17" t="s">
        <v>433</v>
      </c>
      <c r="F9" s="729" t="s">
        <v>442</v>
      </c>
      <c r="G9" s="729"/>
      <c r="H9" s="729" t="s">
        <v>9</v>
      </c>
      <c r="I9" s="729" t="s">
        <v>440</v>
      </c>
      <c r="J9" s="729" t="s">
        <v>441</v>
      </c>
      <c r="K9" s="729" t="s">
        <v>919</v>
      </c>
      <c r="L9" s="375">
        <f t="shared" si="2"/>
        <v>0.18</v>
      </c>
      <c r="M9" s="17"/>
      <c r="N9" s="16"/>
      <c r="O9" s="15"/>
      <c r="P9" s="520">
        <v>0.18</v>
      </c>
      <c r="Q9" s="84"/>
      <c r="R9" s="187"/>
      <c r="S9" s="89"/>
      <c r="T9" s="201"/>
      <c r="U9" s="358">
        <v>43248</v>
      </c>
      <c r="V9" s="358">
        <v>43248</v>
      </c>
      <c r="W9" s="729" t="s">
        <v>2</v>
      </c>
      <c r="X9" s="729" t="s">
        <v>312</v>
      </c>
      <c r="Y9" s="729" t="s">
        <v>313</v>
      </c>
      <c r="Z9" s="729" t="s">
        <v>313</v>
      </c>
      <c r="AA9" s="729" t="s">
        <v>313</v>
      </c>
      <c r="AB9" s="729" t="s">
        <v>315</v>
      </c>
      <c r="AC9" s="729" t="s">
        <v>315</v>
      </c>
      <c r="AD9" s="729"/>
      <c r="AE9" s="729"/>
      <c r="AF9" s="729" t="s">
        <v>392</v>
      </c>
      <c r="AG9" s="105" t="s">
        <v>125</v>
      </c>
      <c r="AH9" s="18"/>
      <c r="AI9" s="120"/>
      <c r="AJ9" s="15"/>
      <c r="AK9" s="41"/>
      <c r="AL9" s="119"/>
      <c r="AM9" s="185"/>
      <c r="AN9" s="80">
        <f t="shared" si="1"/>
        <v>0</v>
      </c>
    </row>
    <row r="10" spans="1:75" x14ac:dyDescent="0.25">
      <c r="A10" s="358">
        <v>43249</v>
      </c>
      <c r="B10" s="358" t="s">
        <v>446</v>
      </c>
      <c r="C10" s="729" t="s">
        <v>265</v>
      </c>
      <c r="D10" s="359">
        <v>237</v>
      </c>
      <c r="E10" s="17" t="s">
        <v>444</v>
      </c>
      <c r="F10" s="729" t="s">
        <v>920</v>
      </c>
      <c r="G10" s="729"/>
      <c r="H10" s="729" t="s">
        <v>9</v>
      </c>
      <c r="I10" s="729" t="s">
        <v>447</v>
      </c>
      <c r="J10" s="729" t="s">
        <v>448</v>
      </c>
      <c r="K10" s="729" t="s">
        <v>449</v>
      </c>
      <c r="L10" s="375">
        <f t="shared" si="2"/>
        <v>1.69</v>
      </c>
      <c r="M10" s="17"/>
      <c r="N10" s="16"/>
      <c r="O10" s="15"/>
      <c r="P10" s="91">
        <v>1.69</v>
      </c>
      <c r="Q10" s="84"/>
      <c r="R10" s="187"/>
      <c r="S10" s="89"/>
      <c r="T10" s="201"/>
      <c r="U10" s="358">
        <v>43251</v>
      </c>
      <c r="V10" s="358">
        <v>43251</v>
      </c>
      <c r="W10" s="729" t="s">
        <v>2</v>
      </c>
      <c r="X10" s="729" t="s">
        <v>94</v>
      </c>
      <c r="Y10" s="729" t="s">
        <v>313</v>
      </c>
      <c r="Z10" s="729" t="s">
        <v>314</v>
      </c>
      <c r="AA10" s="729" t="s">
        <v>314</v>
      </c>
      <c r="AB10" s="729" t="s">
        <v>315</v>
      </c>
      <c r="AC10" s="729" t="s">
        <v>315</v>
      </c>
      <c r="AD10" s="729"/>
      <c r="AE10" s="729"/>
      <c r="AF10" s="729" t="s">
        <v>316</v>
      </c>
      <c r="AG10" s="105" t="s">
        <v>126</v>
      </c>
      <c r="AH10" s="18"/>
      <c r="AI10" s="120"/>
      <c r="AJ10" s="15"/>
      <c r="AK10" s="41"/>
      <c r="AL10" s="119"/>
      <c r="AM10" s="185"/>
      <c r="AN10" s="80">
        <f t="shared" si="1"/>
        <v>0</v>
      </c>
    </row>
    <row r="11" spans="1:75" x14ac:dyDescent="0.25">
      <c r="A11" s="358">
        <v>43255</v>
      </c>
      <c r="B11" s="729" t="s">
        <v>477</v>
      </c>
      <c r="C11" s="729" t="s">
        <v>265</v>
      </c>
      <c r="D11" s="729">
        <v>265</v>
      </c>
      <c r="E11" s="17" t="s">
        <v>462</v>
      </c>
      <c r="F11" s="729" t="s">
        <v>478</v>
      </c>
      <c r="G11" s="729" t="s">
        <v>479</v>
      </c>
      <c r="H11" s="729" t="s">
        <v>8</v>
      </c>
      <c r="I11" s="729" t="s">
        <v>480</v>
      </c>
      <c r="J11" s="729" t="s">
        <v>481</v>
      </c>
      <c r="K11" s="729" t="s">
        <v>921</v>
      </c>
      <c r="L11" s="375">
        <f t="shared" si="2"/>
        <v>0.1</v>
      </c>
      <c r="M11" s="17"/>
      <c r="N11" s="16"/>
      <c r="O11" s="15"/>
      <c r="P11" s="729">
        <v>0.1</v>
      </c>
      <c r="Q11" s="84"/>
      <c r="R11" s="187"/>
      <c r="S11" s="89"/>
      <c r="T11" s="201"/>
      <c r="U11" s="720">
        <v>43255</v>
      </c>
      <c r="V11" s="720">
        <v>43255</v>
      </c>
      <c r="W11" s="729" t="s">
        <v>2</v>
      </c>
      <c r="X11" s="729" t="s">
        <v>312</v>
      </c>
      <c r="Y11" s="729" t="s">
        <v>313</v>
      </c>
      <c r="Z11" s="729" t="s">
        <v>314</v>
      </c>
      <c r="AA11" s="729" t="s">
        <v>313</v>
      </c>
      <c r="AB11" s="729" t="s">
        <v>315</v>
      </c>
      <c r="AC11" s="729" t="s">
        <v>315</v>
      </c>
      <c r="AD11" s="729"/>
      <c r="AE11" s="729"/>
      <c r="AF11" s="729" t="s">
        <v>392</v>
      </c>
      <c r="AG11" s="105" t="s">
        <v>127</v>
      </c>
      <c r="AH11" s="18"/>
      <c r="AI11" s="120"/>
      <c r="AJ11" s="15"/>
      <c r="AK11" s="41"/>
      <c r="AL11" s="119"/>
      <c r="AM11" s="185"/>
      <c r="AN11" s="80">
        <f t="shared" si="1"/>
        <v>0</v>
      </c>
    </row>
    <row r="12" spans="1:75" s="447" customFormat="1" x14ac:dyDescent="0.25">
      <c r="A12" s="817">
        <v>43266</v>
      </c>
      <c r="B12" s="868" t="s">
        <v>555</v>
      </c>
      <c r="C12" s="868" t="s">
        <v>265</v>
      </c>
      <c r="D12" s="868">
        <v>329</v>
      </c>
      <c r="E12" s="868" t="s">
        <v>556</v>
      </c>
      <c r="F12" s="868"/>
      <c r="G12" s="868"/>
      <c r="H12" s="868" t="s">
        <v>327</v>
      </c>
      <c r="I12" s="868" t="s">
        <v>557</v>
      </c>
      <c r="J12" s="868" t="s">
        <v>558</v>
      </c>
      <c r="K12" s="868" t="s">
        <v>559</v>
      </c>
      <c r="L12" s="375">
        <f t="shared" si="2"/>
        <v>0</v>
      </c>
      <c r="M12" s="17"/>
      <c r="N12" s="16"/>
      <c r="O12" s="15"/>
      <c r="P12" s="871"/>
      <c r="Q12" s="84"/>
      <c r="R12" s="187"/>
      <c r="S12" s="89"/>
      <c r="T12" s="868"/>
      <c r="U12" s="817"/>
      <c r="V12" s="817"/>
      <c r="W12" s="868"/>
      <c r="X12" s="868"/>
      <c r="Y12" s="868"/>
      <c r="Z12" s="868"/>
      <c r="AA12" s="868"/>
      <c r="AB12" s="868"/>
      <c r="AC12" s="868"/>
      <c r="AD12" s="868"/>
      <c r="AE12" s="868"/>
      <c r="AF12" s="868"/>
      <c r="AG12" s="105" t="s">
        <v>128</v>
      </c>
      <c r="AH12" s="18"/>
      <c r="AI12" s="870"/>
      <c r="AJ12" s="15"/>
      <c r="AK12" s="41"/>
      <c r="AL12" s="869"/>
      <c r="AM12" s="185"/>
      <c r="AN12" s="80">
        <f t="shared" si="1"/>
        <v>0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x14ac:dyDescent="0.25">
      <c r="A13" s="358">
        <v>43267</v>
      </c>
      <c r="B13" s="358" t="s">
        <v>565</v>
      </c>
      <c r="C13" s="729" t="s">
        <v>267</v>
      </c>
      <c r="D13" s="359">
        <v>333</v>
      </c>
      <c r="E13" s="17" t="s">
        <v>566</v>
      </c>
      <c r="F13" s="729" t="s">
        <v>436</v>
      </c>
      <c r="G13" s="729"/>
      <c r="H13" s="729" t="s">
        <v>8</v>
      </c>
      <c r="I13" s="729" t="s">
        <v>947</v>
      </c>
      <c r="J13" s="729" t="s">
        <v>948</v>
      </c>
      <c r="K13" s="729" t="s">
        <v>949</v>
      </c>
      <c r="L13" s="375">
        <f t="shared" si="2"/>
        <v>12.36</v>
      </c>
      <c r="M13" s="17"/>
      <c r="N13" s="16"/>
      <c r="O13" s="15"/>
      <c r="P13" s="91">
        <v>12.36</v>
      </c>
      <c r="Q13" s="84"/>
      <c r="R13" s="187"/>
      <c r="S13" s="89"/>
      <c r="T13" s="446"/>
      <c r="U13" s="358">
        <v>43267</v>
      </c>
      <c r="V13" s="358">
        <v>43267</v>
      </c>
      <c r="W13" s="358" t="s">
        <v>2</v>
      </c>
      <c r="X13" s="358" t="s">
        <v>577</v>
      </c>
      <c r="Y13" s="729" t="s">
        <v>313</v>
      </c>
      <c r="Z13" s="729" t="s">
        <v>314</v>
      </c>
      <c r="AA13" s="729" t="s">
        <v>313</v>
      </c>
      <c r="AB13" s="729" t="s">
        <v>313</v>
      </c>
      <c r="AC13" s="729" t="s">
        <v>315</v>
      </c>
      <c r="AD13" s="729"/>
      <c r="AE13" s="729"/>
      <c r="AF13" s="729" t="s">
        <v>321</v>
      </c>
      <c r="AG13" s="105" t="s">
        <v>129</v>
      </c>
      <c r="AH13" s="18"/>
      <c r="AI13" s="176"/>
      <c r="AJ13" s="15"/>
      <c r="AK13" s="41"/>
      <c r="AL13" s="175"/>
      <c r="AM13" s="185"/>
      <c r="AN13" s="80">
        <f t="shared" si="1"/>
        <v>0</v>
      </c>
    </row>
    <row r="14" spans="1:75" x14ac:dyDescent="0.25">
      <c r="A14" s="817">
        <v>43284</v>
      </c>
      <c r="B14" s="817" t="s">
        <v>669</v>
      </c>
      <c r="C14" s="931" t="s">
        <v>95</v>
      </c>
      <c r="D14" s="819">
        <v>425</v>
      </c>
      <c r="E14" s="813" t="s">
        <v>659</v>
      </c>
      <c r="F14" s="931" t="s">
        <v>681</v>
      </c>
      <c r="G14" s="931"/>
      <c r="H14" s="931" t="s">
        <v>367</v>
      </c>
      <c r="I14" s="931" t="s">
        <v>674</v>
      </c>
      <c r="J14" s="931" t="s">
        <v>695</v>
      </c>
      <c r="K14" s="931" t="s">
        <v>696</v>
      </c>
      <c r="L14" s="375">
        <f>SUM(M14:T14)</f>
        <v>7.5</v>
      </c>
      <c r="M14" s="17">
        <v>7.5</v>
      </c>
      <c r="N14" s="16"/>
      <c r="O14" s="15"/>
      <c r="P14" s="91"/>
      <c r="Q14" s="84"/>
      <c r="R14" s="187"/>
      <c r="S14" s="89"/>
      <c r="T14" s="446"/>
      <c r="U14" s="817"/>
      <c r="V14" s="817"/>
      <c r="W14" s="817"/>
      <c r="X14" s="817"/>
      <c r="Y14" s="895"/>
      <c r="Z14" s="895"/>
      <c r="AA14" s="895"/>
      <c r="AB14" s="895"/>
      <c r="AC14" s="895"/>
      <c r="AD14" s="895"/>
      <c r="AE14" s="895"/>
      <c r="AF14" s="895"/>
      <c r="AG14" s="105" t="s">
        <v>5</v>
      </c>
      <c r="AH14" s="18"/>
      <c r="AI14" s="120"/>
      <c r="AJ14" s="130"/>
      <c r="AK14" s="41"/>
      <c r="AL14" s="350"/>
      <c r="AM14" s="185"/>
      <c r="AN14" s="80">
        <f t="shared" si="1"/>
        <v>0</v>
      </c>
    </row>
    <row r="15" spans="1:75" x14ac:dyDescent="0.25">
      <c r="A15" s="817">
        <v>43285</v>
      </c>
      <c r="B15" s="817" t="s">
        <v>682</v>
      </c>
      <c r="C15" s="931" t="s">
        <v>206</v>
      </c>
      <c r="D15" s="819">
        <v>441</v>
      </c>
      <c r="E15" s="813" t="s">
        <v>1017</v>
      </c>
      <c r="F15" s="931" t="s">
        <v>683</v>
      </c>
      <c r="G15" s="931"/>
      <c r="H15" s="931" t="s">
        <v>367</v>
      </c>
      <c r="I15" s="931" t="s">
        <v>684</v>
      </c>
      <c r="J15" s="931" t="s">
        <v>723</v>
      </c>
      <c r="K15" s="931" t="s">
        <v>1018</v>
      </c>
      <c r="L15" s="375">
        <f>SUM(M15:T15)</f>
        <v>16</v>
      </c>
      <c r="M15" s="17">
        <v>16</v>
      </c>
      <c r="N15" s="16"/>
      <c r="O15" s="15"/>
      <c r="P15" s="929"/>
      <c r="Q15" s="84"/>
      <c r="R15" s="187"/>
      <c r="S15" s="89"/>
      <c r="T15" s="930"/>
      <c r="U15" s="817"/>
      <c r="V15" s="817"/>
      <c r="W15" s="817"/>
      <c r="X15" s="817"/>
      <c r="Y15" s="930"/>
      <c r="Z15" s="930"/>
      <c r="AA15" s="930"/>
      <c r="AB15" s="930"/>
      <c r="AC15" s="930"/>
      <c r="AD15" s="930"/>
      <c r="AE15" s="930"/>
      <c r="AF15" s="930"/>
      <c r="AG15" s="631"/>
      <c r="AH15" s="632"/>
      <c r="AI15" s="633"/>
      <c r="AJ15" s="634"/>
      <c r="AK15" s="635"/>
      <c r="AL15" s="21"/>
      <c r="AM15" s="636"/>
      <c r="AN15" s="637"/>
    </row>
    <row r="16" spans="1:75" x14ac:dyDescent="0.25">
      <c r="A16" s="817">
        <v>43285</v>
      </c>
      <c r="B16" s="817" t="s">
        <v>685</v>
      </c>
      <c r="C16" s="931" t="s">
        <v>91</v>
      </c>
      <c r="D16" s="819">
        <v>445</v>
      </c>
      <c r="E16" s="813" t="s">
        <v>1027</v>
      </c>
      <c r="F16" s="931" t="s">
        <v>686</v>
      </c>
      <c r="G16" s="931"/>
      <c r="H16" s="931" t="s">
        <v>367</v>
      </c>
      <c r="I16" s="931" t="s">
        <v>687</v>
      </c>
      <c r="J16" s="931" t="s">
        <v>1028</v>
      </c>
      <c r="K16" s="931" t="s">
        <v>1029</v>
      </c>
      <c r="L16" s="375">
        <f>SUM(M16:T16)</f>
        <v>7</v>
      </c>
      <c r="M16" s="17">
        <v>7</v>
      </c>
      <c r="N16" s="16"/>
      <c r="O16" s="15"/>
      <c r="P16" s="932"/>
      <c r="Q16" s="84"/>
      <c r="R16" s="187"/>
      <c r="S16" s="89"/>
      <c r="T16" s="931"/>
      <c r="U16" s="817"/>
      <c r="V16" s="817"/>
      <c r="W16" s="817"/>
      <c r="X16" s="817"/>
      <c r="Y16" s="931"/>
      <c r="Z16" s="931"/>
      <c r="AA16" s="931"/>
      <c r="AB16" s="931"/>
      <c r="AC16" s="931"/>
      <c r="AD16" s="931"/>
      <c r="AE16" s="931"/>
      <c r="AF16" s="931"/>
      <c r="AG16" s="631"/>
      <c r="AH16" s="632"/>
      <c r="AI16" s="633"/>
      <c r="AJ16" s="634"/>
      <c r="AK16" s="635"/>
      <c r="AL16" s="21"/>
      <c r="AM16" s="636"/>
      <c r="AN16" s="637"/>
    </row>
    <row r="17" spans="1:40" x14ac:dyDescent="0.25">
      <c r="A17" s="817">
        <v>43295</v>
      </c>
      <c r="B17" s="817"/>
      <c r="C17" s="892"/>
      <c r="D17" s="819"/>
      <c r="E17" s="892" t="s">
        <v>753</v>
      </c>
      <c r="F17" s="892"/>
      <c r="G17" s="892"/>
      <c r="H17" s="892" t="s">
        <v>327</v>
      </c>
      <c r="I17" s="892"/>
      <c r="J17" s="892"/>
      <c r="K17" s="892"/>
      <c r="L17" s="375">
        <f t="shared" si="2"/>
        <v>0</v>
      </c>
      <c r="M17" s="17"/>
      <c r="N17" s="16"/>
      <c r="O17" s="15"/>
      <c r="P17" s="629"/>
      <c r="Q17" s="84"/>
      <c r="R17" s="187"/>
      <c r="S17" s="89"/>
      <c r="T17" s="630"/>
      <c r="U17" s="817"/>
      <c r="V17" s="817"/>
      <c r="W17" s="817"/>
      <c r="X17" s="817"/>
      <c r="Y17" s="895"/>
      <c r="Z17" s="895"/>
      <c r="AA17" s="895"/>
      <c r="AB17" s="895"/>
      <c r="AC17" s="895"/>
      <c r="AD17" s="895"/>
      <c r="AE17" s="895"/>
      <c r="AF17" s="895"/>
      <c r="AG17" s="631"/>
      <c r="AH17" s="632"/>
      <c r="AI17" s="633"/>
      <c r="AJ17" s="634"/>
      <c r="AK17" s="635"/>
      <c r="AL17" s="21"/>
      <c r="AM17" s="636"/>
      <c r="AN17" s="637"/>
    </row>
    <row r="18" spans="1:40" x14ac:dyDescent="0.25">
      <c r="A18" s="817">
        <v>43295</v>
      </c>
      <c r="B18" s="817"/>
      <c r="C18" s="892"/>
      <c r="D18" s="819"/>
      <c r="E18" s="892" t="s">
        <v>756</v>
      </c>
      <c r="F18" s="892"/>
      <c r="G18" s="892"/>
      <c r="H18" s="892" t="s">
        <v>327</v>
      </c>
      <c r="I18" s="892"/>
      <c r="J18" s="892"/>
      <c r="K18" s="892"/>
      <c r="L18" s="375">
        <f t="shared" si="2"/>
        <v>0</v>
      </c>
      <c r="M18" s="17"/>
      <c r="N18" s="16"/>
      <c r="O18" s="15"/>
      <c r="P18" s="629"/>
      <c r="Q18" s="84"/>
      <c r="R18" s="187"/>
      <c r="S18" s="89"/>
      <c r="T18" s="630"/>
      <c r="U18" s="817"/>
      <c r="V18" s="817"/>
      <c r="W18" s="817"/>
      <c r="X18" s="817"/>
      <c r="Y18" s="895"/>
      <c r="Z18" s="895"/>
      <c r="AA18" s="895"/>
      <c r="AB18" s="895"/>
      <c r="AC18" s="895"/>
      <c r="AD18" s="895"/>
      <c r="AE18" s="895"/>
      <c r="AF18" s="895"/>
      <c r="AG18" s="631"/>
      <c r="AH18" s="632"/>
      <c r="AI18" s="633"/>
      <c r="AJ18" s="634"/>
      <c r="AK18" s="635"/>
      <c r="AL18" s="21"/>
      <c r="AM18" s="636"/>
      <c r="AN18" s="637"/>
    </row>
    <row r="19" spans="1:40" x14ac:dyDescent="0.25">
      <c r="A19" s="358">
        <v>43296</v>
      </c>
      <c r="B19" s="358" t="s">
        <v>773</v>
      </c>
      <c r="C19" s="729" t="s">
        <v>265</v>
      </c>
      <c r="D19" s="359">
        <v>527</v>
      </c>
      <c r="E19" s="17" t="s">
        <v>771</v>
      </c>
      <c r="F19" s="729" t="s">
        <v>427</v>
      </c>
      <c r="G19" s="729"/>
      <c r="H19" s="729" t="s">
        <v>8</v>
      </c>
      <c r="I19" s="729" t="s">
        <v>1134</v>
      </c>
      <c r="J19" s="729" t="s">
        <v>860</v>
      </c>
      <c r="K19" s="729" t="s">
        <v>1135</v>
      </c>
      <c r="L19" s="375">
        <f t="shared" si="2"/>
        <v>524</v>
      </c>
      <c r="M19" s="138">
        <v>259</v>
      </c>
      <c r="N19" s="134">
        <v>96</v>
      </c>
      <c r="O19" s="130"/>
      <c r="P19" s="183">
        <v>126</v>
      </c>
      <c r="Q19" s="84">
        <v>43</v>
      </c>
      <c r="R19" s="187"/>
      <c r="S19" s="89"/>
      <c r="T19" s="446"/>
      <c r="U19" s="358">
        <v>43297</v>
      </c>
      <c r="V19" s="358">
        <v>43300</v>
      </c>
      <c r="W19" s="729" t="s">
        <v>2</v>
      </c>
      <c r="X19" s="729" t="s">
        <v>94</v>
      </c>
      <c r="Y19" s="729" t="s">
        <v>313</v>
      </c>
      <c r="Z19" s="729" t="s">
        <v>313</v>
      </c>
      <c r="AA19" s="729" t="s">
        <v>313</v>
      </c>
      <c r="AB19" s="729" t="s">
        <v>313</v>
      </c>
      <c r="AC19" s="729" t="s">
        <v>313</v>
      </c>
      <c r="AD19" s="729"/>
      <c r="AE19" s="729"/>
      <c r="AF19" s="729" t="s">
        <v>697</v>
      </c>
    </row>
    <row r="20" spans="1:40" x14ac:dyDescent="0.25">
      <c r="A20" s="817">
        <v>43297</v>
      </c>
      <c r="B20" s="817" t="s">
        <v>786</v>
      </c>
      <c r="C20" s="931" t="s">
        <v>91</v>
      </c>
      <c r="D20" s="819">
        <v>534</v>
      </c>
      <c r="E20" s="813" t="s">
        <v>845</v>
      </c>
      <c r="F20" s="931" t="s">
        <v>383</v>
      </c>
      <c r="G20" s="931"/>
      <c r="H20" s="931" t="s">
        <v>367</v>
      </c>
      <c r="I20" s="931" t="s">
        <v>800</v>
      </c>
      <c r="J20" s="931" t="s">
        <v>801</v>
      </c>
      <c r="K20" s="931" t="s">
        <v>859</v>
      </c>
      <c r="L20" s="375">
        <f t="shared" si="2"/>
        <v>523</v>
      </c>
      <c r="M20" s="138">
        <v>523</v>
      </c>
      <c r="N20" s="134"/>
      <c r="O20" s="130"/>
      <c r="P20" s="183"/>
      <c r="Q20" s="84"/>
      <c r="R20" s="187"/>
      <c r="S20" s="89"/>
      <c r="T20" s="901"/>
      <c r="U20" s="817"/>
      <c r="V20" s="817"/>
      <c r="W20" s="917"/>
      <c r="X20" s="917"/>
      <c r="Y20" s="917"/>
      <c r="Z20" s="917"/>
      <c r="AA20" s="917"/>
      <c r="AB20" s="917"/>
      <c r="AC20" s="917"/>
      <c r="AD20" s="917"/>
      <c r="AE20" s="917"/>
      <c r="AF20" s="917"/>
    </row>
    <row r="21" spans="1:40" x14ac:dyDescent="0.25">
      <c r="A21" s="358">
        <v>43301</v>
      </c>
      <c r="B21" s="358" t="s">
        <v>840</v>
      </c>
      <c r="C21" s="729" t="s">
        <v>265</v>
      </c>
      <c r="D21" s="359">
        <v>575</v>
      </c>
      <c r="E21" s="17" t="s">
        <v>831</v>
      </c>
      <c r="F21" s="729" t="s">
        <v>841</v>
      </c>
      <c r="G21" s="729" t="s">
        <v>842</v>
      </c>
      <c r="H21" s="729" t="s">
        <v>8</v>
      </c>
      <c r="I21" s="729" t="s">
        <v>843</v>
      </c>
      <c r="J21" s="729" t="s">
        <v>844</v>
      </c>
      <c r="K21" s="729" t="s">
        <v>1177</v>
      </c>
      <c r="L21" s="375">
        <f t="shared" si="2"/>
        <v>0.1</v>
      </c>
      <c r="M21" s="138"/>
      <c r="N21" s="134"/>
      <c r="O21" s="130"/>
      <c r="P21" s="183">
        <v>0.1</v>
      </c>
      <c r="Q21" s="84"/>
      <c r="R21" s="187"/>
      <c r="S21" s="89"/>
      <c r="T21" s="446"/>
      <c r="U21" s="358">
        <v>43301</v>
      </c>
      <c r="V21" s="358">
        <v>43301</v>
      </c>
      <c r="W21" s="729" t="s">
        <v>2</v>
      </c>
      <c r="X21" s="729" t="s">
        <v>94</v>
      </c>
      <c r="Y21" s="729" t="s">
        <v>313</v>
      </c>
      <c r="Z21" s="729" t="s">
        <v>313</v>
      </c>
      <c r="AA21" s="729" t="s">
        <v>313</v>
      </c>
      <c r="AB21" s="729" t="s">
        <v>315</v>
      </c>
      <c r="AC21" s="729" t="s">
        <v>315</v>
      </c>
      <c r="AD21" s="729"/>
      <c r="AE21" s="729"/>
      <c r="AF21" s="729" t="s">
        <v>392</v>
      </c>
      <c r="AG21" s="212"/>
      <c r="AH21" s="193"/>
      <c r="AI21" s="193"/>
      <c r="AJ21" s="193"/>
      <c r="AK21" s="193"/>
      <c r="AL21" s="193"/>
      <c r="AM21" s="193"/>
      <c r="AN21" s="193"/>
    </row>
    <row r="22" spans="1:40" x14ac:dyDescent="0.25">
      <c r="A22" s="358">
        <v>43302</v>
      </c>
      <c r="B22" s="358" t="s">
        <v>854</v>
      </c>
      <c r="C22" s="729" t="s">
        <v>265</v>
      </c>
      <c r="D22" s="359">
        <v>586</v>
      </c>
      <c r="E22" s="17" t="s">
        <v>847</v>
      </c>
      <c r="F22" s="729" t="s">
        <v>436</v>
      </c>
      <c r="G22" s="729" t="s">
        <v>855</v>
      </c>
      <c r="H22" s="729" t="s">
        <v>8</v>
      </c>
      <c r="I22" s="729" t="s">
        <v>856</v>
      </c>
      <c r="J22" s="729" t="s">
        <v>1180</v>
      </c>
      <c r="K22" s="729" t="s">
        <v>861</v>
      </c>
      <c r="L22" s="375">
        <f t="shared" si="2"/>
        <v>2.7</v>
      </c>
      <c r="M22" s="138"/>
      <c r="N22" s="134"/>
      <c r="O22" s="130"/>
      <c r="P22" s="183">
        <v>2.7</v>
      </c>
      <c r="Q22" s="84"/>
      <c r="R22" s="187"/>
      <c r="S22" s="89"/>
      <c r="T22" s="446"/>
      <c r="U22" s="358">
        <v>43303</v>
      </c>
      <c r="V22" s="358">
        <v>43303</v>
      </c>
      <c r="W22" s="729" t="s">
        <v>2</v>
      </c>
      <c r="X22" s="729" t="s">
        <v>312</v>
      </c>
      <c r="Y22" s="729" t="s">
        <v>313</v>
      </c>
      <c r="Z22" s="729" t="s">
        <v>313</v>
      </c>
      <c r="AA22" s="729" t="s">
        <v>313</v>
      </c>
      <c r="AB22" s="729" t="s">
        <v>315</v>
      </c>
      <c r="AC22" s="729" t="s">
        <v>315</v>
      </c>
      <c r="AD22" s="729"/>
      <c r="AE22" s="729"/>
      <c r="AF22" s="729" t="s">
        <v>316</v>
      </c>
      <c r="AG22" s="212"/>
      <c r="AH22" s="193"/>
      <c r="AI22" s="193"/>
      <c r="AJ22" s="193"/>
      <c r="AK22" s="193"/>
      <c r="AL22" s="193"/>
      <c r="AM22" s="21"/>
      <c r="AN22" s="21"/>
    </row>
    <row r="23" spans="1:40" x14ac:dyDescent="0.25">
      <c r="A23" s="817">
        <v>43305</v>
      </c>
      <c r="B23" s="817" t="s">
        <v>884</v>
      </c>
      <c r="C23" s="957" t="s">
        <v>91</v>
      </c>
      <c r="D23" s="819">
        <v>604</v>
      </c>
      <c r="E23" s="813" t="s">
        <v>1246</v>
      </c>
      <c r="F23" s="957" t="s">
        <v>1247</v>
      </c>
      <c r="G23" s="957" t="s">
        <v>893</v>
      </c>
      <c r="H23" s="957" t="s">
        <v>367</v>
      </c>
      <c r="I23" s="957" t="s">
        <v>1248</v>
      </c>
      <c r="J23" s="957" t="s">
        <v>907</v>
      </c>
      <c r="K23" s="957" t="s">
        <v>1245</v>
      </c>
      <c r="L23" s="375">
        <f t="shared" si="2"/>
        <v>304</v>
      </c>
      <c r="M23" s="138">
        <v>304</v>
      </c>
      <c r="N23" s="134"/>
      <c r="O23" s="130"/>
      <c r="P23" s="183"/>
      <c r="Q23" s="84"/>
      <c r="R23" s="187"/>
      <c r="S23" s="89"/>
      <c r="T23" s="957"/>
      <c r="U23" s="817"/>
      <c r="V23" s="817"/>
      <c r="W23" s="957"/>
      <c r="X23" s="957"/>
      <c r="Y23" s="957"/>
      <c r="Z23" s="957"/>
      <c r="AA23" s="957"/>
      <c r="AB23" s="957"/>
      <c r="AC23" s="957"/>
      <c r="AD23" s="957"/>
      <c r="AE23" s="957"/>
      <c r="AF23" s="957"/>
      <c r="AG23" s="212"/>
      <c r="AH23" s="193"/>
      <c r="AI23" s="193"/>
      <c r="AJ23" s="193"/>
      <c r="AK23" s="193"/>
      <c r="AL23" s="193"/>
      <c r="AM23" s="21"/>
      <c r="AN23" s="21"/>
    </row>
    <row r="24" spans="1:40" x14ac:dyDescent="0.25">
      <c r="A24" s="817">
        <v>43305</v>
      </c>
      <c r="B24" s="817" t="s">
        <v>886</v>
      </c>
      <c r="C24" s="960" t="s">
        <v>91</v>
      </c>
      <c r="D24" s="819">
        <v>608</v>
      </c>
      <c r="E24" s="813" t="s">
        <v>1286</v>
      </c>
      <c r="F24" s="960" t="s">
        <v>1287</v>
      </c>
      <c r="G24" s="960"/>
      <c r="H24" s="960" t="s">
        <v>367</v>
      </c>
      <c r="I24" s="960" t="s">
        <v>887</v>
      </c>
      <c r="J24" s="960" t="s">
        <v>909</v>
      </c>
      <c r="K24" s="960" t="s">
        <v>910</v>
      </c>
      <c r="L24" s="375">
        <f t="shared" si="2"/>
        <v>1530</v>
      </c>
      <c r="M24" s="138">
        <v>1530</v>
      </c>
      <c r="N24" s="134"/>
      <c r="O24" s="130"/>
      <c r="P24" s="183"/>
      <c r="Q24" s="84"/>
      <c r="R24" s="187"/>
      <c r="S24" s="89"/>
      <c r="T24" s="960"/>
      <c r="U24" s="817"/>
      <c r="V24" s="817"/>
      <c r="W24" s="960"/>
      <c r="X24" s="960"/>
      <c r="Y24" s="960"/>
      <c r="Z24" s="960"/>
      <c r="AA24" s="960"/>
      <c r="AB24" s="960"/>
      <c r="AC24" s="960"/>
      <c r="AD24" s="960"/>
      <c r="AE24" s="960"/>
      <c r="AF24" s="960"/>
      <c r="AG24" s="212"/>
      <c r="AH24" s="193"/>
      <c r="AI24" s="193"/>
      <c r="AJ24" s="193"/>
      <c r="AK24" s="193"/>
      <c r="AL24" s="193"/>
      <c r="AM24" s="21"/>
      <c r="AN24" s="21"/>
    </row>
    <row r="25" spans="1:40" x14ac:dyDescent="0.25">
      <c r="A25" s="817">
        <v>43305</v>
      </c>
      <c r="B25" s="817" t="s">
        <v>891</v>
      </c>
      <c r="C25" s="962" t="s">
        <v>269</v>
      </c>
      <c r="D25" s="819">
        <v>609</v>
      </c>
      <c r="E25" s="813" t="s">
        <v>1303</v>
      </c>
      <c r="F25" s="962" t="s">
        <v>344</v>
      </c>
      <c r="G25" s="962"/>
      <c r="H25" s="962" t="s">
        <v>367</v>
      </c>
      <c r="I25" s="962" t="s">
        <v>905</v>
      </c>
      <c r="J25" s="962" t="s">
        <v>904</v>
      </c>
      <c r="K25" s="962" t="s">
        <v>1304</v>
      </c>
      <c r="L25" s="375">
        <f t="shared" si="2"/>
        <v>426</v>
      </c>
      <c r="M25" s="138">
        <v>426</v>
      </c>
      <c r="N25" s="134"/>
      <c r="O25" s="130"/>
      <c r="P25" s="183"/>
      <c r="Q25" s="84"/>
      <c r="R25" s="187"/>
      <c r="S25" s="89"/>
      <c r="T25" s="962"/>
      <c r="U25" s="817"/>
      <c r="V25" s="817"/>
      <c r="W25" s="962"/>
      <c r="X25" s="962"/>
      <c r="Y25" s="962"/>
      <c r="Z25" s="962"/>
      <c r="AA25" s="962"/>
      <c r="AB25" s="962"/>
      <c r="AC25" s="962"/>
      <c r="AD25" s="962"/>
      <c r="AE25" s="962"/>
      <c r="AF25" s="962"/>
      <c r="AG25" s="212"/>
      <c r="AH25" s="193"/>
      <c r="AI25" s="193"/>
      <c r="AJ25" s="193"/>
      <c r="AK25" s="193"/>
      <c r="AL25" s="193"/>
      <c r="AM25" s="21"/>
      <c r="AN25" s="21"/>
    </row>
    <row r="26" spans="1:40" x14ac:dyDescent="0.25">
      <c r="A26" s="358">
        <v>43306</v>
      </c>
      <c r="B26" s="358" t="s">
        <v>912</v>
      </c>
      <c r="C26" s="729" t="s">
        <v>265</v>
      </c>
      <c r="D26" s="359">
        <v>615</v>
      </c>
      <c r="E26" s="17" t="s">
        <v>898</v>
      </c>
      <c r="F26" s="729" t="s">
        <v>935</v>
      </c>
      <c r="G26" s="729"/>
      <c r="H26" s="729" t="s">
        <v>8</v>
      </c>
      <c r="I26" s="729" t="s">
        <v>913</v>
      </c>
      <c r="J26" s="729" t="s">
        <v>914</v>
      </c>
      <c r="K26" s="729" t="s">
        <v>915</v>
      </c>
      <c r="L26" s="375">
        <f t="shared" si="2"/>
        <v>4634</v>
      </c>
      <c r="M26" s="17">
        <v>647</v>
      </c>
      <c r="N26" s="16"/>
      <c r="O26" s="15">
        <v>705</v>
      </c>
      <c r="P26" s="91">
        <v>3282</v>
      </c>
      <c r="Q26" s="84"/>
      <c r="R26" s="187"/>
      <c r="S26" s="89"/>
      <c r="T26" s="446"/>
      <c r="U26" s="358">
        <v>43310</v>
      </c>
      <c r="V26" s="358">
        <v>43319</v>
      </c>
      <c r="W26" s="729" t="s">
        <v>2</v>
      </c>
      <c r="X26" s="729" t="s">
        <v>312</v>
      </c>
      <c r="Y26" s="729" t="s">
        <v>314</v>
      </c>
      <c r="Z26" s="729" t="s">
        <v>313</v>
      </c>
      <c r="AA26" s="729" t="s">
        <v>313</v>
      </c>
      <c r="AB26" s="729" t="s">
        <v>315</v>
      </c>
      <c r="AC26" s="729" t="s">
        <v>313</v>
      </c>
      <c r="AD26" s="729"/>
      <c r="AE26" s="729"/>
      <c r="AF26" s="729" t="s">
        <v>698</v>
      </c>
      <c r="AG26" s="126"/>
      <c r="AH26" s="268" t="s">
        <v>8</v>
      </c>
      <c r="AI26" s="268" t="s">
        <v>9</v>
      </c>
      <c r="AJ26" s="268" t="s">
        <v>151</v>
      </c>
      <c r="AK26" s="268" t="s">
        <v>243</v>
      </c>
      <c r="AL26" s="268" t="s">
        <v>153</v>
      </c>
      <c r="AM26" s="435"/>
      <c r="AN26" s="21"/>
    </row>
    <row r="27" spans="1:40" x14ac:dyDescent="0.25">
      <c r="A27" s="358">
        <v>43309</v>
      </c>
      <c r="B27" s="358" t="s">
        <v>930</v>
      </c>
      <c r="C27" s="729" t="s">
        <v>265</v>
      </c>
      <c r="D27" s="359">
        <v>641</v>
      </c>
      <c r="E27" s="17" t="s">
        <v>968</v>
      </c>
      <c r="F27" s="729" t="s">
        <v>479</v>
      </c>
      <c r="G27" s="729"/>
      <c r="H27" s="729" t="s">
        <v>8</v>
      </c>
      <c r="I27" s="729" t="s">
        <v>931</v>
      </c>
      <c r="J27" s="729" t="s">
        <v>1306</v>
      </c>
      <c r="K27" s="729" t="s">
        <v>1307</v>
      </c>
      <c r="L27" s="375">
        <f t="shared" si="2"/>
        <v>0.1</v>
      </c>
      <c r="M27" s="17"/>
      <c r="N27" s="16"/>
      <c r="O27" s="15"/>
      <c r="P27" s="91">
        <v>0.1</v>
      </c>
      <c r="Q27" s="84"/>
      <c r="R27" s="187"/>
      <c r="S27" s="89"/>
      <c r="T27" s="446"/>
      <c r="U27" s="358">
        <v>43309</v>
      </c>
      <c r="V27" s="358">
        <v>43309</v>
      </c>
      <c r="W27" s="928" t="s">
        <v>2</v>
      </c>
      <c r="X27" s="928" t="s">
        <v>94</v>
      </c>
      <c r="Y27" s="928" t="s">
        <v>313</v>
      </c>
      <c r="Z27" s="928" t="s">
        <v>313</v>
      </c>
      <c r="AA27" s="928" t="s">
        <v>314</v>
      </c>
      <c r="AB27" s="928" t="s">
        <v>313</v>
      </c>
      <c r="AC27" s="928" t="s">
        <v>315</v>
      </c>
      <c r="AD27" s="928"/>
      <c r="AE27" s="928"/>
      <c r="AF27" s="928" t="s">
        <v>392</v>
      </c>
      <c r="AG27" s="182">
        <v>42430</v>
      </c>
      <c r="AH27" s="268"/>
      <c r="AI27" s="268"/>
      <c r="AJ27" s="268"/>
      <c r="AK27" s="268"/>
      <c r="AL27" s="268"/>
      <c r="AM27" s="435"/>
      <c r="AN27" s="21"/>
    </row>
    <row r="28" spans="1:40" x14ac:dyDescent="0.25">
      <c r="A28" s="817">
        <v>43317</v>
      </c>
      <c r="B28" s="817" t="s">
        <v>974</v>
      </c>
      <c r="C28" s="964" t="s">
        <v>95</v>
      </c>
      <c r="D28" s="819">
        <v>741</v>
      </c>
      <c r="E28" s="813" t="s">
        <v>1312</v>
      </c>
      <c r="F28" s="964" t="s">
        <v>344</v>
      </c>
      <c r="G28" s="964" t="s">
        <v>970</v>
      </c>
      <c r="H28" s="964" t="s">
        <v>367</v>
      </c>
      <c r="I28" s="964" t="s">
        <v>973</v>
      </c>
      <c r="J28" s="964" t="s">
        <v>972</v>
      </c>
      <c r="K28" s="964" t="s">
        <v>1311</v>
      </c>
      <c r="L28" s="375">
        <f t="shared" si="2"/>
        <v>4.3</v>
      </c>
      <c r="M28" s="17">
        <v>4.3</v>
      </c>
      <c r="N28" s="16"/>
      <c r="O28" s="15"/>
      <c r="P28" s="965"/>
      <c r="Q28" s="84"/>
      <c r="R28" s="187"/>
      <c r="S28" s="89"/>
      <c r="T28" s="964"/>
      <c r="U28" s="817"/>
      <c r="V28" s="817"/>
      <c r="W28" s="964"/>
      <c r="X28" s="964"/>
      <c r="Y28" s="964"/>
      <c r="Z28" s="964"/>
      <c r="AA28" s="964"/>
      <c r="AB28" s="964"/>
      <c r="AC28" s="964"/>
      <c r="AD28" s="964"/>
      <c r="AE28" s="964"/>
      <c r="AF28" s="964"/>
      <c r="AG28" s="182"/>
      <c r="AH28" s="963"/>
      <c r="AI28" s="963"/>
      <c r="AJ28" s="963"/>
      <c r="AK28" s="963"/>
      <c r="AL28" s="963"/>
      <c r="AM28" s="435"/>
      <c r="AN28" s="21"/>
    </row>
    <row r="29" spans="1:40" x14ac:dyDescent="0.25">
      <c r="A29" s="720">
        <v>43317</v>
      </c>
      <c r="B29" s="729" t="s">
        <v>1003</v>
      </c>
      <c r="C29" s="729" t="s">
        <v>93</v>
      </c>
      <c r="D29" s="729">
        <v>745</v>
      </c>
      <c r="E29" s="17" t="s">
        <v>998</v>
      </c>
      <c r="F29" s="729" t="s">
        <v>1004</v>
      </c>
      <c r="G29" s="729" t="s">
        <v>1314</v>
      </c>
      <c r="H29" s="729" t="s">
        <v>8</v>
      </c>
      <c r="I29" s="729" t="s">
        <v>1006</v>
      </c>
      <c r="J29" s="729" t="s">
        <v>1007</v>
      </c>
      <c r="K29" s="729" t="s">
        <v>1008</v>
      </c>
      <c r="L29" s="375">
        <f t="shared" si="2"/>
        <v>0.2</v>
      </c>
      <c r="M29" s="17"/>
      <c r="N29" s="16">
        <v>0.2</v>
      </c>
      <c r="O29" s="15"/>
      <c r="P29" s="91"/>
      <c r="Q29" s="84"/>
      <c r="R29" s="187"/>
      <c r="S29" s="89"/>
      <c r="T29" s="446"/>
      <c r="U29" s="358">
        <v>43317</v>
      </c>
      <c r="V29" s="358">
        <v>43318</v>
      </c>
      <c r="W29" s="729" t="s">
        <v>365</v>
      </c>
      <c r="X29" s="729" t="s">
        <v>577</v>
      </c>
      <c r="Y29" s="729" t="s">
        <v>313</v>
      </c>
      <c r="Z29" s="729" t="s">
        <v>313</v>
      </c>
      <c r="AA29" s="729" t="s">
        <v>314</v>
      </c>
      <c r="AB29" s="729" t="s">
        <v>315</v>
      </c>
      <c r="AC29" s="729" t="s">
        <v>315</v>
      </c>
      <c r="AD29" s="729"/>
      <c r="AE29" s="729"/>
      <c r="AF29" s="729" t="s">
        <v>392</v>
      </c>
      <c r="AG29" s="182">
        <v>42444</v>
      </c>
      <c r="AH29" s="268"/>
      <c r="AI29" s="268"/>
      <c r="AJ29" s="268"/>
      <c r="AK29" s="268"/>
      <c r="AL29" s="268"/>
      <c r="AM29" s="435"/>
      <c r="AN29" s="21"/>
    </row>
    <row r="30" spans="1:40" x14ac:dyDescent="0.25">
      <c r="A30" s="720">
        <v>43324</v>
      </c>
      <c r="B30" s="729" t="s">
        <v>1041</v>
      </c>
      <c r="C30" s="729" t="s">
        <v>95</v>
      </c>
      <c r="D30" s="729">
        <v>830</v>
      </c>
      <c r="E30" s="17" t="s">
        <v>1036</v>
      </c>
      <c r="F30" s="729" t="s">
        <v>1043</v>
      </c>
      <c r="G30" s="729" t="s">
        <v>1044</v>
      </c>
      <c r="H30" s="729" t="s">
        <v>8</v>
      </c>
      <c r="I30" s="729" t="s">
        <v>1045</v>
      </c>
      <c r="J30" s="729" t="s">
        <v>1046</v>
      </c>
      <c r="K30" s="729" t="s">
        <v>1047</v>
      </c>
      <c r="L30" s="375">
        <f t="shared" si="2"/>
        <v>0.1</v>
      </c>
      <c r="M30" s="17">
        <v>0.1</v>
      </c>
      <c r="N30" s="16"/>
      <c r="O30" s="15"/>
      <c r="P30" s="91"/>
      <c r="Q30" s="84"/>
      <c r="R30" s="187"/>
      <c r="S30" s="89"/>
      <c r="T30" s="446"/>
      <c r="U30" s="358">
        <v>43324</v>
      </c>
      <c r="V30" s="358">
        <v>43324</v>
      </c>
      <c r="W30" s="729" t="s">
        <v>1133</v>
      </c>
      <c r="X30" s="729" t="s">
        <v>312</v>
      </c>
      <c r="Y30" s="729" t="s">
        <v>313</v>
      </c>
      <c r="Z30" s="729" t="s">
        <v>314</v>
      </c>
      <c r="AA30" s="729" t="s">
        <v>314</v>
      </c>
      <c r="AB30" s="729" t="s">
        <v>313</v>
      </c>
      <c r="AC30" s="729" t="s">
        <v>315</v>
      </c>
      <c r="AD30" s="729"/>
      <c r="AE30" s="729"/>
      <c r="AF30" s="729" t="s">
        <v>392</v>
      </c>
      <c r="AG30" s="182">
        <v>42461</v>
      </c>
      <c r="AH30" s="268"/>
      <c r="AI30" s="268"/>
      <c r="AJ30" s="268"/>
      <c r="AK30" s="268"/>
      <c r="AL30" s="268"/>
      <c r="AM30" s="435"/>
      <c r="AN30" s="21"/>
    </row>
    <row r="31" spans="1:40" x14ac:dyDescent="0.25">
      <c r="A31" s="905">
        <v>43327</v>
      </c>
      <c r="B31" s="972" t="s">
        <v>1058</v>
      </c>
      <c r="C31" s="972" t="s">
        <v>256</v>
      </c>
      <c r="D31" s="972">
        <v>843</v>
      </c>
      <c r="E31" s="813" t="s">
        <v>1349</v>
      </c>
      <c r="F31" s="972" t="s">
        <v>344</v>
      </c>
      <c r="G31" s="972"/>
      <c r="H31" s="972" t="s">
        <v>367</v>
      </c>
      <c r="I31" s="972" t="s">
        <v>1059</v>
      </c>
      <c r="J31" s="972" t="s">
        <v>1060</v>
      </c>
      <c r="K31" s="972" t="s">
        <v>1348</v>
      </c>
      <c r="L31" s="375">
        <f t="shared" si="2"/>
        <v>23</v>
      </c>
      <c r="M31" s="17">
        <v>23</v>
      </c>
      <c r="N31" s="16"/>
      <c r="O31" s="15"/>
      <c r="P31" s="971"/>
      <c r="Q31" s="84"/>
      <c r="R31" s="187"/>
      <c r="S31" s="89"/>
      <c r="T31" s="972"/>
      <c r="U31" s="817"/>
      <c r="V31" s="817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322"/>
      <c r="AH31" s="970"/>
      <c r="AI31" s="970"/>
      <c r="AJ31" s="970"/>
      <c r="AK31" s="970"/>
      <c r="AL31" s="970"/>
      <c r="AM31" s="435"/>
      <c r="AN31" s="21"/>
    </row>
    <row r="32" spans="1:40" x14ac:dyDescent="0.25">
      <c r="A32" s="905">
        <v>43329</v>
      </c>
      <c r="B32" s="982" t="s">
        <v>1084</v>
      </c>
      <c r="C32" s="982" t="s">
        <v>95</v>
      </c>
      <c r="D32" s="982">
        <v>858</v>
      </c>
      <c r="E32" s="813" t="s">
        <v>1366</v>
      </c>
      <c r="F32" s="982" t="s">
        <v>1082</v>
      </c>
      <c r="G32" s="982"/>
      <c r="H32" s="982" t="s">
        <v>367</v>
      </c>
      <c r="I32" s="982" t="s">
        <v>1367</v>
      </c>
      <c r="J32" s="982" t="s">
        <v>1364</v>
      </c>
      <c r="K32" s="982" t="s">
        <v>1365</v>
      </c>
      <c r="L32" s="375">
        <f t="shared" si="2"/>
        <v>0.3</v>
      </c>
      <c r="M32" s="17">
        <v>0.3</v>
      </c>
      <c r="N32" s="16"/>
      <c r="O32" s="15"/>
      <c r="P32" s="983"/>
      <c r="Q32" s="84"/>
      <c r="R32" s="187"/>
      <c r="S32" s="89"/>
      <c r="T32" s="982"/>
      <c r="U32" s="817"/>
      <c r="V32" s="817"/>
      <c r="W32" s="982"/>
      <c r="X32" s="982"/>
      <c r="Y32" s="982"/>
      <c r="Z32" s="982"/>
      <c r="AA32" s="982"/>
      <c r="AB32" s="982"/>
      <c r="AC32" s="982"/>
      <c r="AD32" s="982"/>
      <c r="AE32" s="982"/>
      <c r="AF32" s="982"/>
      <c r="AG32" s="322"/>
      <c r="AH32" s="981"/>
      <c r="AI32" s="981"/>
      <c r="AJ32" s="981"/>
      <c r="AK32" s="981"/>
      <c r="AL32" s="981"/>
      <c r="AM32" s="435"/>
      <c r="AN32" s="21"/>
    </row>
    <row r="33" spans="1:40" x14ac:dyDescent="0.25">
      <c r="A33" s="905">
        <v>43329</v>
      </c>
      <c r="B33" s="982" t="s">
        <v>1088</v>
      </c>
      <c r="C33" s="982" t="s">
        <v>95</v>
      </c>
      <c r="D33" s="982">
        <v>863</v>
      </c>
      <c r="E33" s="813" t="s">
        <v>1377</v>
      </c>
      <c r="F33" s="982" t="s">
        <v>472</v>
      </c>
      <c r="G33" s="982"/>
      <c r="H33" s="982" t="s">
        <v>367</v>
      </c>
      <c r="I33" s="982" t="s">
        <v>1097</v>
      </c>
      <c r="J33" s="982" t="s">
        <v>1375</v>
      </c>
      <c r="K33" s="982" t="s">
        <v>1376</v>
      </c>
      <c r="L33" s="375">
        <f t="shared" si="2"/>
        <v>4</v>
      </c>
      <c r="M33" s="17">
        <v>4</v>
      </c>
      <c r="N33" s="16"/>
      <c r="O33" s="15"/>
      <c r="P33" s="983"/>
      <c r="Q33" s="84"/>
      <c r="R33" s="187"/>
      <c r="S33" s="89"/>
      <c r="T33" s="982"/>
      <c r="U33" s="817"/>
      <c r="V33" s="817"/>
      <c r="W33" s="982"/>
      <c r="X33" s="982"/>
      <c r="Y33" s="982"/>
      <c r="Z33" s="982"/>
      <c r="AA33" s="982"/>
      <c r="AB33" s="982"/>
      <c r="AC33" s="982"/>
      <c r="AD33" s="982"/>
      <c r="AE33" s="982"/>
      <c r="AF33" s="982"/>
      <c r="AG33" s="322"/>
      <c r="AH33" s="981"/>
      <c r="AI33" s="981"/>
      <c r="AJ33" s="981"/>
      <c r="AK33" s="981"/>
      <c r="AL33" s="981"/>
      <c r="AM33" s="435"/>
      <c r="AN33" s="21"/>
    </row>
    <row r="34" spans="1:40" x14ac:dyDescent="0.25">
      <c r="A34" s="817">
        <v>43329</v>
      </c>
      <c r="B34" s="817" t="s">
        <v>1089</v>
      </c>
      <c r="C34" s="939" t="s">
        <v>91</v>
      </c>
      <c r="D34" s="819">
        <v>864</v>
      </c>
      <c r="E34" s="813" t="s">
        <v>1105</v>
      </c>
      <c r="F34" s="939" t="s">
        <v>344</v>
      </c>
      <c r="G34" s="939"/>
      <c r="H34" s="939" t="s">
        <v>172</v>
      </c>
      <c r="I34" s="939" t="s">
        <v>1098</v>
      </c>
      <c r="J34" s="939" t="s">
        <v>1128</v>
      </c>
      <c r="K34" s="939" t="s">
        <v>1129</v>
      </c>
      <c r="L34" s="375">
        <f t="shared" si="2"/>
        <v>2027</v>
      </c>
      <c r="M34" s="17"/>
      <c r="N34" s="16"/>
      <c r="O34" s="15"/>
      <c r="P34" s="91"/>
      <c r="Q34" s="84"/>
      <c r="R34" s="187"/>
      <c r="S34" s="89"/>
      <c r="T34" s="446">
        <v>2027</v>
      </c>
      <c r="U34" s="817"/>
      <c r="V34" s="817"/>
      <c r="W34" s="939"/>
      <c r="X34" s="939"/>
      <c r="Y34" s="939"/>
      <c r="Z34" s="939"/>
      <c r="AA34" s="939"/>
      <c r="AB34" s="939"/>
      <c r="AC34" s="939"/>
      <c r="AD34" s="939"/>
      <c r="AE34" s="939"/>
      <c r="AF34" s="939"/>
      <c r="AG34" s="322">
        <v>42475</v>
      </c>
      <c r="AH34" s="268"/>
      <c r="AI34" s="268"/>
      <c r="AJ34" s="268"/>
      <c r="AK34" s="268"/>
      <c r="AL34" s="268"/>
      <c r="AM34" s="435"/>
    </row>
    <row r="35" spans="1:40" x14ac:dyDescent="0.25">
      <c r="A35" s="817">
        <v>43329</v>
      </c>
      <c r="B35" s="817" t="s">
        <v>1090</v>
      </c>
      <c r="C35" s="987" t="s">
        <v>91</v>
      </c>
      <c r="D35" s="819">
        <v>865</v>
      </c>
      <c r="E35" s="813" t="s">
        <v>1408</v>
      </c>
      <c r="F35" s="987" t="s">
        <v>344</v>
      </c>
      <c r="G35" s="987"/>
      <c r="H35" s="987" t="s">
        <v>367</v>
      </c>
      <c r="I35" s="987" t="s">
        <v>1409</v>
      </c>
      <c r="J35" s="987" t="s">
        <v>1100</v>
      </c>
      <c r="K35" s="987" t="s">
        <v>1407</v>
      </c>
      <c r="L35" s="375"/>
      <c r="M35" s="17">
        <v>111</v>
      </c>
      <c r="N35" s="16"/>
      <c r="O35" s="15"/>
      <c r="P35" s="988"/>
      <c r="Q35" s="84"/>
      <c r="R35" s="187"/>
      <c r="S35" s="89"/>
      <c r="T35" s="987"/>
      <c r="U35" s="817"/>
      <c r="V35" s="817"/>
      <c r="W35" s="987"/>
      <c r="X35" s="987"/>
      <c r="Y35" s="987"/>
      <c r="Z35" s="987"/>
      <c r="AA35" s="987"/>
      <c r="AB35" s="987"/>
      <c r="AC35" s="987"/>
      <c r="AD35" s="987"/>
      <c r="AE35" s="987"/>
      <c r="AF35" s="987"/>
      <c r="AG35" s="322"/>
      <c r="AH35" s="985"/>
      <c r="AI35" s="985"/>
      <c r="AJ35" s="985"/>
      <c r="AK35" s="985"/>
      <c r="AL35" s="985"/>
      <c r="AM35" s="435"/>
    </row>
    <row r="36" spans="1:40" x14ac:dyDescent="0.25">
      <c r="A36" s="817">
        <v>43329</v>
      </c>
      <c r="B36" s="817" t="s">
        <v>1103</v>
      </c>
      <c r="C36" s="991" t="s">
        <v>91</v>
      </c>
      <c r="D36" s="819">
        <v>870</v>
      </c>
      <c r="E36" s="813" t="s">
        <v>1419</v>
      </c>
      <c r="F36" s="991" t="s">
        <v>686</v>
      </c>
      <c r="G36" s="991"/>
      <c r="H36" s="991" t="s">
        <v>367</v>
      </c>
      <c r="I36" s="991" t="s">
        <v>1099</v>
      </c>
      <c r="J36" s="991" t="s">
        <v>1417</v>
      </c>
      <c r="K36" s="991" t="s">
        <v>1418</v>
      </c>
      <c r="L36" s="375"/>
      <c r="M36" s="17">
        <v>198</v>
      </c>
      <c r="N36" s="16"/>
      <c r="O36" s="15"/>
      <c r="P36" s="990"/>
      <c r="Q36" s="84"/>
      <c r="R36" s="187"/>
      <c r="S36" s="89"/>
      <c r="T36" s="991"/>
      <c r="U36" s="817"/>
      <c r="V36" s="817"/>
      <c r="W36" s="991"/>
      <c r="X36" s="991"/>
      <c r="Y36" s="991"/>
      <c r="Z36" s="991"/>
      <c r="AA36" s="991"/>
      <c r="AB36" s="991"/>
      <c r="AC36" s="991"/>
      <c r="AD36" s="991"/>
      <c r="AE36" s="991"/>
      <c r="AF36" s="991"/>
      <c r="AG36" s="322"/>
      <c r="AH36" s="989"/>
      <c r="AI36" s="989"/>
      <c r="AJ36" s="989"/>
      <c r="AK36" s="989"/>
      <c r="AL36" s="989"/>
      <c r="AM36" s="435"/>
    </row>
    <row r="37" spans="1:40" x14ac:dyDescent="0.25">
      <c r="A37" s="817">
        <v>43335</v>
      </c>
      <c r="B37" s="817" t="s">
        <v>1167</v>
      </c>
      <c r="C37" s="949" t="s">
        <v>265</v>
      </c>
      <c r="D37" s="819">
        <v>947</v>
      </c>
      <c r="E37" s="949" t="s">
        <v>1166</v>
      </c>
      <c r="F37" s="949"/>
      <c r="G37" s="949"/>
      <c r="H37" s="949" t="s">
        <v>327</v>
      </c>
      <c r="I37" s="949" t="s">
        <v>1168</v>
      </c>
      <c r="J37" s="949" t="s">
        <v>1169</v>
      </c>
      <c r="K37" s="949" t="s">
        <v>1170</v>
      </c>
      <c r="L37" s="375">
        <f t="shared" si="2"/>
        <v>0</v>
      </c>
      <c r="M37" s="17"/>
      <c r="N37" s="16"/>
      <c r="O37" s="15"/>
      <c r="P37" s="91"/>
      <c r="Q37" s="84"/>
      <c r="R37" s="187"/>
      <c r="S37" s="89"/>
      <c r="T37" s="201"/>
      <c r="U37" s="817"/>
      <c r="V37" s="817"/>
      <c r="W37" s="958"/>
      <c r="X37" s="958"/>
      <c r="Y37" s="958"/>
      <c r="Z37" s="958"/>
      <c r="AA37" s="958"/>
      <c r="AB37" s="958"/>
      <c r="AC37" s="958"/>
      <c r="AD37" s="958"/>
      <c r="AE37" s="958"/>
      <c r="AF37" s="958"/>
      <c r="AG37" s="322">
        <v>42491</v>
      </c>
      <c r="AH37" s="268"/>
      <c r="AI37" s="268"/>
      <c r="AJ37" s="268"/>
      <c r="AK37" s="268"/>
      <c r="AL37" s="268"/>
      <c r="AM37" s="435"/>
    </row>
    <row r="38" spans="1:40" x14ac:dyDescent="0.25">
      <c r="A38" s="817">
        <v>43337</v>
      </c>
      <c r="B38" s="817" t="s">
        <v>1184</v>
      </c>
      <c r="C38" s="1001" t="s">
        <v>93</v>
      </c>
      <c r="D38" s="819">
        <v>960</v>
      </c>
      <c r="E38" s="78" t="s">
        <v>1503</v>
      </c>
      <c r="F38" s="1001" t="s">
        <v>1182</v>
      </c>
      <c r="G38" s="1001"/>
      <c r="H38" s="1001" t="s">
        <v>172</v>
      </c>
      <c r="I38" s="1001" t="s">
        <v>1504</v>
      </c>
      <c r="J38" s="1001" t="s">
        <v>1500</v>
      </c>
      <c r="K38" s="1001" t="s">
        <v>1501</v>
      </c>
      <c r="L38" s="375">
        <f t="shared" si="2"/>
        <v>4571</v>
      </c>
      <c r="M38" s="17"/>
      <c r="N38" s="16"/>
      <c r="O38" s="15"/>
      <c r="P38" s="1002"/>
      <c r="Q38" s="84"/>
      <c r="R38" s="187"/>
      <c r="S38" s="89"/>
      <c r="T38" s="201">
        <v>4571</v>
      </c>
      <c r="U38" s="817"/>
      <c r="V38" s="817"/>
      <c r="W38" s="1001"/>
      <c r="X38" s="1001"/>
      <c r="Y38" s="1001"/>
      <c r="Z38" s="1001"/>
      <c r="AA38" s="1001"/>
      <c r="AB38" s="1001"/>
      <c r="AC38" s="1001"/>
      <c r="AD38" s="1001"/>
      <c r="AE38" s="1001"/>
      <c r="AF38" s="1001"/>
      <c r="AG38" s="322"/>
      <c r="AH38" s="1000"/>
      <c r="AI38" s="1000"/>
      <c r="AJ38" s="1000"/>
      <c r="AK38" s="1000"/>
      <c r="AL38" s="1000"/>
      <c r="AM38" s="435"/>
    </row>
    <row r="39" spans="1:40" x14ac:dyDescent="0.25">
      <c r="A39" s="817">
        <v>43340</v>
      </c>
      <c r="B39" s="817" t="s">
        <v>1201</v>
      </c>
      <c r="C39" s="958" t="s">
        <v>95</v>
      </c>
      <c r="D39" s="819">
        <v>976</v>
      </c>
      <c r="E39" s="78" t="s">
        <v>1203</v>
      </c>
      <c r="F39" s="958"/>
      <c r="G39" s="958"/>
      <c r="H39" s="958" t="s">
        <v>367</v>
      </c>
      <c r="I39" s="958" t="s">
        <v>1045</v>
      </c>
      <c r="J39" s="958" t="s">
        <v>1426</v>
      </c>
      <c r="K39" s="958" t="s">
        <v>1202</v>
      </c>
      <c r="L39" s="375">
        <f t="shared" si="2"/>
        <v>1.3</v>
      </c>
      <c r="M39" s="138">
        <v>1.3</v>
      </c>
      <c r="N39" s="134"/>
      <c r="O39" s="15"/>
      <c r="P39" s="91"/>
      <c r="Q39" s="84"/>
      <c r="R39" s="187"/>
      <c r="S39" s="89"/>
      <c r="T39" s="446"/>
      <c r="U39" s="817"/>
      <c r="V39" s="817"/>
      <c r="W39" s="958"/>
      <c r="X39" s="958"/>
      <c r="Y39" s="958"/>
      <c r="Z39" s="958"/>
      <c r="AA39" s="958"/>
      <c r="AB39" s="958"/>
      <c r="AC39" s="958"/>
      <c r="AD39" s="958"/>
      <c r="AE39" s="958"/>
      <c r="AF39" s="958"/>
      <c r="AG39" s="322">
        <v>42505</v>
      </c>
      <c r="AH39" s="268"/>
      <c r="AI39" s="268"/>
      <c r="AJ39" s="268"/>
      <c r="AK39" s="268"/>
      <c r="AL39" s="268"/>
      <c r="AM39" s="435"/>
    </row>
    <row r="40" spans="1:40" x14ac:dyDescent="0.25">
      <c r="A40" s="817">
        <v>43354</v>
      </c>
      <c r="B40" s="817" t="s">
        <v>1282</v>
      </c>
      <c r="C40" s="959" t="s">
        <v>265</v>
      </c>
      <c r="D40" s="819">
        <v>1040</v>
      </c>
      <c r="E40" s="959" t="s">
        <v>1283</v>
      </c>
      <c r="F40" s="959"/>
      <c r="G40" s="959"/>
      <c r="H40" s="959" t="s">
        <v>327</v>
      </c>
      <c r="I40" s="959" t="s">
        <v>856</v>
      </c>
      <c r="J40" s="959" t="s">
        <v>1284</v>
      </c>
      <c r="K40" s="959" t="s">
        <v>1285</v>
      </c>
      <c r="L40" s="375">
        <f t="shared" si="2"/>
        <v>0</v>
      </c>
      <c r="M40" s="138"/>
      <c r="N40" s="134"/>
      <c r="O40" s="15"/>
      <c r="P40" s="91"/>
      <c r="Q40" s="84"/>
      <c r="R40" s="187"/>
      <c r="S40" s="89"/>
      <c r="T40" s="446"/>
      <c r="U40" s="817"/>
      <c r="V40" s="817"/>
      <c r="W40" s="962"/>
      <c r="X40" s="962"/>
      <c r="Y40" s="962"/>
      <c r="Z40" s="962"/>
      <c r="AA40" s="962"/>
      <c r="AB40" s="962"/>
      <c r="AC40" s="962"/>
      <c r="AD40" s="962"/>
      <c r="AE40" s="962"/>
      <c r="AF40" s="962"/>
      <c r="AG40" s="322">
        <v>41791</v>
      </c>
      <c r="AH40" s="268"/>
      <c r="AI40" s="268"/>
      <c r="AJ40" s="268"/>
      <c r="AK40" s="268"/>
      <c r="AL40" s="268"/>
      <c r="AM40" s="435"/>
    </row>
    <row r="41" spans="1:40" x14ac:dyDescent="0.25">
      <c r="A41" s="358">
        <v>43358</v>
      </c>
      <c r="B41" s="358" t="s">
        <v>1299</v>
      </c>
      <c r="C41" s="729" t="s">
        <v>265</v>
      </c>
      <c r="D41" s="359">
        <v>1075</v>
      </c>
      <c r="E41" s="17" t="s">
        <v>1298</v>
      </c>
      <c r="F41" s="729" t="s">
        <v>436</v>
      </c>
      <c r="G41" s="729"/>
      <c r="H41" s="729" t="s">
        <v>8</v>
      </c>
      <c r="I41" s="729" t="s">
        <v>1300</v>
      </c>
      <c r="J41" s="729" t="s">
        <v>1301</v>
      </c>
      <c r="K41" s="729" t="s">
        <v>1302</v>
      </c>
      <c r="L41" s="375">
        <f t="shared" si="2"/>
        <v>0.13</v>
      </c>
      <c r="M41" s="138"/>
      <c r="N41" s="134"/>
      <c r="O41" s="15"/>
      <c r="P41" s="91">
        <v>0.13</v>
      </c>
      <c r="Q41" s="84"/>
      <c r="R41" s="187"/>
      <c r="S41" s="89"/>
      <c r="T41" s="446"/>
      <c r="U41" s="358">
        <v>43358</v>
      </c>
      <c r="V41" s="358">
        <v>43358</v>
      </c>
      <c r="W41" s="729" t="s">
        <v>2</v>
      </c>
      <c r="X41" s="729" t="s">
        <v>312</v>
      </c>
      <c r="Y41" s="729" t="s">
        <v>313</v>
      </c>
      <c r="Z41" s="729" t="s">
        <v>314</v>
      </c>
      <c r="AA41" s="729" t="s">
        <v>313</v>
      </c>
      <c r="AB41" s="729" t="s">
        <v>315</v>
      </c>
      <c r="AC41" s="729" t="s">
        <v>315</v>
      </c>
      <c r="AD41" s="729"/>
      <c r="AE41" s="729"/>
      <c r="AF41" s="729" t="s">
        <v>392</v>
      </c>
      <c r="AG41" s="322">
        <v>41805</v>
      </c>
      <c r="AH41" s="268"/>
      <c r="AI41" s="268"/>
      <c r="AJ41" s="268"/>
      <c r="AK41" s="268"/>
      <c r="AL41" s="268"/>
      <c r="AM41" s="435"/>
    </row>
    <row r="42" spans="1:40" x14ac:dyDescent="0.25">
      <c r="A42" s="817">
        <v>43358</v>
      </c>
      <c r="B42" s="817" t="s">
        <v>1320</v>
      </c>
      <c r="C42" s="964" t="s">
        <v>93</v>
      </c>
      <c r="D42" s="819">
        <v>1080</v>
      </c>
      <c r="E42" s="964" t="s">
        <v>1319</v>
      </c>
      <c r="F42" s="964"/>
      <c r="G42" s="964"/>
      <c r="H42" s="964" t="s">
        <v>327</v>
      </c>
      <c r="I42" s="964" t="s">
        <v>378</v>
      </c>
      <c r="J42" s="964" t="s">
        <v>858</v>
      </c>
      <c r="K42" s="964" t="s">
        <v>1321</v>
      </c>
      <c r="L42" s="375">
        <f t="shared" si="2"/>
        <v>0</v>
      </c>
      <c r="M42" s="138"/>
      <c r="N42" s="134"/>
      <c r="O42" s="15"/>
      <c r="P42" s="91"/>
      <c r="Q42" s="84"/>
      <c r="R42" s="187"/>
      <c r="S42" s="89"/>
      <c r="T42" s="446"/>
      <c r="U42" s="817"/>
      <c r="V42" s="817"/>
      <c r="W42" s="968"/>
      <c r="X42" s="968"/>
      <c r="Y42" s="968"/>
      <c r="Z42" s="968"/>
      <c r="AA42" s="968"/>
      <c r="AB42" s="967"/>
      <c r="AC42" s="968"/>
      <c r="AD42" s="968"/>
      <c r="AE42" s="968"/>
      <c r="AF42" s="968"/>
      <c r="AG42" s="322">
        <v>41821</v>
      </c>
      <c r="AH42" s="268"/>
      <c r="AI42" s="268"/>
      <c r="AJ42" s="268"/>
      <c r="AK42" s="268"/>
      <c r="AL42" s="268"/>
      <c r="AM42" s="435"/>
    </row>
    <row r="43" spans="1:40" x14ac:dyDescent="0.25">
      <c r="A43" s="358">
        <v>43361</v>
      </c>
      <c r="B43" s="358" t="s">
        <v>1329</v>
      </c>
      <c r="C43" s="729" t="s">
        <v>265</v>
      </c>
      <c r="D43" s="359">
        <v>1092</v>
      </c>
      <c r="E43" s="17" t="s">
        <v>1328</v>
      </c>
      <c r="F43" s="729" t="s">
        <v>436</v>
      </c>
      <c r="G43" s="729"/>
      <c r="H43" s="729" t="s">
        <v>8</v>
      </c>
      <c r="I43" s="729" t="s">
        <v>1330</v>
      </c>
      <c r="J43" s="729" t="s">
        <v>1331</v>
      </c>
      <c r="K43" s="729" t="s">
        <v>1508</v>
      </c>
      <c r="L43" s="375">
        <f t="shared" si="2"/>
        <v>7.5</v>
      </c>
      <c r="M43" s="138"/>
      <c r="N43" s="134"/>
      <c r="O43" s="15"/>
      <c r="P43" s="91">
        <v>7.5</v>
      </c>
      <c r="Q43" s="84"/>
      <c r="R43" s="187"/>
      <c r="S43" s="89"/>
      <c r="T43" s="446"/>
      <c r="U43" s="358">
        <v>43361</v>
      </c>
      <c r="V43" s="358">
        <v>43361</v>
      </c>
      <c r="W43" s="729" t="s">
        <v>2</v>
      </c>
      <c r="X43" s="729" t="s">
        <v>312</v>
      </c>
      <c r="Y43" s="729" t="s">
        <v>313</v>
      </c>
      <c r="Z43" s="729" t="s">
        <v>313</v>
      </c>
      <c r="AA43" s="729" t="s">
        <v>313</v>
      </c>
      <c r="AB43" s="732" t="s">
        <v>315</v>
      </c>
      <c r="AC43" s="729" t="s">
        <v>315</v>
      </c>
      <c r="AD43" s="729"/>
      <c r="AE43" s="729"/>
      <c r="AF43" s="729" t="s">
        <v>316</v>
      </c>
      <c r="AG43" s="322">
        <v>41835</v>
      </c>
      <c r="AH43" s="268"/>
      <c r="AI43" s="268"/>
      <c r="AJ43" s="349"/>
      <c r="AK43" s="268"/>
      <c r="AL43" s="349"/>
      <c r="AM43" s="435"/>
    </row>
    <row r="44" spans="1:40" x14ac:dyDescent="0.25">
      <c r="A44" s="817">
        <v>43364</v>
      </c>
      <c r="B44" s="817" t="s">
        <v>1337</v>
      </c>
      <c r="C44" s="987" t="s">
        <v>91</v>
      </c>
      <c r="D44" s="819">
        <v>1099</v>
      </c>
      <c r="E44" s="813" t="s">
        <v>1362</v>
      </c>
      <c r="F44" s="987" t="s">
        <v>681</v>
      </c>
      <c r="G44" s="987"/>
      <c r="H44" s="987" t="s">
        <v>367</v>
      </c>
      <c r="I44" s="987" t="s">
        <v>1338</v>
      </c>
      <c r="J44" s="987" t="s">
        <v>1339</v>
      </c>
      <c r="K44" s="987" t="s">
        <v>1414</v>
      </c>
      <c r="L44" s="375"/>
      <c r="M44" s="138">
        <v>89</v>
      </c>
      <c r="N44" s="134"/>
      <c r="O44" s="15"/>
      <c r="P44" s="976"/>
      <c r="Q44" s="84"/>
      <c r="R44" s="187"/>
      <c r="S44" s="89"/>
      <c r="T44" s="975"/>
      <c r="U44" s="817"/>
      <c r="V44" s="817"/>
      <c r="W44" s="987"/>
      <c r="X44" s="987"/>
      <c r="Y44" s="987"/>
      <c r="Z44" s="987"/>
      <c r="AA44" s="987"/>
      <c r="AB44" s="967"/>
      <c r="AC44" s="987"/>
      <c r="AD44" s="987"/>
      <c r="AE44" s="987"/>
      <c r="AF44" s="987"/>
      <c r="AG44" s="322"/>
      <c r="AH44" s="974"/>
      <c r="AI44" s="974"/>
      <c r="AJ44" s="974"/>
      <c r="AK44" s="974"/>
      <c r="AL44" s="974"/>
      <c r="AM44" s="435"/>
    </row>
    <row r="45" spans="1:40" x14ac:dyDescent="0.25">
      <c r="A45" s="817">
        <v>43364</v>
      </c>
      <c r="B45" s="969" t="s">
        <v>1342</v>
      </c>
      <c r="C45" s="969" t="s">
        <v>265</v>
      </c>
      <c r="D45" s="969">
        <v>1100</v>
      </c>
      <c r="E45" s="969" t="s">
        <v>1341</v>
      </c>
      <c r="F45" s="969"/>
      <c r="G45" s="969"/>
      <c r="H45" s="969" t="s">
        <v>327</v>
      </c>
      <c r="I45" s="969" t="s">
        <v>856</v>
      </c>
      <c r="J45" s="969"/>
      <c r="K45" s="969"/>
      <c r="L45" s="375">
        <f t="shared" si="2"/>
        <v>0</v>
      </c>
      <c r="M45" s="17"/>
      <c r="N45" s="16"/>
      <c r="O45" s="15"/>
      <c r="P45" s="91"/>
      <c r="Q45" s="84"/>
      <c r="R45" s="187"/>
      <c r="S45" s="89"/>
      <c r="T45" s="446"/>
      <c r="U45" s="817"/>
      <c r="V45" s="817"/>
      <c r="W45" s="972"/>
      <c r="X45" s="972"/>
      <c r="Y45" s="972"/>
      <c r="Z45" s="972"/>
      <c r="AA45" s="972"/>
      <c r="AB45" s="972"/>
      <c r="AC45" s="972"/>
      <c r="AD45" s="972"/>
      <c r="AE45" s="972"/>
      <c r="AF45" s="972"/>
      <c r="AG45" s="322">
        <v>41852</v>
      </c>
      <c r="AH45" s="268"/>
      <c r="AI45" s="268"/>
      <c r="AJ45" s="349"/>
      <c r="AK45" s="268"/>
      <c r="AL45" s="349"/>
      <c r="AM45" s="435"/>
    </row>
    <row r="46" spans="1:40" x14ac:dyDescent="0.25">
      <c r="A46" s="358">
        <v>43367</v>
      </c>
      <c r="B46" s="358" t="s">
        <v>1357</v>
      </c>
      <c r="C46" s="729" t="s">
        <v>93</v>
      </c>
      <c r="D46" s="359">
        <v>1110</v>
      </c>
      <c r="E46" s="17" t="s">
        <v>1352</v>
      </c>
      <c r="F46" s="729" t="s">
        <v>920</v>
      </c>
      <c r="G46" s="729" t="s">
        <v>1354</v>
      </c>
      <c r="H46" s="729" t="s">
        <v>8</v>
      </c>
      <c r="I46" s="729" t="s">
        <v>1355</v>
      </c>
      <c r="J46" s="729" t="s">
        <v>1356</v>
      </c>
      <c r="K46" s="729" t="s">
        <v>1536</v>
      </c>
      <c r="L46" s="375">
        <f t="shared" si="2"/>
        <v>0.41</v>
      </c>
      <c r="M46" s="17"/>
      <c r="N46" s="16">
        <v>0.41</v>
      </c>
      <c r="O46" s="15"/>
      <c r="P46" s="91"/>
      <c r="Q46" s="84"/>
      <c r="R46" s="187"/>
      <c r="S46" s="89"/>
      <c r="T46" s="446"/>
      <c r="U46" s="358">
        <v>43368</v>
      </c>
      <c r="V46" s="358">
        <v>43369</v>
      </c>
      <c r="W46" s="729" t="s">
        <v>365</v>
      </c>
      <c r="X46" s="729" t="s">
        <v>312</v>
      </c>
      <c r="Y46" s="729" t="s">
        <v>314</v>
      </c>
      <c r="Z46" s="729" t="s">
        <v>314</v>
      </c>
      <c r="AA46" s="729" t="s">
        <v>314</v>
      </c>
      <c r="AB46" s="732" t="s">
        <v>313</v>
      </c>
      <c r="AC46" s="729" t="s">
        <v>313</v>
      </c>
      <c r="AD46" s="729"/>
      <c r="AE46" s="729"/>
      <c r="AF46" s="729" t="s">
        <v>316</v>
      </c>
      <c r="AG46" s="322">
        <v>41866</v>
      </c>
      <c r="AH46" s="268"/>
      <c r="AI46" s="268"/>
      <c r="AJ46" s="349"/>
      <c r="AK46" s="268"/>
      <c r="AL46" s="349"/>
      <c r="AM46" s="435"/>
    </row>
    <row r="47" spans="1:40" x14ac:dyDescent="0.25">
      <c r="A47" s="817">
        <v>43371</v>
      </c>
      <c r="B47" s="992" t="s">
        <v>1387</v>
      </c>
      <c r="C47" s="992" t="s">
        <v>91</v>
      </c>
      <c r="D47" s="992">
        <v>1127</v>
      </c>
      <c r="E47" s="813" t="s">
        <v>1425</v>
      </c>
      <c r="F47" s="992" t="s">
        <v>1287</v>
      </c>
      <c r="G47" s="992"/>
      <c r="H47" s="992" t="s">
        <v>367</v>
      </c>
      <c r="I47" s="992" t="s">
        <v>1388</v>
      </c>
      <c r="J47" s="992" t="s">
        <v>1465</v>
      </c>
      <c r="K47" s="992" t="s">
        <v>1532</v>
      </c>
      <c r="L47" s="375">
        <f t="shared" si="2"/>
        <v>27</v>
      </c>
      <c r="M47" s="17">
        <v>27</v>
      </c>
      <c r="N47" s="16"/>
      <c r="O47" s="15"/>
      <c r="P47" s="91"/>
      <c r="Q47" s="84"/>
      <c r="R47" s="187"/>
      <c r="S47" s="89"/>
      <c r="T47" s="446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5"/>
      <c r="AG47" s="322">
        <v>41883</v>
      </c>
      <c r="AH47" s="268"/>
      <c r="AI47" s="268"/>
      <c r="AJ47" s="349"/>
      <c r="AK47" s="268"/>
      <c r="AL47" s="349"/>
      <c r="AM47" s="435"/>
    </row>
    <row r="48" spans="1:40" x14ac:dyDescent="0.25">
      <c r="A48" s="817">
        <v>43387</v>
      </c>
      <c r="B48" s="992" t="s">
        <v>1453</v>
      </c>
      <c r="C48" s="992" t="s">
        <v>93</v>
      </c>
      <c r="D48" s="992">
        <v>1190</v>
      </c>
      <c r="E48" s="992" t="s">
        <v>1452</v>
      </c>
      <c r="F48" s="992"/>
      <c r="G48" s="992"/>
      <c r="H48" s="992" t="s">
        <v>327</v>
      </c>
      <c r="I48" s="992" t="s">
        <v>1454</v>
      </c>
      <c r="J48" s="992" t="s">
        <v>1455</v>
      </c>
      <c r="K48" s="992" t="s">
        <v>1456</v>
      </c>
      <c r="L48" s="375">
        <f t="shared" si="2"/>
        <v>0</v>
      </c>
      <c r="M48" s="17"/>
      <c r="N48" s="16"/>
      <c r="O48" s="15"/>
      <c r="P48" s="91"/>
      <c r="Q48" s="84"/>
      <c r="R48" s="187"/>
      <c r="S48" s="89"/>
      <c r="T48" s="446"/>
      <c r="U48" s="995"/>
      <c r="V48" s="995"/>
      <c r="W48" s="995"/>
      <c r="X48" s="995"/>
      <c r="Y48" s="995"/>
      <c r="Z48" s="995"/>
      <c r="AA48" s="995"/>
      <c r="AB48" s="967"/>
      <c r="AC48" s="995"/>
      <c r="AD48" s="995"/>
      <c r="AE48" s="995"/>
      <c r="AF48" s="995"/>
      <c r="AG48" s="322">
        <v>41897</v>
      </c>
      <c r="AH48" s="268"/>
      <c r="AI48" s="268"/>
      <c r="AJ48" s="349"/>
      <c r="AK48" s="268"/>
      <c r="AL48" s="349"/>
      <c r="AM48" s="435"/>
    </row>
    <row r="49" spans="1:39" x14ac:dyDescent="0.25">
      <c r="A49" s="817">
        <v>43402</v>
      </c>
      <c r="B49" s="998" t="s">
        <v>1484</v>
      </c>
      <c r="C49" s="998" t="s">
        <v>267</v>
      </c>
      <c r="D49" s="998">
        <v>1232</v>
      </c>
      <c r="E49" s="998" t="s">
        <v>1486</v>
      </c>
      <c r="F49" s="998"/>
      <c r="G49" s="998"/>
      <c r="H49" s="998" t="s">
        <v>327</v>
      </c>
      <c r="I49" s="998" t="s">
        <v>1485</v>
      </c>
      <c r="J49" s="998" t="s">
        <v>1487</v>
      </c>
      <c r="K49" s="998" t="s">
        <v>1488</v>
      </c>
      <c r="L49" s="375">
        <f t="shared" si="2"/>
        <v>0</v>
      </c>
      <c r="M49" s="17"/>
      <c r="N49" s="16"/>
      <c r="O49" s="15"/>
      <c r="P49" s="91"/>
      <c r="Q49" s="84"/>
      <c r="R49" s="187"/>
      <c r="S49" s="89"/>
      <c r="T49" s="446"/>
      <c r="U49" s="905"/>
      <c r="V49" s="905"/>
      <c r="W49" s="1003"/>
      <c r="X49" s="1003"/>
      <c r="Y49" s="1003"/>
      <c r="Z49" s="1003"/>
      <c r="AA49" s="1003"/>
      <c r="AB49" s="967"/>
      <c r="AC49" s="1003"/>
      <c r="AD49" s="1003"/>
      <c r="AE49" s="1003"/>
      <c r="AF49" s="1003"/>
      <c r="AG49" s="322">
        <v>41913</v>
      </c>
      <c r="AH49" s="268"/>
      <c r="AI49" s="268"/>
      <c r="AJ49" s="349"/>
      <c r="AK49" s="268"/>
      <c r="AL49" s="349"/>
      <c r="AM49" s="435"/>
    </row>
    <row r="50" spans="1:39" x14ac:dyDescent="0.25">
      <c r="A50" s="358"/>
      <c r="B50" s="358"/>
      <c r="C50" s="729"/>
      <c r="D50" s="359"/>
      <c r="E50" s="729"/>
      <c r="F50" s="729"/>
      <c r="H50" s="729"/>
      <c r="I50" s="729"/>
      <c r="J50" s="729"/>
      <c r="K50" s="729"/>
      <c r="L50" s="375">
        <f t="shared" si="2"/>
        <v>0</v>
      </c>
      <c r="M50" s="17"/>
      <c r="N50" s="16"/>
      <c r="O50" s="15"/>
      <c r="P50" s="91"/>
      <c r="Q50" s="84"/>
      <c r="R50" s="187"/>
      <c r="S50" s="89"/>
      <c r="U50" s="720"/>
      <c r="V50" s="720"/>
      <c r="W50" s="729"/>
      <c r="X50" s="729"/>
      <c r="Y50" s="729"/>
      <c r="Z50" s="729"/>
      <c r="AA50" s="729"/>
      <c r="AB50" s="732"/>
      <c r="AC50" s="729"/>
      <c r="AD50" s="729"/>
      <c r="AE50" s="729"/>
      <c r="AF50" s="729"/>
      <c r="AG50" s="322">
        <v>41927</v>
      </c>
      <c r="AH50" s="268"/>
      <c r="AI50" s="268"/>
      <c r="AJ50" s="349"/>
      <c r="AK50" s="268"/>
      <c r="AL50" s="349"/>
      <c r="AM50" s="435"/>
    </row>
    <row r="51" spans="1:39" x14ac:dyDescent="0.25">
      <c r="A51" s="358"/>
      <c r="B51" s="729"/>
      <c r="C51" s="729"/>
      <c r="D51" s="729"/>
      <c r="E51" s="729"/>
      <c r="F51" s="729"/>
      <c r="G51" s="729"/>
      <c r="H51" s="729"/>
      <c r="I51" s="729"/>
      <c r="J51" s="729"/>
      <c r="K51" s="729"/>
      <c r="L51" s="375">
        <f t="shared" si="2"/>
        <v>0</v>
      </c>
      <c r="M51" s="725"/>
      <c r="N51" s="16"/>
      <c r="O51" s="15"/>
      <c r="P51" s="91"/>
      <c r="Q51" s="84"/>
      <c r="R51" s="187"/>
      <c r="S51" s="89"/>
      <c r="T51" s="446"/>
      <c r="U51" s="726"/>
      <c r="V51" s="726"/>
      <c r="W51" s="729"/>
      <c r="X51" s="729"/>
      <c r="Y51" s="729"/>
      <c r="Z51" s="729"/>
      <c r="AA51" s="729"/>
      <c r="AB51" s="732"/>
      <c r="AC51" s="729"/>
      <c r="AD51" s="480"/>
      <c r="AE51" s="480"/>
      <c r="AF51" s="729"/>
      <c r="AG51" s="322">
        <v>41944</v>
      </c>
      <c r="AH51" s="268"/>
      <c r="AI51" s="268"/>
      <c r="AJ51" s="349"/>
      <c r="AK51" s="268"/>
      <c r="AL51" s="349"/>
      <c r="AM51" s="435"/>
    </row>
    <row r="52" spans="1:39" x14ac:dyDescent="0.25">
      <c r="A52" s="358"/>
      <c r="B52" s="729"/>
      <c r="C52" s="729"/>
      <c r="D52" s="729"/>
      <c r="E52" s="729"/>
      <c r="F52" s="729"/>
      <c r="G52" s="729"/>
      <c r="H52" s="729"/>
      <c r="I52" s="729"/>
      <c r="J52" s="729"/>
      <c r="K52" s="729"/>
      <c r="L52" s="375">
        <f t="shared" si="2"/>
        <v>0</v>
      </c>
      <c r="M52" s="725"/>
      <c r="N52" s="16"/>
      <c r="O52" s="15"/>
      <c r="P52" s="722"/>
      <c r="Q52" s="84"/>
      <c r="R52" s="187"/>
      <c r="S52" s="89"/>
      <c r="T52" s="723"/>
      <c r="U52" s="480"/>
      <c r="V52" s="480"/>
      <c r="W52" s="480"/>
      <c r="X52" s="480"/>
      <c r="Y52" s="480"/>
      <c r="Z52" s="480"/>
      <c r="AA52" s="480"/>
      <c r="AB52" s="773"/>
      <c r="AC52" s="480"/>
      <c r="AD52" s="480"/>
      <c r="AE52" s="480"/>
      <c r="AF52" s="480"/>
      <c r="AG52" s="724"/>
      <c r="AH52" s="435"/>
      <c r="AI52" s="435"/>
      <c r="AJ52" s="435"/>
      <c r="AK52" s="435"/>
      <c r="AL52" s="435"/>
      <c r="AM52" s="435"/>
    </row>
    <row r="53" spans="1:39" x14ac:dyDescent="0.25">
      <c r="A53" s="358"/>
      <c r="B53" s="358"/>
      <c r="C53" s="729"/>
      <c r="D53" s="359"/>
      <c r="E53" s="729"/>
      <c r="F53" s="729"/>
      <c r="G53" s="729"/>
      <c r="H53" s="729"/>
      <c r="I53" s="729"/>
      <c r="J53" s="729"/>
      <c r="K53" s="729"/>
      <c r="L53" s="375">
        <f t="shared" si="2"/>
        <v>0</v>
      </c>
      <c r="M53" s="17"/>
      <c r="N53" s="16"/>
      <c r="O53" s="15"/>
      <c r="P53" s="91"/>
      <c r="Q53" s="84"/>
      <c r="R53" s="187"/>
      <c r="S53" s="89"/>
      <c r="T53" s="446"/>
      <c r="U53" s="358"/>
      <c r="V53" s="358"/>
      <c r="W53" s="729"/>
      <c r="X53" s="729"/>
      <c r="Y53" s="729"/>
      <c r="Z53" s="729"/>
      <c r="AA53" s="729"/>
      <c r="AB53" s="732"/>
      <c r="AC53" s="729"/>
      <c r="AD53" s="729"/>
      <c r="AE53" s="729"/>
      <c r="AF53" s="729"/>
      <c r="AM53" s="435"/>
    </row>
    <row r="54" spans="1:39" x14ac:dyDescent="0.25">
      <c r="A54" s="358"/>
      <c r="B54" s="358"/>
      <c r="C54" s="729"/>
      <c r="D54" s="359"/>
      <c r="E54" s="729"/>
      <c r="F54" s="729"/>
      <c r="G54" s="729"/>
      <c r="H54" s="729"/>
      <c r="I54" s="729"/>
      <c r="J54" s="729"/>
      <c r="K54" s="729"/>
      <c r="L54" s="375">
        <f t="shared" si="2"/>
        <v>0</v>
      </c>
      <c r="M54" s="17"/>
      <c r="N54" s="16"/>
      <c r="O54" s="15"/>
      <c r="P54" s="91"/>
      <c r="Q54" s="84"/>
      <c r="R54" s="187"/>
      <c r="S54" s="89"/>
      <c r="T54" s="446"/>
      <c r="U54" s="358"/>
      <c r="V54" s="358"/>
      <c r="W54" s="729"/>
      <c r="X54" s="729"/>
      <c r="Y54" s="729"/>
      <c r="Z54" s="729"/>
      <c r="AA54" s="729"/>
      <c r="AB54" s="732"/>
      <c r="AC54" s="729"/>
      <c r="AD54" s="729"/>
      <c r="AE54" s="729"/>
      <c r="AF54" s="729"/>
      <c r="AM54" s="435"/>
    </row>
    <row r="55" spans="1:39" x14ac:dyDescent="0.25">
      <c r="A55" s="358"/>
      <c r="B55" s="358"/>
      <c r="C55" s="729"/>
      <c r="D55" s="729"/>
      <c r="E55" s="729"/>
      <c r="F55" s="729"/>
      <c r="G55" s="729"/>
      <c r="H55" s="729"/>
      <c r="I55" s="729"/>
      <c r="J55" s="729"/>
      <c r="K55" s="729"/>
      <c r="L55" s="375">
        <f t="shared" si="2"/>
        <v>0</v>
      </c>
      <c r="M55" s="138"/>
      <c r="N55" s="134"/>
      <c r="O55" s="130"/>
      <c r="P55" s="183"/>
      <c r="Q55" s="468"/>
      <c r="R55" s="189"/>
      <c r="S55" s="472"/>
      <c r="T55" s="201"/>
      <c r="U55" s="358"/>
      <c r="V55" s="358"/>
      <c r="W55" s="729"/>
      <c r="X55" s="729"/>
      <c r="Y55" s="729"/>
      <c r="Z55" s="729"/>
      <c r="AA55" s="729"/>
      <c r="AB55" s="732"/>
      <c r="AC55" s="729"/>
      <c r="AD55" s="729"/>
      <c r="AE55" s="729"/>
      <c r="AF55" s="729"/>
      <c r="AM55" s="435"/>
    </row>
    <row r="56" spans="1:39" x14ac:dyDescent="0.25">
      <c r="A56" s="358"/>
      <c r="B56" s="358"/>
      <c r="C56" s="729"/>
      <c r="D56" s="359"/>
      <c r="E56" s="729"/>
      <c r="F56" s="729"/>
      <c r="G56" s="729"/>
      <c r="H56" s="729"/>
      <c r="I56" s="729"/>
      <c r="J56" s="729"/>
      <c r="K56" s="729"/>
      <c r="L56" s="375">
        <f t="shared" si="2"/>
        <v>0</v>
      </c>
      <c r="M56" s="138"/>
      <c r="N56" s="134"/>
      <c r="O56" s="130"/>
      <c r="P56" s="183"/>
      <c r="Q56" s="84"/>
      <c r="R56" s="187"/>
      <c r="S56" s="473"/>
      <c r="T56" s="446"/>
      <c r="U56" s="358"/>
      <c r="V56" s="358"/>
      <c r="W56" s="729"/>
      <c r="X56" s="729"/>
      <c r="Y56" s="729"/>
      <c r="Z56" s="729"/>
      <c r="AA56" s="729"/>
      <c r="AB56" s="729"/>
      <c r="AC56" s="729"/>
      <c r="AD56" s="729"/>
      <c r="AE56" s="729"/>
      <c r="AF56" s="729"/>
    </row>
    <row r="57" spans="1:39" x14ac:dyDescent="0.25">
      <c r="A57" s="358"/>
      <c r="B57" s="358"/>
      <c r="C57" s="729"/>
      <c r="D57" s="359"/>
      <c r="E57" s="729"/>
      <c r="F57" s="729"/>
      <c r="G57" s="729"/>
      <c r="H57" s="729"/>
      <c r="I57" s="729"/>
      <c r="J57" s="729"/>
      <c r="K57" s="729"/>
      <c r="L57" s="375">
        <f t="shared" si="2"/>
        <v>0</v>
      </c>
      <c r="M57" s="138"/>
      <c r="N57" s="134"/>
      <c r="O57" s="130"/>
      <c r="P57" s="183"/>
      <c r="Q57" s="84"/>
      <c r="R57" s="187"/>
      <c r="S57" s="89"/>
      <c r="T57" s="446"/>
      <c r="U57" s="358"/>
      <c r="V57" s="358"/>
      <c r="W57" s="729"/>
      <c r="X57" s="729"/>
      <c r="Y57" s="729"/>
      <c r="Z57" s="729"/>
      <c r="AA57" s="729"/>
      <c r="AB57" s="729"/>
      <c r="AC57" s="729"/>
      <c r="AD57" s="729"/>
      <c r="AE57" s="729"/>
      <c r="AF57" s="729"/>
    </row>
    <row r="58" spans="1:39" x14ac:dyDescent="0.25">
      <c r="A58" s="358"/>
      <c r="B58" s="358"/>
      <c r="C58" s="729"/>
      <c r="D58" s="359"/>
      <c r="E58" s="729"/>
      <c r="F58" s="729"/>
      <c r="G58" s="729"/>
      <c r="H58" s="729"/>
      <c r="I58" s="729"/>
      <c r="J58" s="729"/>
      <c r="K58" s="729"/>
      <c r="L58" s="375">
        <f t="shared" si="2"/>
        <v>0</v>
      </c>
      <c r="M58" s="17"/>
      <c r="N58" s="16"/>
      <c r="O58" s="15"/>
      <c r="P58" s="91"/>
      <c r="Q58" s="84"/>
      <c r="R58" s="187"/>
      <c r="S58" s="89"/>
      <c r="T58" s="201"/>
      <c r="U58" s="358"/>
      <c r="V58" s="358"/>
      <c r="W58" s="729"/>
      <c r="X58" s="729"/>
      <c r="Y58" s="729"/>
      <c r="Z58" s="729"/>
      <c r="AA58" s="729"/>
      <c r="AB58" s="732"/>
      <c r="AC58" s="729"/>
      <c r="AD58" s="729"/>
      <c r="AE58" s="729"/>
      <c r="AF58" s="729"/>
      <c r="AG58" s="308" t="s">
        <v>178</v>
      </c>
      <c r="AH58" s="268" t="s">
        <v>48</v>
      </c>
      <c r="AI58" s="268" t="s">
        <v>175</v>
      </c>
      <c r="AJ58" s="1017" t="s">
        <v>176</v>
      </c>
      <c r="AK58" s="1018"/>
    </row>
    <row r="59" spans="1:39" x14ac:dyDescent="0.25">
      <c r="A59" s="358"/>
      <c r="B59" s="358"/>
      <c r="C59" s="729"/>
      <c r="D59" s="359"/>
      <c r="E59" s="729"/>
      <c r="F59" s="729"/>
      <c r="G59" s="729"/>
      <c r="H59" s="729"/>
      <c r="I59" s="729"/>
      <c r="J59" s="729"/>
      <c r="K59" s="729"/>
      <c r="L59" s="375">
        <f t="shared" si="2"/>
        <v>0</v>
      </c>
      <c r="M59" s="17"/>
      <c r="N59" s="16"/>
      <c r="O59" s="15"/>
      <c r="P59" s="91"/>
      <c r="Q59" s="84"/>
      <c r="R59" s="187"/>
      <c r="S59" s="89"/>
      <c r="T59" s="446"/>
      <c r="U59" s="358"/>
      <c r="V59" s="358"/>
      <c r="W59" s="729"/>
      <c r="X59" s="729"/>
      <c r="Y59" s="729"/>
      <c r="Z59" s="729"/>
      <c r="AA59" s="729"/>
      <c r="AB59" s="732"/>
      <c r="AC59" s="729"/>
      <c r="AD59" s="729"/>
      <c r="AE59" s="729"/>
      <c r="AF59" s="729"/>
      <c r="AG59" s="308" t="s">
        <v>172</v>
      </c>
      <c r="AH59" s="352">
        <f>COUNTIF('IDL STATS'!AF:AF, "A (0-0.25)")</f>
        <v>8</v>
      </c>
      <c r="AI59" s="268"/>
      <c r="AJ59" s="1017"/>
      <c r="AK59" s="1018"/>
    </row>
    <row r="60" spans="1:39" x14ac:dyDescent="0.25">
      <c r="A60" s="358"/>
      <c r="B60" s="358"/>
      <c r="C60" s="729"/>
      <c r="D60" s="359"/>
      <c r="E60" s="729"/>
      <c r="F60" s="729"/>
      <c r="G60" s="729"/>
      <c r="H60" s="729"/>
      <c r="I60" s="729"/>
      <c r="J60" s="729"/>
      <c r="K60" s="729"/>
      <c r="L60" s="375">
        <f t="shared" si="2"/>
        <v>0</v>
      </c>
      <c r="M60" s="17"/>
      <c r="N60" s="16"/>
      <c r="O60" s="15"/>
      <c r="P60" s="91"/>
      <c r="Q60" s="84"/>
      <c r="R60" s="187"/>
      <c r="S60" s="89"/>
      <c r="T60" s="446"/>
      <c r="U60" s="358"/>
      <c r="V60" s="358"/>
      <c r="W60" s="729"/>
      <c r="X60" s="729"/>
      <c r="Y60" s="729"/>
      <c r="Z60" s="729"/>
      <c r="AA60" s="729"/>
      <c r="AB60" s="729"/>
      <c r="AC60" s="729"/>
      <c r="AD60" s="729"/>
      <c r="AE60" s="729"/>
      <c r="AF60" s="729"/>
      <c r="AG60" s="308" t="s">
        <v>179</v>
      </c>
      <c r="AH60" s="352">
        <f>COUNTIF('IDL STATS'!AF:AF, "B (0.26-9)")</f>
        <v>5</v>
      </c>
      <c r="AI60" s="268"/>
      <c r="AJ60" s="1017"/>
      <c r="AK60" s="1018"/>
    </row>
    <row r="61" spans="1:39" x14ac:dyDescent="0.25">
      <c r="A61" s="358"/>
      <c r="B61" s="358"/>
      <c r="C61" s="729"/>
      <c r="D61" s="359"/>
      <c r="E61" s="729"/>
      <c r="F61" s="729"/>
      <c r="G61" s="729"/>
      <c r="H61" s="729"/>
      <c r="I61" s="729"/>
      <c r="J61" s="729"/>
      <c r="K61" s="729"/>
      <c r="L61" s="375">
        <f t="shared" si="2"/>
        <v>0</v>
      </c>
      <c r="M61" s="17"/>
      <c r="N61" s="16"/>
      <c r="O61" s="15"/>
      <c r="P61" s="91"/>
      <c r="Q61" s="84"/>
      <c r="R61" s="187"/>
      <c r="S61" s="89"/>
      <c r="T61" s="446"/>
      <c r="U61" s="358"/>
      <c r="V61" s="358"/>
      <c r="W61" s="729"/>
      <c r="X61" s="729"/>
      <c r="Y61" s="729"/>
      <c r="Z61" s="729"/>
      <c r="AA61" s="729"/>
      <c r="AB61" s="732"/>
      <c r="AC61" s="729"/>
      <c r="AD61" s="729"/>
      <c r="AE61" s="729"/>
      <c r="AF61" s="729"/>
      <c r="AG61" s="308" t="s">
        <v>173</v>
      </c>
      <c r="AH61" s="352">
        <f>COUNTIF('IDL STATS'!AF:AF,"C (10-99)")</f>
        <v>1</v>
      </c>
      <c r="AI61" s="269"/>
      <c r="AJ61" s="1017"/>
      <c r="AK61" s="1018"/>
    </row>
    <row r="62" spans="1:39" x14ac:dyDescent="0.25">
      <c r="A62" s="358"/>
      <c r="B62" s="358"/>
      <c r="C62" s="729"/>
      <c r="D62" s="359"/>
      <c r="E62" s="729"/>
      <c r="F62" s="729"/>
      <c r="G62" s="729"/>
      <c r="H62" s="729"/>
      <c r="I62" s="729"/>
      <c r="J62" s="729"/>
      <c r="K62" s="729"/>
      <c r="L62" s="375">
        <f t="shared" si="2"/>
        <v>0</v>
      </c>
      <c r="M62" s="17"/>
      <c r="N62" s="16"/>
      <c r="O62" s="15"/>
      <c r="P62" s="91"/>
      <c r="Q62" s="84"/>
      <c r="R62" s="187"/>
      <c r="S62" s="89"/>
      <c r="T62" s="446"/>
      <c r="U62" s="358"/>
      <c r="V62" s="358"/>
      <c r="W62" s="729"/>
      <c r="X62" s="729"/>
      <c r="Y62" s="729"/>
      <c r="Z62" s="729"/>
      <c r="AA62" s="729"/>
      <c r="AB62" s="732"/>
      <c r="AC62" s="729"/>
      <c r="AD62" s="729"/>
      <c r="AE62" s="729"/>
      <c r="AF62" s="729"/>
      <c r="AG62" s="308" t="s">
        <v>174</v>
      </c>
      <c r="AH62" s="352">
        <f>COUNTIF('IDL STATS'!AF:AF,"D (100-299)")</f>
        <v>0</v>
      </c>
      <c r="AI62" s="269"/>
      <c r="AJ62" s="1017"/>
      <c r="AK62" s="1018"/>
    </row>
    <row r="63" spans="1:39" x14ac:dyDescent="0.25">
      <c r="A63" s="358"/>
      <c r="B63" s="358"/>
      <c r="C63" s="729"/>
      <c r="D63" s="359"/>
      <c r="E63" s="729"/>
      <c r="F63" s="729"/>
      <c r="G63" s="729"/>
      <c r="H63" s="729"/>
      <c r="I63" s="729"/>
      <c r="J63" s="729"/>
      <c r="K63" s="729"/>
      <c r="L63" s="375">
        <f t="shared" si="2"/>
        <v>0</v>
      </c>
      <c r="M63" s="17"/>
      <c r="N63" s="16"/>
      <c r="O63" s="15"/>
      <c r="P63" s="91"/>
      <c r="Q63" s="84"/>
      <c r="R63" s="187"/>
      <c r="S63" s="89"/>
      <c r="T63" s="446"/>
      <c r="U63" s="358"/>
      <c r="V63" s="358"/>
      <c r="W63" s="729"/>
      <c r="X63" s="729"/>
      <c r="Y63" s="729"/>
      <c r="Z63" s="729"/>
      <c r="AA63" s="729"/>
      <c r="AB63" s="729"/>
      <c r="AC63" s="729"/>
      <c r="AD63" s="729"/>
      <c r="AE63" s="729"/>
      <c r="AF63" s="729"/>
      <c r="AG63" s="308" t="s">
        <v>157</v>
      </c>
      <c r="AH63" s="352">
        <f>COUNTIF('IDL STATS'!AF:AF,"E (300-999)")</f>
        <v>1</v>
      </c>
      <c r="AI63" s="269"/>
      <c r="AJ63" s="1017"/>
      <c r="AK63" s="1018"/>
    </row>
    <row r="64" spans="1:39" x14ac:dyDescent="0.25">
      <c r="A64" s="358"/>
      <c r="B64" s="358"/>
      <c r="C64" s="729"/>
      <c r="D64" s="359"/>
      <c r="E64" s="729"/>
      <c r="F64" s="729"/>
      <c r="G64" s="729"/>
      <c r="H64" s="729"/>
      <c r="I64" s="729"/>
      <c r="J64" s="729"/>
      <c r="K64" s="729"/>
      <c r="L64" s="375">
        <f t="shared" si="2"/>
        <v>0</v>
      </c>
      <c r="M64" s="17"/>
      <c r="N64" s="16"/>
      <c r="O64" s="15"/>
      <c r="P64" s="91"/>
      <c r="Q64" s="84"/>
      <c r="R64" s="187"/>
      <c r="S64" s="89"/>
      <c r="T64" s="446"/>
      <c r="U64" s="358"/>
      <c r="V64" s="358"/>
      <c r="W64" s="729"/>
      <c r="X64" s="729"/>
      <c r="Y64" s="729"/>
      <c r="Z64" s="729"/>
      <c r="AA64" s="729"/>
      <c r="AB64" s="729"/>
      <c r="AC64" s="729"/>
      <c r="AD64" s="729"/>
      <c r="AE64" s="729"/>
      <c r="AF64" s="729"/>
      <c r="AG64" s="308" t="s">
        <v>190</v>
      </c>
      <c r="AH64" s="352">
        <f>COUNTIF('IDL STATS'!AI:AI,"F (1000-4999)")</f>
        <v>0</v>
      </c>
      <c r="AI64" s="269"/>
      <c r="AJ64" s="1017"/>
      <c r="AK64" s="1018"/>
    </row>
    <row r="65" spans="1:37" x14ac:dyDescent="0.25">
      <c r="A65" s="358"/>
      <c r="B65" s="358"/>
      <c r="C65" s="91"/>
      <c r="D65" s="359"/>
      <c r="E65" s="91"/>
      <c r="F65" s="91"/>
      <c r="G65" s="91"/>
      <c r="H65" s="91"/>
      <c r="I65" s="91"/>
      <c r="J65" s="91"/>
      <c r="K65" s="91"/>
      <c r="L65" s="375">
        <f t="shared" si="2"/>
        <v>0</v>
      </c>
      <c r="M65" s="17"/>
      <c r="N65" s="16"/>
      <c r="O65" s="15"/>
      <c r="P65" s="91"/>
      <c r="Q65" s="84"/>
      <c r="R65" s="187"/>
      <c r="S65" s="89"/>
      <c r="T65" s="446"/>
      <c r="U65" s="358"/>
      <c r="V65" s="358"/>
      <c r="W65" s="729"/>
      <c r="X65" s="729"/>
      <c r="Y65" s="729"/>
      <c r="Z65" s="729"/>
      <c r="AA65" s="729"/>
      <c r="AB65" s="729"/>
      <c r="AC65" s="729"/>
      <c r="AD65" s="729"/>
      <c r="AE65" s="729"/>
      <c r="AF65" s="729"/>
      <c r="AG65" s="308" t="s">
        <v>180</v>
      </c>
      <c r="AH65" s="352">
        <f>COUNTIF('IDL STATS'!AF:AF,"G (5000+)")</f>
        <v>0</v>
      </c>
      <c r="AI65" s="269"/>
      <c r="AJ65" s="1017"/>
      <c r="AK65" s="1018"/>
    </row>
    <row r="66" spans="1:37" x14ac:dyDescent="0.25">
      <c r="A66" s="358"/>
      <c r="B66" s="358"/>
      <c r="C66" s="91"/>
      <c r="D66" s="359"/>
      <c r="E66" s="91"/>
      <c r="F66" s="91"/>
      <c r="G66" s="91"/>
      <c r="H66" s="91"/>
      <c r="I66" s="91"/>
      <c r="J66" s="91"/>
      <c r="K66" s="91"/>
      <c r="L66" s="375">
        <f t="shared" si="2"/>
        <v>0</v>
      </c>
      <c r="M66" s="17"/>
      <c r="N66" s="134"/>
      <c r="O66" s="15"/>
      <c r="P66" s="91"/>
      <c r="Q66" s="84"/>
      <c r="R66" s="187"/>
      <c r="S66" s="89"/>
      <c r="T66" s="446"/>
      <c r="U66" s="358"/>
      <c r="V66" s="358"/>
      <c r="W66" s="729"/>
      <c r="X66" s="729"/>
      <c r="Y66" s="729"/>
      <c r="Z66" s="729"/>
      <c r="AA66" s="729"/>
      <c r="AB66" s="729"/>
      <c r="AC66" s="729"/>
      <c r="AD66" s="729"/>
      <c r="AE66" s="729"/>
      <c r="AF66" s="729"/>
    </row>
    <row r="67" spans="1:37" x14ac:dyDescent="0.25">
      <c r="A67" s="358"/>
      <c r="B67" s="358"/>
      <c r="C67" s="91"/>
      <c r="D67" s="359"/>
      <c r="E67" s="91"/>
      <c r="F67" s="91"/>
      <c r="G67" s="91"/>
      <c r="H67" s="91"/>
      <c r="I67" s="91"/>
      <c r="J67" s="91"/>
      <c r="K67" s="91"/>
      <c r="L67" s="375">
        <f t="shared" si="2"/>
        <v>0</v>
      </c>
      <c r="M67" s="17"/>
      <c r="N67" s="134"/>
      <c r="O67" s="15"/>
      <c r="P67" s="91"/>
      <c r="Q67" s="84"/>
      <c r="R67" s="187"/>
      <c r="S67" s="89"/>
      <c r="T67" s="446"/>
      <c r="U67" s="358"/>
      <c r="V67" s="358"/>
      <c r="W67" s="729"/>
      <c r="X67" s="729"/>
      <c r="Y67" s="729"/>
      <c r="Z67" s="729"/>
      <c r="AA67" s="729"/>
      <c r="AB67" s="729"/>
      <c r="AC67" s="729"/>
      <c r="AD67" s="729"/>
      <c r="AE67" s="729"/>
      <c r="AF67" s="729"/>
    </row>
    <row r="68" spans="1:37" x14ac:dyDescent="0.25">
      <c r="A68" s="358"/>
      <c r="B68" s="358"/>
      <c r="C68" s="91"/>
      <c r="D68" s="359"/>
      <c r="E68" s="91"/>
      <c r="F68" s="91"/>
      <c r="G68" s="91"/>
      <c r="H68" s="91"/>
      <c r="I68" s="91"/>
      <c r="J68" s="91"/>
      <c r="K68" s="91"/>
      <c r="L68" s="375">
        <f t="shared" si="2"/>
        <v>0</v>
      </c>
      <c r="M68" s="17"/>
      <c r="N68" s="16"/>
      <c r="O68" s="15"/>
      <c r="P68" s="91"/>
      <c r="Q68" s="84"/>
      <c r="R68" s="187"/>
      <c r="S68" s="89"/>
      <c r="T68" s="446"/>
      <c r="U68" s="358"/>
      <c r="V68" s="358"/>
      <c r="W68" s="729"/>
      <c r="X68" s="729"/>
      <c r="Y68" s="729"/>
      <c r="Z68" s="729"/>
      <c r="AA68" s="729"/>
      <c r="AB68" s="729"/>
      <c r="AC68" s="729"/>
      <c r="AD68" s="729"/>
      <c r="AE68" s="729"/>
      <c r="AF68" s="729"/>
      <c r="AG68" t="s">
        <v>6</v>
      </c>
    </row>
    <row r="69" spans="1:37" x14ac:dyDescent="0.25">
      <c r="A69" s="358"/>
      <c r="B69" s="367"/>
      <c r="C69" s="91"/>
      <c r="D69" s="359"/>
      <c r="E69" s="91"/>
      <c r="F69" s="91"/>
      <c r="G69" s="91"/>
      <c r="H69" s="91"/>
      <c r="I69" s="91"/>
      <c r="J69" s="91"/>
      <c r="K69" s="91"/>
      <c r="L69" s="375">
        <f t="shared" si="2"/>
        <v>0</v>
      </c>
      <c r="M69" s="17"/>
      <c r="N69" s="16"/>
      <c r="O69" s="15"/>
      <c r="P69" s="91"/>
      <c r="Q69" s="84"/>
      <c r="R69" s="187"/>
      <c r="S69" s="89"/>
      <c r="T69" s="446"/>
      <c r="U69" s="358"/>
      <c r="V69" s="358"/>
      <c r="W69" s="729"/>
      <c r="X69" s="729"/>
      <c r="Y69" s="729"/>
      <c r="Z69" s="729"/>
      <c r="AA69" s="729"/>
      <c r="AB69" s="729"/>
      <c r="AC69" s="729"/>
      <c r="AD69" s="729"/>
      <c r="AE69" s="729"/>
      <c r="AF69" s="729"/>
    </row>
    <row r="70" spans="1:37" x14ac:dyDescent="0.25">
      <c r="A70" s="358"/>
      <c r="B70" s="367"/>
      <c r="C70" s="91"/>
      <c r="D70" s="359"/>
      <c r="E70" s="91"/>
      <c r="F70" s="91"/>
      <c r="G70" s="91"/>
      <c r="H70" s="91"/>
      <c r="I70" s="91"/>
      <c r="J70" s="91"/>
      <c r="K70" s="91"/>
      <c r="L70" s="375">
        <f t="shared" si="2"/>
        <v>0</v>
      </c>
      <c r="M70" s="17"/>
      <c r="N70" s="16"/>
      <c r="O70" s="15"/>
      <c r="P70" s="91"/>
      <c r="Q70" s="84"/>
      <c r="R70" s="187"/>
      <c r="S70" s="89"/>
      <c r="T70" s="446"/>
      <c r="U70" s="358"/>
      <c r="V70" s="358"/>
      <c r="W70" s="729"/>
      <c r="X70" s="729"/>
      <c r="Y70" s="729"/>
      <c r="Z70" s="729"/>
      <c r="AA70" s="729"/>
      <c r="AB70" s="729"/>
      <c r="AC70" s="729"/>
      <c r="AD70" s="729"/>
      <c r="AE70" s="729"/>
      <c r="AF70" s="729"/>
    </row>
    <row r="71" spans="1:37" x14ac:dyDescent="0.25">
      <c r="A71" s="358"/>
      <c r="B71" s="358"/>
      <c r="C71" s="91"/>
      <c r="D71" s="359"/>
      <c r="E71" s="91"/>
      <c r="F71" s="91"/>
      <c r="G71" s="91"/>
      <c r="H71" s="91"/>
      <c r="I71" s="91"/>
      <c r="J71" s="91"/>
      <c r="K71" s="91"/>
      <c r="L71" s="375">
        <f t="shared" si="2"/>
        <v>0</v>
      </c>
      <c r="M71" s="17"/>
      <c r="N71" s="16"/>
      <c r="O71" s="15"/>
      <c r="P71" s="91"/>
      <c r="Q71" s="84"/>
      <c r="R71" s="187"/>
      <c r="S71" s="89"/>
      <c r="T71" s="446"/>
      <c r="U71" s="358"/>
      <c r="V71" s="358"/>
      <c r="W71" s="729"/>
      <c r="X71" s="729"/>
      <c r="Y71" s="729"/>
      <c r="Z71" s="729"/>
      <c r="AA71" s="729"/>
      <c r="AB71" s="732"/>
      <c r="AC71" s="729"/>
      <c r="AD71" s="729"/>
      <c r="AE71" s="729"/>
      <c r="AF71" s="729"/>
    </row>
    <row r="72" spans="1:37" x14ac:dyDescent="0.25">
      <c r="A72" s="358"/>
      <c r="B72" s="358"/>
      <c r="C72" s="91"/>
      <c r="D72" s="359"/>
      <c r="E72" s="91"/>
      <c r="F72" s="91"/>
      <c r="G72" s="91"/>
      <c r="H72" s="91"/>
      <c r="I72" s="91"/>
      <c r="J72" s="91"/>
      <c r="K72" s="91"/>
      <c r="L72" s="375">
        <f t="shared" si="2"/>
        <v>0</v>
      </c>
      <c r="M72" s="138"/>
      <c r="N72" s="134"/>
      <c r="O72" s="130"/>
      <c r="P72" s="183"/>
      <c r="Q72" s="468"/>
      <c r="R72" s="189"/>
      <c r="S72" s="89"/>
      <c r="T72" s="446"/>
      <c r="U72" s="358"/>
      <c r="V72" s="358"/>
      <c r="W72" s="729"/>
      <c r="X72" s="729"/>
      <c r="Y72" s="729"/>
      <c r="Z72" s="729"/>
      <c r="AA72" s="729"/>
      <c r="AB72" s="732"/>
      <c r="AC72" s="729"/>
      <c r="AD72" s="729"/>
      <c r="AE72" s="729"/>
      <c r="AF72" s="729"/>
    </row>
    <row r="73" spans="1:37" x14ac:dyDescent="0.25">
      <c r="A73" s="358"/>
      <c r="B73" s="358"/>
      <c r="C73" s="91"/>
      <c r="D73" s="359"/>
      <c r="E73" s="91"/>
      <c r="F73" s="91"/>
      <c r="G73" s="91"/>
      <c r="H73" s="91"/>
      <c r="I73" s="91"/>
      <c r="J73" s="91"/>
      <c r="K73" s="91"/>
      <c r="L73" s="375">
        <f t="shared" si="2"/>
        <v>0</v>
      </c>
      <c r="M73" s="138"/>
      <c r="N73" s="134"/>
      <c r="O73" s="130"/>
      <c r="P73" s="183"/>
      <c r="Q73" s="468"/>
      <c r="R73" s="189"/>
      <c r="S73" s="89"/>
      <c r="T73" s="446"/>
      <c r="U73" s="358"/>
      <c r="V73" s="358"/>
      <c r="W73" s="729"/>
      <c r="X73" s="729"/>
      <c r="Y73" s="729"/>
      <c r="Z73" s="729"/>
      <c r="AA73" s="729"/>
      <c r="AB73" s="732"/>
      <c r="AC73" s="729"/>
      <c r="AD73" s="729"/>
      <c r="AE73" s="729"/>
      <c r="AF73" s="729"/>
    </row>
    <row r="74" spans="1:37" x14ac:dyDescent="0.25">
      <c r="A74" s="358"/>
      <c r="B74" s="358"/>
      <c r="C74" s="91"/>
      <c r="D74" s="359"/>
      <c r="E74" s="91"/>
      <c r="F74" s="91"/>
      <c r="G74" s="91"/>
      <c r="H74" s="91"/>
      <c r="I74" s="91"/>
      <c r="J74" s="91"/>
      <c r="K74" s="91"/>
      <c r="L74" s="375">
        <f t="shared" si="2"/>
        <v>0</v>
      </c>
      <c r="M74" s="17"/>
      <c r="N74" s="16"/>
      <c r="O74" s="15"/>
      <c r="P74" s="91"/>
      <c r="Q74" s="84"/>
      <c r="R74" s="187"/>
      <c r="S74" s="89"/>
      <c r="T74" s="446"/>
      <c r="U74" s="358"/>
      <c r="V74" s="358"/>
      <c r="W74" s="91"/>
      <c r="X74" s="91"/>
      <c r="Y74" s="91"/>
      <c r="Z74" s="91"/>
      <c r="AA74" s="91"/>
      <c r="AB74" s="372"/>
      <c r="AC74" s="91"/>
      <c r="AD74" s="91"/>
      <c r="AE74" s="91"/>
      <c r="AF74" s="91"/>
    </row>
    <row r="75" spans="1:37" x14ac:dyDescent="0.25">
      <c r="A75" s="358"/>
      <c r="B75" s="358"/>
      <c r="C75" s="91"/>
      <c r="D75" s="359"/>
      <c r="E75" s="91"/>
      <c r="F75" s="91"/>
      <c r="G75" s="91"/>
      <c r="H75" s="91"/>
      <c r="I75" s="91"/>
      <c r="J75" s="91"/>
      <c r="K75" s="91"/>
      <c r="L75" s="375">
        <f t="shared" si="2"/>
        <v>0</v>
      </c>
      <c r="M75" s="17"/>
      <c r="N75" s="16"/>
      <c r="O75" s="15"/>
      <c r="P75" s="91"/>
      <c r="Q75" s="84"/>
      <c r="R75" s="187"/>
      <c r="S75" s="89"/>
      <c r="T75" s="446"/>
      <c r="U75" s="358"/>
      <c r="V75" s="358"/>
      <c r="W75" s="91"/>
      <c r="X75" s="91"/>
      <c r="Y75" s="91"/>
      <c r="Z75" s="91"/>
      <c r="AA75" s="91"/>
      <c r="AB75" s="372"/>
      <c r="AC75" s="91"/>
      <c r="AD75" s="91"/>
      <c r="AE75" s="91"/>
      <c r="AF75" s="91"/>
    </row>
    <row r="76" spans="1:37" x14ac:dyDescent="0.25">
      <c r="A76" s="358"/>
      <c r="B76" s="358"/>
      <c r="C76" s="91"/>
      <c r="D76" s="359"/>
      <c r="E76" s="368"/>
      <c r="F76" s="91"/>
      <c r="G76" s="91"/>
      <c r="H76" s="91"/>
      <c r="I76" s="91"/>
      <c r="J76" s="91"/>
      <c r="K76" s="91"/>
      <c r="L76" s="375">
        <f t="shared" si="2"/>
        <v>0</v>
      </c>
      <c r="M76" s="17"/>
      <c r="N76" s="16"/>
      <c r="O76" s="15"/>
      <c r="P76" s="91"/>
      <c r="Q76" s="84"/>
      <c r="R76" s="187"/>
      <c r="S76" s="89"/>
      <c r="T76" s="446"/>
      <c r="U76" s="358"/>
      <c r="V76" s="358"/>
      <c r="W76" s="91"/>
      <c r="X76" s="91"/>
      <c r="Y76" s="91"/>
      <c r="Z76" s="91"/>
      <c r="AA76" s="91"/>
      <c r="AB76" s="372"/>
      <c r="AC76" s="91"/>
      <c r="AD76" s="91"/>
      <c r="AE76" s="91"/>
      <c r="AF76" s="91"/>
    </row>
    <row r="77" spans="1:37" x14ac:dyDescent="0.25">
      <c r="A77" s="358"/>
      <c r="B77" s="358"/>
      <c r="C77" s="91"/>
      <c r="D77" s="359"/>
      <c r="E77" s="368"/>
      <c r="F77" s="91"/>
      <c r="G77" s="91"/>
      <c r="H77" s="91"/>
      <c r="I77" s="91"/>
      <c r="J77" s="91"/>
      <c r="K77" s="91"/>
      <c r="L77" s="375">
        <f t="shared" si="2"/>
        <v>0</v>
      </c>
      <c r="M77" s="17"/>
      <c r="N77" s="16"/>
      <c r="O77" s="15"/>
      <c r="P77" s="91"/>
      <c r="Q77" s="84"/>
      <c r="R77" s="187"/>
      <c r="S77" s="89"/>
      <c r="T77" s="446"/>
      <c r="U77" s="358"/>
      <c r="V77" s="358"/>
      <c r="W77" s="91"/>
      <c r="X77" s="91"/>
      <c r="Y77" s="91"/>
      <c r="Z77" s="91"/>
      <c r="AA77" s="91"/>
      <c r="AB77" s="372"/>
      <c r="AC77" s="91"/>
      <c r="AD77" s="91"/>
      <c r="AE77" s="91"/>
      <c r="AF77" s="91"/>
    </row>
    <row r="78" spans="1:37" x14ac:dyDescent="0.25">
      <c r="A78" s="358"/>
      <c r="B78" s="358"/>
      <c r="C78" s="91"/>
      <c r="D78" s="359"/>
      <c r="E78" s="368"/>
      <c r="F78" s="91"/>
      <c r="G78" s="91"/>
      <c r="H78" s="91"/>
      <c r="I78" s="91"/>
      <c r="J78" s="91"/>
      <c r="K78" s="91"/>
      <c r="L78" s="375">
        <f t="shared" si="2"/>
        <v>0</v>
      </c>
      <c r="M78" s="17"/>
      <c r="N78" s="16"/>
      <c r="O78" s="15"/>
      <c r="P78" s="91"/>
      <c r="Q78" s="84"/>
      <c r="R78" s="187"/>
      <c r="S78" s="89"/>
      <c r="T78" s="446"/>
      <c r="U78" s="358"/>
      <c r="V78" s="358"/>
      <c r="W78" s="91"/>
      <c r="X78" s="91"/>
      <c r="Y78" s="91"/>
      <c r="Z78" s="91"/>
      <c r="AA78" s="91"/>
      <c r="AB78" s="372"/>
      <c r="AC78" s="91"/>
      <c r="AD78" s="91"/>
      <c r="AE78" s="91"/>
      <c r="AF78" s="91"/>
    </row>
    <row r="79" spans="1:37" x14ac:dyDescent="0.25">
      <c r="A79" s="358"/>
      <c r="B79" s="358"/>
      <c r="C79" s="91"/>
      <c r="D79" s="359"/>
      <c r="E79" s="368"/>
      <c r="F79" s="91"/>
      <c r="G79" s="91"/>
      <c r="H79" s="91"/>
      <c r="I79" s="91"/>
      <c r="J79" s="91"/>
      <c r="K79" s="91"/>
      <c r="L79" s="375">
        <f t="shared" si="2"/>
        <v>0</v>
      </c>
      <c r="M79" s="17"/>
      <c r="N79" s="16"/>
      <c r="O79" s="15"/>
      <c r="P79" s="91"/>
      <c r="Q79" s="84"/>
      <c r="R79" s="187"/>
      <c r="S79" s="89"/>
      <c r="T79" s="446"/>
      <c r="U79" s="358"/>
      <c r="V79" s="358"/>
      <c r="W79" s="91"/>
      <c r="X79" s="91"/>
      <c r="Y79" s="91"/>
      <c r="Z79" s="91"/>
      <c r="AA79" s="91"/>
      <c r="AB79" s="372"/>
      <c r="AC79" s="91"/>
      <c r="AD79" s="91"/>
      <c r="AE79" s="91"/>
      <c r="AF79" s="91"/>
    </row>
    <row r="80" spans="1:37" x14ac:dyDescent="0.25">
      <c r="A80" s="358"/>
      <c r="B80" s="358"/>
      <c r="C80" s="91"/>
      <c r="D80" s="359"/>
      <c r="E80" s="91"/>
      <c r="F80" s="91"/>
      <c r="G80" s="91"/>
      <c r="H80" s="91"/>
      <c r="I80" s="91"/>
      <c r="J80" s="91"/>
      <c r="K80" s="91"/>
      <c r="L80" s="375">
        <f t="shared" si="2"/>
        <v>0</v>
      </c>
      <c r="M80" s="17"/>
      <c r="N80" s="16"/>
      <c r="O80" s="15"/>
      <c r="P80" s="91"/>
      <c r="Q80" s="84"/>
      <c r="R80" s="187"/>
      <c r="S80" s="89"/>
      <c r="T80" s="446"/>
      <c r="U80" s="358"/>
      <c r="V80" s="358"/>
      <c r="W80" s="91"/>
      <c r="X80" s="91"/>
      <c r="Y80" s="91"/>
      <c r="Z80" s="91"/>
      <c r="AA80" s="91"/>
      <c r="AB80" s="372"/>
      <c r="AC80" s="91"/>
      <c r="AD80" s="91"/>
      <c r="AE80" s="91"/>
      <c r="AF80" s="91"/>
    </row>
    <row r="81" spans="1:32" x14ac:dyDescent="0.25">
      <c r="A81" s="358"/>
      <c r="B81" s="358"/>
      <c r="C81" s="91"/>
      <c r="D81" s="359"/>
      <c r="E81" s="91"/>
      <c r="F81" s="91"/>
      <c r="G81" s="91"/>
      <c r="H81" s="91"/>
      <c r="I81" s="91"/>
      <c r="J81" s="91"/>
      <c r="K81" s="91"/>
      <c r="L81" s="375">
        <f t="shared" ref="L81:L115" si="3">SUM(M81:T81)</f>
        <v>0</v>
      </c>
      <c r="M81" s="17"/>
      <c r="N81" s="16"/>
      <c r="O81" s="15"/>
      <c r="P81" s="91"/>
      <c r="Q81" s="84"/>
      <c r="R81" s="187"/>
      <c r="S81" s="89"/>
      <c r="T81" s="446"/>
      <c r="U81" s="358"/>
      <c r="V81" s="358"/>
      <c r="W81" s="91"/>
      <c r="X81" s="91"/>
      <c r="Y81" s="91"/>
      <c r="Z81" s="91"/>
      <c r="AA81" s="91"/>
      <c r="AB81" s="372"/>
      <c r="AC81" s="91"/>
      <c r="AD81" s="91"/>
      <c r="AE81" s="91"/>
      <c r="AF81" s="91"/>
    </row>
    <row r="82" spans="1:32" x14ac:dyDescent="0.25">
      <c r="A82" s="358"/>
      <c r="B82" s="358"/>
      <c r="C82" s="91"/>
      <c r="D82" s="359"/>
      <c r="E82" s="91"/>
      <c r="F82" s="91"/>
      <c r="G82" s="91"/>
      <c r="H82" s="91"/>
      <c r="I82" s="91"/>
      <c r="J82" s="91"/>
      <c r="K82" s="91"/>
      <c r="L82" s="375">
        <f t="shared" si="3"/>
        <v>0</v>
      </c>
      <c r="M82" s="138"/>
      <c r="N82" s="134"/>
      <c r="O82" s="15"/>
      <c r="P82" s="91"/>
      <c r="Q82" s="84"/>
      <c r="R82" s="187"/>
      <c r="S82" s="89"/>
      <c r="T82" s="446"/>
      <c r="U82" s="358"/>
      <c r="V82" s="358"/>
      <c r="W82" s="91"/>
      <c r="X82" s="91"/>
      <c r="Y82" s="91"/>
      <c r="Z82" s="91"/>
      <c r="AA82" s="91"/>
      <c r="AB82" s="372"/>
      <c r="AC82" s="91"/>
      <c r="AD82" s="91"/>
      <c r="AE82" s="91"/>
      <c r="AF82" s="91"/>
    </row>
    <row r="83" spans="1:32" x14ac:dyDescent="0.25">
      <c r="A83" s="358"/>
      <c r="B83" s="358"/>
      <c r="C83" s="91"/>
      <c r="D83" s="359"/>
      <c r="E83" s="91"/>
      <c r="F83" s="91"/>
      <c r="G83" s="91"/>
      <c r="H83" s="91"/>
      <c r="I83" s="91"/>
      <c r="J83" s="91"/>
      <c r="K83" s="91"/>
      <c r="L83" s="375">
        <f t="shared" si="3"/>
        <v>0</v>
      </c>
      <c r="M83" s="138"/>
      <c r="N83" s="134"/>
      <c r="O83" s="130"/>
      <c r="P83" s="183"/>
      <c r="Q83" s="468"/>
      <c r="R83" s="189"/>
      <c r="S83" s="89"/>
      <c r="T83" s="446"/>
      <c r="U83" s="358"/>
      <c r="V83" s="358"/>
      <c r="W83" s="91"/>
      <c r="X83" s="91"/>
      <c r="Y83" s="91"/>
      <c r="Z83" s="91"/>
      <c r="AA83" s="91"/>
      <c r="AB83" s="372"/>
      <c r="AC83" s="91"/>
      <c r="AD83" s="91"/>
      <c r="AE83" s="91"/>
      <c r="AF83" s="91"/>
    </row>
    <row r="84" spans="1:32" x14ac:dyDescent="0.25">
      <c r="A84" s="358"/>
      <c r="B84" s="358"/>
      <c r="C84" s="91"/>
      <c r="D84" s="359"/>
      <c r="E84" s="91"/>
      <c r="F84" s="91"/>
      <c r="G84" s="91"/>
      <c r="H84" s="91"/>
      <c r="I84" s="91"/>
      <c r="J84" s="91"/>
      <c r="K84" s="91"/>
      <c r="L84" s="375">
        <f t="shared" si="3"/>
        <v>0</v>
      </c>
      <c r="M84" s="138"/>
      <c r="N84" s="134"/>
      <c r="O84" s="130"/>
      <c r="P84" s="183"/>
      <c r="Q84" s="468"/>
      <c r="R84" s="189"/>
      <c r="S84" s="89"/>
      <c r="T84" s="446"/>
      <c r="U84" s="358"/>
      <c r="V84" s="358"/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x14ac:dyDescent="0.25">
      <c r="A85" s="358"/>
      <c r="B85" s="358"/>
      <c r="C85" s="91"/>
      <c r="D85" s="359"/>
      <c r="E85" s="91"/>
      <c r="F85" s="91"/>
      <c r="G85" s="91"/>
      <c r="H85" s="91"/>
      <c r="I85" s="91"/>
      <c r="J85" s="91"/>
      <c r="K85" s="91"/>
      <c r="L85" s="375">
        <f t="shared" si="3"/>
        <v>0</v>
      </c>
      <c r="M85" s="17"/>
      <c r="N85" s="16"/>
      <c r="O85" s="15"/>
      <c r="P85" s="91"/>
      <c r="Q85" s="84"/>
      <c r="R85" s="187"/>
      <c r="S85" s="89"/>
      <c r="T85" s="446"/>
      <c r="U85" s="358"/>
      <c r="V85" s="358"/>
      <c r="W85" s="91"/>
      <c r="X85" s="91"/>
      <c r="Y85" s="91"/>
      <c r="Z85" s="91"/>
      <c r="AA85" s="91"/>
      <c r="AB85" s="91"/>
      <c r="AC85" s="91"/>
      <c r="AD85" s="91"/>
      <c r="AE85" s="91"/>
      <c r="AF85" s="91"/>
    </row>
    <row r="86" spans="1:32" x14ac:dyDescent="0.25">
      <c r="A86" s="358"/>
      <c r="B86" s="358"/>
      <c r="C86" s="91"/>
      <c r="D86" s="359"/>
      <c r="E86" s="91"/>
      <c r="F86" s="91"/>
      <c r="G86" s="91"/>
      <c r="H86" s="91"/>
      <c r="I86" s="91"/>
      <c r="J86" s="91"/>
      <c r="K86" s="91"/>
      <c r="L86" s="375">
        <f t="shared" si="3"/>
        <v>0</v>
      </c>
      <c r="M86" s="17"/>
      <c r="N86" s="16"/>
      <c r="O86" s="15"/>
      <c r="P86" s="91"/>
      <c r="Q86" s="84"/>
      <c r="R86" s="187"/>
      <c r="S86" s="89"/>
      <c r="T86" s="446"/>
      <c r="U86" s="358"/>
      <c r="V86" s="358"/>
      <c r="W86" s="91"/>
      <c r="X86" s="91"/>
      <c r="Y86" s="91"/>
      <c r="Z86" s="91"/>
      <c r="AA86" s="91"/>
      <c r="AB86" s="91"/>
      <c r="AC86" s="91"/>
      <c r="AD86" s="91"/>
      <c r="AE86" s="91"/>
      <c r="AF86" s="91"/>
    </row>
    <row r="87" spans="1:32" x14ac:dyDescent="0.25">
      <c r="A87" s="358"/>
      <c r="B87" s="358"/>
      <c r="C87" s="91"/>
      <c r="D87" s="359"/>
      <c r="E87" s="91"/>
      <c r="F87" s="91"/>
      <c r="G87" s="91"/>
      <c r="H87" s="91"/>
      <c r="I87" s="91"/>
      <c r="J87" s="91"/>
      <c r="K87" s="91"/>
      <c r="L87" s="375">
        <f t="shared" si="3"/>
        <v>0</v>
      </c>
      <c r="M87" s="138"/>
      <c r="N87" s="134"/>
      <c r="O87" s="15"/>
      <c r="P87" s="91"/>
      <c r="Q87" s="84"/>
      <c r="R87" s="187"/>
      <c r="S87" s="89"/>
      <c r="T87" s="446"/>
      <c r="U87" s="358"/>
      <c r="V87" s="358"/>
      <c r="W87" s="91"/>
      <c r="X87" s="91"/>
      <c r="Y87" s="91"/>
      <c r="Z87" s="91"/>
      <c r="AA87" s="91"/>
      <c r="AB87" s="91"/>
      <c r="AC87" s="91"/>
      <c r="AD87" s="91"/>
      <c r="AE87" s="91"/>
      <c r="AF87" s="91"/>
    </row>
    <row r="88" spans="1:32" x14ac:dyDescent="0.25">
      <c r="A88" s="358"/>
      <c r="B88" s="358"/>
      <c r="C88" s="91"/>
      <c r="D88" s="359"/>
      <c r="E88" s="91"/>
      <c r="F88" s="91"/>
      <c r="G88" s="91"/>
      <c r="H88" s="91"/>
      <c r="I88" s="91"/>
      <c r="J88" s="91"/>
      <c r="K88" s="91"/>
      <c r="L88" s="375">
        <f t="shared" si="3"/>
        <v>0</v>
      </c>
      <c r="M88" s="17"/>
      <c r="N88" s="16"/>
      <c r="O88" s="15"/>
      <c r="P88" s="91"/>
      <c r="Q88" s="84"/>
      <c r="R88" s="187"/>
      <c r="S88" s="89"/>
      <c r="T88" s="446"/>
      <c r="U88" s="358"/>
      <c r="V88" s="358"/>
      <c r="W88" s="91"/>
      <c r="X88" s="91"/>
      <c r="Y88" s="91"/>
      <c r="Z88" s="91"/>
      <c r="AA88" s="91"/>
      <c r="AB88" s="91"/>
      <c r="AC88" s="91"/>
      <c r="AD88" s="91"/>
      <c r="AE88" s="91"/>
      <c r="AF88" s="91"/>
    </row>
    <row r="89" spans="1:32" x14ac:dyDescent="0.25">
      <c r="A89" s="358"/>
      <c r="B89" s="358"/>
      <c r="C89" s="91"/>
      <c r="D89" s="359"/>
      <c r="E89" s="91"/>
      <c r="F89" s="91"/>
      <c r="G89" s="91"/>
      <c r="H89" s="91"/>
      <c r="I89" s="91"/>
      <c r="J89" s="91"/>
      <c r="K89" s="91"/>
      <c r="L89" s="375">
        <f t="shared" si="3"/>
        <v>0</v>
      </c>
      <c r="M89" s="17"/>
      <c r="N89" s="16"/>
      <c r="O89" s="15"/>
      <c r="P89" s="91"/>
      <c r="Q89" s="84"/>
      <c r="R89" s="187"/>
      <c r="S89" s="89"/>
      <c r="T89" s="446"/>
      <c r="U89" s="358"/>
      <c r="V89" s="358"/>
      <c r="W89" s="91"/>
      <c r="X89" s="91"/>
      <c r="Y89" s="91"/>
      <c r="Z89" s="91"/>
      <c r="AA89" s="91"/>
      <c r="AB89" s="91"/>
      <c r="AC89" s="91"/>
      <c r="AD89" s="91"/>
      <c r="AE89" s="91"/>
      <c r="AF89" s="91"/>
    </row>
    <row r="90" spans="1:32" x14ac:dyDescent="0.25">
      <c r="A90" s="358"/>
      <c r="B90" s="358"/>
      <c r="C90" s="91"/>
      <c r="D90" s="359"/>
      <c r="E90" s="91"/>
      <c r="F90" s="91"/>
      <c r="G90" s="91"/>
      <c r="H90" s="91"/>
      <c r="I90" s="91"/>
      <c r="J90" s="91"/>
      <c r="K90" s="91"/>
      <c r="L90" s="375">
        <f t="shared" si="3"/>
        <v>0</v>
      </c>
      <c r="M90" s="138"/>
      <c r="N90" s="134"/>
      <c r="O90" s="151"/>
      <c r="P90" s="183"/>
      <c r="Q90" s="468"/>
      <c r="R90" s="189"/>
      <c r="S90" s="89"/>
      <c r="T90" s="446"/>
      <c r="U90" s="358"/>
      <c r="V90" s="358"/>
      <c r="W90" s="91"/>
      <c r="X90" s="91"/>
      <c r="Y90" s="91"/>
      <c r="Z90" s="91"/>
      <c r="AA90" s="91"/>
      <c r="AB90" s="91"/>
      <c r="AC90" s="91"/>
      <c r="AD90" s="91"/>
      <c r="AE90" s="91"/>
      <c r="AF90" s="91"/>
    </row>
    <row r="91" spans="1:32" x14ac:dyDescent="0.25">
      <c r="A91" s="358"/>
      <c r="B91" s="358"/>
      <c r="C91" s="91"/>
      <c r="D91" s="359"/>
      <c r="E91" s="91"/>
      <c r="F91" s="91"/>
      <c r="G91" s="91"/>
      <c r="H91" s="91"/>
      <c r="I91" s="91"/>
      <c r="J91" s="91"/>
      <c r="K91" s="91"/>
      <c r="L91" s="375">
        <f t="shared" si="3"/>
        <v>0</v>
      </c>
      <c r="M91" s="138"/>
      <c r="N91" s="134"/>
      <c r="O91" s="15"/>
      <c r="P91" s="91"/>
      <c r="Q91" s="84"/>
      <c r="R91" s="187"/>
      <c r="S91" s="89"/>
      <c r="T91" s="446"/>
      <c r="U91" s="358"/>
      <c r="V91" s="358"/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x14ac:dyDescent="0.25">
      <c r="A92" s="358"/>
      <c r="B92" s="358"/>
      <c r="C92" s="91"/>
      <c r="D92" s="359"/>
      <c r="E92" s="91"/>
      <c r="F92" s="91"/>
      <c r="G92" s="91"/>
      <c r="H92" s="91"/>
      <c r="I92" s="91"/>
      <c r="J92" s="91"/>
      <c r="K92" s="91"/>
      <c r="L92" s="375">
        <f t="shared" si="3"/>
        <v>0</v>
      </c>
      <c r="M92" s="138"/>
      <c r="N92" s="134"/>
      <c r="O92" s="15"/>
      <c r="P92" s="91"/>
      <c r="Q92" s="84"/>
      <c r="R92" s="187"/>
      <c r="S92" s="89"/>
      <c r="T92" s="446"/>
      <c r="U92" s="358"/>
      <c r="V92" s="358"/>
      <c r="W92" s="91"/>
      <c r="X92" s="91"/>
      <c r="Y92" s="91"/>
      <c r="Z92" s="91"/>
      <c r="AA92" s="91"/>
      <c r="AB92" s="91"/>
      <c r="AC92" s="91"/>
      <c r="AD92" s="91"/>
      <c r="AE92" s="91"/>
      <c r="AF92" s="91"/>
    </row>
    <row r="93" spans="1:32" x14ac:dyDescent="0.25">
      <c r="A93" s="358"/>
      <c r="B93" s="358"/>
      <c r="C93" s="91"/>
      <c r="D93" s="359"/>
      <c r="E93" s="91"/>
      <c r="F93" s="91"/>
      <c r="G93" s="91"/>
      <c r="H93" s="91"/>
      <c r="I93" s="91"/>
      <c r="J93" s="91"/>
      <c r="K93" s="91"/>
      <c r="L93" s="375">
        <f t="shared" si="3"/>
        <v>0</v>
      </c>
      <c r="M93" s="17"/>
      <c r="N93" s="16"/>
      <c r="O93" s="15"/>
      <c r="P93" s="91"/>
      <c r="Q93" s="84"/>
      <c r="R93" s="187"/>
      <c r="S93" s="89"/>
      <c r="T93" s="446"/>
      <c r="U93" s="358"/>
      <c r="V93" s="358"/>
      <c r="W93" s="91"/>
      <c r="X93" s="91"/>
      <c r="Y93" s="91"/>
      <c r="Z93" s="91"/>
      <c r="AA93" s="91"/>
      <c r="AB93" s="91"/>
      <c r="AC93" s="91"/>
      <c r="AD93" s="91"/>
      <c r="AE93" s="91"/>
      <c r="AF93" s="91"/>
    </row>
    <row r="94" spans="1:32" x14ac:dyDescent="0.25">
      <c r="A94" s="358"/>
      <c r="B94" s="358"/>
      <c r="C94" s="91"/>
      <c r="D94" s="359"/>
      <c r="E94" s="91"/>
      <c r="F94" s="91"/>
      <c r="G94" s="91"/>
      <c r="H94" s="91"/>
      <c r="I94" s="91"/>
      <c r="J94" s="91"/>
      <c r="K94" s="91"/>
      <c r="L94" s="375">
        <f t="shared" si="3"/>
        <v>0</v>
      </c>
      <c r="M94" s="17"/>
      <c r="N94" s="16"/>
      <c r="O94" s="15"/>
      <c r="P94" s="91"/>
      <c r="Q94" s="84"/>
      <c r="R94" s="187"/>
      <c r="S94" s="89"/>
      <c r="T94" s="446"/>
      <c r="U94" s="358"/>
      <c r="V94" s="358"/>
      <c r="W94" s="91"/>
      <c r="X94" s="91"/>
      <c r="Y94" s="91"/>
      <c r="Z94" s="91"/>
      <c r="AA94" s="91"/>
      <c r="AB94" s="91"/>
      <c r="AC94" s="91"/>
      <c r="AD94" s="91"/>
      <c r="AE94" s="91"/>
      <c r="AF94" s="91"/>
    </row>
    <row r="95" spans="1:32" x14ac:dyDescent="0.25">
      <c r="A95" s="358"/>
      <c r="B95" s="358"/>
      <c r="C95" s="91"/>
      <c r="D95" s="359"/>
      <c r="E95" s="91"/>
      <c r="F95" s="91"/>
      <c r="G95" s="91"/>
      <c r="H95" s="91"/>
      <c r="I95" s="91"/>
      <c r="J95" s="91"/>
      <c r="K95" s="91"/>
      <c r="L95" s="375">
        <f t="shared" si="3"/>
        <v>0</v>
      </c>
      <c r="M95" s="17"/>
      <c r="N95" s="16"/>
      <c r="O95" s="15"/>
      <c r="P95" s="91"/>
      <c r="Q95" s="84"/>
      <c r="R95" s="187"/>
      <c r="S95" s="89"/>
      <c r="T95" s="446"/>
      <c r="U95" s="358"/>
      <c r="V95" s="358"/>
      <c r="W95" s="91"/>
      <c r="X95" s="91"/>
      <c r="Y95" s="91"/>
      <c r="Z95" s="91"/>
      <c r="AA95" s="91"/>
      <c r="AB95" s="91"/>
      <c r="AC95" s="91"/>
      <c r="AD95" s="91"/>
      <c r="AE95" s="91"/>
      <c r="AF95" s="91"/>
    </row>
    <row r="96" spans="1:32" x14ac:dyDescent="0.25">
      <c r="A96" s="358"/>
      <c r="B96" s="358"/>
      <c r="C96" s="91"/>
      <c r="D96" s="359"/>
      <c r="E96" s="91"/>
      <c r="F96" s="91"/>
      <c r="G96" s="91"/>
      <c r="H96" s="91"/>
      <c r="I96" s="91"/>
      <c r="J96" s="91"/>
      <c r="K96" s="91"/>
      <c r="L96" s="375">
        <f t="shared" si="3"/>
        <v>0</v>
      </c>
      <c r="M96" s="138"/>
      <c r="N96" s="134"/>
      <c r="O96" s="130"/>
      <c r="P96" s="183"/>
      <c r="Q96" s="468"/>
      <c r="R96" s="189"/>
      <c r="S96" s="89"/>
      <c r="T96" s="446"/>
      <c r="U96" s="358"/>
      <c r="V96" s="358"/>
      <c r="W96" s="91"/>
      <c r="X96" s="91"/>
      <c r="Y96" s="91"/>
      <c r="Z96" s="91"/>
      <c r="AA96" s="91"/>
      <c r="AB96" s="91"/>
      <c r="AC96" s="91"/>
      <c r="AD96" s="91"/>
      <c r="AE96" s="91"/>
      <c r="AF96" s="91"/>
    </row>
    <row r="97" spans="1:32" x14ac:dyDescent="0.25">
      <c r="A97" s="358"/>
      <c r="B97" s="358"/>
      <c r="C97" s="91"/>
      <c r="D97" s="359"/>
      <c r="E97" s="91"/>
      <c r="F97" s="91"/>
      <c r="G97" s="91"/>
      <c r="H97" s="91"/>
      <c r="I97" s="91"/>
      <c r="J97" s="91"/>
      <c r="K97" s="91"/>
      <c r="L97" s="375">
        <f t="shared" si="3"/>
        <v>0</v>
      </c>
      <c r="M97" s="17"/>
      <c r="N97" s="16"/>
      <c r="O97" s="15"/>
      <c r="P97" s="91"/>
      <c r="Q97" s="84"/>
      <c r="R97" s="187"/>
      <c r="S97" s="89"/>
      <c r="T97" s="446"/>
      <c r="U97" s="358"/>
      <c r="V97" s="358"/>
      <c r="W97" s="91"/>
      <c r="X97" s="91"/>
      <c r="Y97" s="91"/>
      <c r="Z97" s="91"/>
      <c r="AA97" s="91"/>
      <c r="AB97" s="91"/>
      <c r="AC97" s="91"/>
      <c r="AD97" s="91"/>
      <c r="AE97" s="91"/>
      <c r="AF97" s="91"/>
    </row>
    <row r="98" spans="1:32" x14ac:dyDescent="0.25">
      <c r="A98" s="358"/>
      <c r="B98" s="358"/>
      <c r="C98" s="91"/>
      <c r="D98" s="359"/>
      <c r="E98" s="91"/>
      <c r="F98" s="91"/>
      <c r="G98" s="91"/>
      <c r="H98" s="91"/>
      <c r="I98" s="91"/>
      <c r="J98" s="91"/>
      <c r="K98" s="91"/>
      <c r="L98" s="375">
        <f t="shared" si="3"/>
        <v>0</v>
      </c>
      <c r="M98" s="17"/>
      <c r="N98" s="16"/>
      <c r="O98" s="15"/>
      <c r="P98" s="91"/>
      <c r="Q98" s="84"/>
      <c r="R98" s="187"/>
      <c r="S98" s="89"/>
      <c r="T98" s="446"/>
      <c r="U98" s="358"/>
      <c r="V98" s="358"/>
      <c r="W98" s="91"/>
      <c r="X98" s="91"/>
      <c r="Y98" s="91"/>
      <c r="Z98" s="91"/>
      <c r="AA98" s="91"/>
      <c r="AB98" s="91"/>
      <c r="AC98" s="91"/>
      <c r="AD98" s="91"/>
      <c r="AE98" s="91"/>
      <c r="AF98" s="91"/>
    </row>
    <row r="99" spans="1:32" x14ac:dyDescent="0.25">
      <c r="A99" s="358"/>
      <c r="B99" s="358"/>
      <c r="C99" s="91"/>
      <c r="D99" s="359"/>
      <c r="E99" s="91"/>
      <c r="F99" s="91"/>
      <c r="G99" s="91"/>
      <c r="H99" s="91"/>
      <c r="I99" s="91"/>
      <c r="J99" s="91"/>
      <c r="K99" s="91"/>
      <c r="L99" s="375">
        <f t="shared" si="3"/>
        <v>0</v>
      </c>
      <c r="M99" s="17"/>
      <c r="N99" s="16"/>
      <c r="O99" s="15"/>
      <c r="P99" s="91"/>
      <c r="Q99" s="84"/>
      <c r="R99" s="187"/>
      <c r="S99" s="89"/>
      <c r="T99" s="446"/>
      <c r="U99" s="358"/>
      <c r="V99" s="358"/>
      <c r="W99" s="91"/>
      <c r="X99" s="91"/>
      <c r="Y99" s="91"/>
      <c r="Z99" s="91"/>
      <c r="AA99" s="91"/>
      <c r="AB99" s="91"/>
      <c r="AC99" s="91"/>
      <c r="AD99" s="91"/>
      <c r="AE99" s="91"/>
      <c r="AF99" s="91"/>
    </row>
    <row r="100" spans="1:32" x14ac:dyDescent="0.25">
      <c r="A100" s="358"/>
      <c r="B100" s="358"/>
      <c r="C100" s="91"/>
      <c r="D100" s="359"/>
      <c r="E100" s="91"/>
      <c r="F100" s="91"/>
      <c r="G100" s="91"/>
      <c r="H100" s="91"/>
      <c r="I100" s="91"/>
      <c r="J100" s="91"/>
      <c r="K100" s="91"/>
      <c r="L100" s="375">
        <f t="shared" si="3"/>
        <v>0</v>
      </c>
      <c r="M100" s="140"/>
      <c r="N100" s="132"/>
      <c r="O100" s="15"/>
      <c r="P100" s="91"/>
      <c r="Q100" s="84"/>
      <c r="R100" s="187"/>
      <c r="S100" s="89"/>
      <c r="T100" s="446"/>
      <c r="U100" s="358"/>
      <c r="V100" s="358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</row>
    <row r="101" spans="1:32" x14ac:dyDescent="0.25">
      <c r="A101" s="358"/>
      <c r="B101" s="358"/>
      <c r="C101" s="91"/>
      <c r="D101" s="359"/>
      <c r="E101" s="91"/>
      <c r="F101" s="91"/>
      <c r="G101" s="91"/>
      <c r="H101" s="91"/>
      <c r="I101" s="91"/>
      <c r="J101" s="91"/>
      <c r="K101" s="91"/>
      <c r="L101" s="375">
        <f t="shared" si="3"/>
        <v>0</v>
      </c>
      <c r="M101" s="140"/>
      <c r="N101" s="134"/>
      <c r="O101" s="15"/>
      <c r="P101" s="91"/>
      <c r="Q101" s="84"/>
      <c r="R101" s="187"/>
      <c r="S101" s="89"/>
      <c r="T101" s="446"/>
      <c r="U101" s="358"/>
      <c r="V101" s="358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</row>
    <row r="102" spans="1:32" x14ac:dyDescent="0.25">
      <c r="A102" s="358"/>
      <c r="B102" s="358"/>
      <c r="C102" s="91"/>
      <c r="D102" s="359"/>
      <c r="E102" s="91"/>
      <c r="F102" s="91"/>
      <c r="G102" s="91"/>
      <c r="H102" s="91"/>
      <c r="I102" s="91"/>
      <c r="J102" s="91"/>
      <c r="K102" s="91"/>
      <c r="L102" s="375">
        <f t="shared" si="3"/>
        <v>0</v>
      </c>
      <c r="M102" s="17"/>
      <c r="N102" s="16"/>
      <c r="O102" s="15"/>
      <c r="P102" s="91"/>
      <c r="Q102" s="84"/>
      <c r="R102" s="187"/>
      <c r="S102" s="89"/>
      <c r="T102" s="446"/>
      <c r="U102" s="358"/>
      <c r="V102" s="358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</row>
    <row r="103" spans="1:32" x14ac:dyDescent="0.25">
      <c r="A103" s="358"/>
      <c r="B103" s="358"/>
      <c r="C103" s="91"/>
      <c r="D103" s="359"/>
      <c r="E103" s="91"/>
      <c r="F103" s="91"/>
      <c r="G103" s="91"/>
      <c r="H103" s="91"/>
      <c r="I103" s="91"/>
      <c r="J103" s="91"/>
      <c r="K103" s="91"/>
      <c r="L103" s="375">
        <f t="shared" si="3"/>
        <v>0</v>
      </c>
      <c r="M103" s="17"/>
      <c r="N103" s="16"/>
      <c r="O103" s="15"/>
      <c r="P103" s="91"/>
      <c r="Q103" s="84"/>
      <c r="R103" s="187"/>
      <c r="S103" s="89"/>
      <c r="T103" s="446"/>
      <c r="U103" s="358"/>
      <c r="V103" s="358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</row>
    <row r="104" spans="1:32" x14ac:dyDescent="0.25">
      <c r="A104" s="358"/>
      <c r="B104" s="358"/>
      <c r="C104" s="91"/>
      <c r="D104" s="359"/>
      <c r="E104" s="91"/>
      <c r="F104" s="91"/>
      <c r="G104" s="91"/>
      <c r="H104" s="91"/>
      <c r="I104" s="91"/>
      <c r="J104" s="91"/>
      <c r="K104" s="91"/>
      <c r="L104" s="375">
        <f t="shared" si="3"/>
        <v>0</v>
      </c>
      <c r="M104" s="17"/>
      <c r="N104" s="16"/>
      <c r="O104" s="15"/>
      <c r="P104" s="91"/>
      <c r="Q104" s="84"/>
      <c r="R104" s="187"/>
      <c r="S104" s="89"/>
      <c r="T104" s="446"/>
      <c r="U104" s="358"/>
      <c r="V104" s="358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</row>
    <row r="105" spans="1:32" x14ac:dyDescent="0.25">
      <c r="A105" s="358"/>
      <c r="B105" s="358"/>
      <c r="C105" s="91"/>
      <c r="D105" s="359"/>
      <c r="E105" s="91"/>
      <c r="F105" s="91"/>
      <c r="G105" s="91"/>
      <c r="H105" s="91"/>
      <c r="I105" s="91"/>
      <c r="J105" s="91"/>
      <c r="K105" s="91"/>
      <c r="L105" s="375">
        <f t="shared" si="3"/>
        <v>0</v>
      </c>
      <c r="M105" s="17"/>
      <c r="N105" s="16"/>
      <c r="O105" s="15"/>
      <c r="P105" s="91"/>
      <c r="Q105" s="84"/>
      <c r="R105" s="187"/>
      <c r="S105" s="89"/>
      <c r="T105" s="446"/>
      <c r="U105" s="358"/>
      <c r="V105" s="358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</row>
    <row r="106" spans="1:32" x14ac:dyDescent="0.25">
      <c r="A106" s="358"/>
      <c r="B106" s="358"/>
      <c r="C106" s="91"/>
      <c r="D106" s="359"/>
      <c r="E106" s="91"/>
      <c r="F106" s="91"/>
      <c r="G106" s="91"/>
      <c r="H106" s="91"/>
      <c r="I106" s="91"/>
      <c r="J106" s="91"/>
      <c r="K106" s="91"/>
      <c r="L106" s="375">
        <f t="shared" si="3"/>
        <v>0</v>
      </c>
      <c r="M106" s="17"/>
      <c r="N106" s="16"/>
      <c r="O106" s="15"/>
      <c r="P106" s="91"/>
      <c r="Q106" s="84"/>
      <c r="R106" s="187"/>
      <c r="S106" s="89"/>
      <c r="T106" s="446"/>
      <c r="U106" s="358"/>
      <c r="V106" s="358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</row>
    <row r="107" spans="1:32" x14ac:dyDescent="0.25">
      <c r="A107" s="358"/>
      <c r="B107" s="369"/>
      <c r="C107" s="91"/>
      <c r="D107" s="359"/>
      <c r="E107" s="91"/>
      <c r="F107" s="91"/>
      <c r="G107" s="91"/>
      <c r="H107" s="91"/>
      <c r="I107" s="91"/>
      <c r="J107" s="91"/>
      <c r="K107" s="91"/>
      <c r="L107" s="375">
        <f t="shared" si="3"/>
        <v>0</v>
      </c>
      <c r="M107" s="17"/>
      <c r="N107" s="16"/>
      <c r="O107" s="15"/>
      <c r="P107" s="91"/>
      <c r="Q107" s="84"/>
      <c r="R107" s="187"/>
      <c r="S107" s="89"/>
      <c r="T107" s="446"/>
      <c r="U107" s="358"/>
      <c r="V107" s="358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</row>
    <row r="108" spans="1:32" x14ac:dyDescent="0.25">
      <c r="A108" s="358"/>
      <c r="B108" s="358"/>
      <c r="C108" s="91"/>
      <c r="D108" s="359"/>
      <c r="E108" s="91"/>
      <c r="F108" s="91"/>
      <c r="G108" s="91"/>
      <c r="H108" s="91"/>
      <c r="I108" s="91"/>
      <c r="J108" s="91"/>
      <c r="K108" s="91"/>
      <c r="L108" s="375">
        <f t="shared" si="3"/>
        <v>0</v>
      </c>
      <c r="M108" s="17"/>
      <c r="N108" s="16"/>
      <c r="O108" s="15"/>
      <c r="P108" s="91"/>
      <c r="Q108" s="84"/>
      <c r="R108" s="187"/>
      <c r="S108" s="89"/>
      <c r="T108" s="446"/>
      <c r="U108" s="358"/>
      <c r="V108" s="358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</row>
    <row r="109" spans="1:32" x14ac:dyDescent="0.25">
      <c r="A109" s="358"/>
      <c r="B109" s="358"/>
      <c r="C109" s="91"/>
      <c r="D109" s="359"/>
      <c r="E109" s="91"/>
      <c r="F109" s="91"/>
      <c r="G109" s="91"/>
      <c r="H109" s="91"/>
      <c r="I109" s="91"/>
      <c r="J109" s="91"/>
      <c r="K109" s="91"/>
      <c r="L109" s="375">
        <f t="shared" si="3"/>
        <v>0</v>
      </c>
      <c r="M109" s="17"/>
      <c r="N109" s="16"/>
      <c r="O109" s="15"/>
      <c r="P109" s="91"/>
      <c r="Q109" s="84"/>
      <c r="R109" s="187"/>
      <c r="S109" s="89"/>
      <c r="T109" s="446"/>
      <c r="U109" s="358"/>
      <c r="V109" s="358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</row>
    <row r="110" spans="1:32" x14ac:dyDescent="0.25">
      <c r="A110" s="358"/>
      <c r="B110" s="358"/>
      <c r="C110" s="91"/>
      <c r="D110" s="359"/>
      <c r="E110" s="91"/>
      <c r="F110" s="91"/>
      <c r="G110" s="91"/>
      <c r="H110" s="91"/>
      <c r="I110" s="91"/>
      <c r="J110" s="91"/>
      <c r="K110" s="91"/>
      <c r="L110" s="375">
        <f t="shared" si="3"/>
        <v>0</v>
      </c>
      <c r="M110" s="17"/>
      <c r="N110" s="16"/>
      <c r="O110" s="15"/>
      <c r="P110" s="91"/>
      <c r="Q110" s="84"/>
      <c r="R110" s="187"/>
      <c r="S110" s="89"/>
      <c r="T110" s="446"/>
      <c r="U110" s="358"/>
      <c r="V110" s="358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</row>
    <row r="111" spans="1:32" x14ac:dyDescent="0.25">
      <c r="A111" s="358"/>
      <c r="B111" s="358"/>
      <c r="C111" s="91"/>
      <c r="D111" s="359"/>
      <c r="E111" s="91"/>
      <c r="F111" s="91"/>
      <c r="G111" s="91"/>
      <c r="H111" s="91"/>
      <c r="I111" s="91"/>
      <c r="J111" s="91"/>
      <c r="K111" s="91"/>
      <c r="L111" s="375">
        <f t="shared" si="3"/>
        <v>0</v>
      </c>
      <c r="M111" s="17"/>
      <c r="N111" s="16"/>
      <c r="O111" s="15"/>
      <c r="P111" s="91"/>
      <c r="Q111" s="84"/>
      <c r="R111" s="187"/>
      <c r="S111" s="89"/>
      <c r="T111" s="446"/>
      <c r="U111" s="358"/>
      <c r="V111" s="358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</row>
    <row r="112" spans="1:32" x14ac:dyDescent="0.25">
      <c r="A112" s="358"/>
      <c r="B112" s="358"/>
      <c r="C112" s="91"/>
      <c r="D112" s="359"/>
      <c r="E112" s="91"/>
      <c r="F112" s="91"/>
      <c r="G112" s="91"/>
      <c r="H112" s="91"/>
      <c r="I112" s="91"/>
      <c r="J112" s="91"/>
      <c r="K112" s="91"/>
      <c r="L112" s="375">
        <f t="shared" si="3"/>
        <v>0</v>
      </c>
      <c r="M112" s="17"/>
      <c r="N112" s="16"/>
      <c r="O112" s="15"/>
      <c r="P112" s="91"/>
      <c r="Q112" s="84"/>
      <c r="R112" s="187"/>
      <c r="S112" s="89"/>
      <c r="T112" s="446"/>
      <c r="U112" s="358"/>
      <c r="V112" s="358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</row>
    <row r="113" spans="1:32" x14ac:dyDescent="0.25">
      <c r="A113" s="358"/>
      <c r="B113" s="358"/>
      <c r="C113" s="91"/>
      <c r="D113" s="359"/>
      <c r="E113" s="91"/>
      <c r="F113" s="91"/>
      <c r="G113" s="91"/>
      <c r="H113" s="91"/>
      <c r="I113" s="91"/>
      <c r="J113" s="91"/>
      <c r="K113" s="91"/>
      <c r="L113" s="375">
        <f t="shared" si="3"/>
        <v>0</v>
      </c>
      <c r="M113" s="17"/>
      <c r="N113" s="16"/>
      <c r="O113" s="15"/>
      <c r="P113" s="91"/>
      <c r="Q113" s="84"/>
      <c r="R113" s="187"/>
      <c r="S113" s="89"/>
      <c r="T113" s="446"/>
      <c r="U113" s="358"/>
      <c r="V113" s="358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</row>
    <row r="114" spans="1:32" x14ac:dyDescent="0.25">
      <c r="A114" s="358"/>
      <c r="B114" s="358"/>
      <c r="C114" s="91"/>
      <c r="D114" s="359"/>
      <c r="E114" s="91"/>
      <c r="F114" s="91"/>
      <c r="G114" s="91"/>
      <c r="H114" s="91"/>
      <c r="I114" s="91"/>
      <c r="J114" s="91"/>
      <c r="K114" s="91"/>
      <c r="L114" s="375">
        <f t="shared" si="3"/>
        <v>0</v>
      </c>
      <c r="M114" s="17"/>
      <c r="N114" s="16"/>
      <c r="O114" s="15"/>
      <c r="P114" s="91"/>
      <c r="Q114" s="84"/>
      <c r="R114" s="187"/>
      <c r="S114" s="89"/>
      <c r="T114" s="446"/>
      <c r="U114" s="358"/>
      <c r="V114" s="358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</row>
    <row r="115" spans="1:32" x14ac:dyDescent="0.25">
      <c r="A115" s="358"/>
      <c r="B115" s="358"/>
      <c r="C115" s="91"/>
      <c r="D115" s="359"/>
      <c r="E115" s="91"/>
      <c r="F115" s="91"/>
      <c r="G115" s="91"/>
      <c r="H115" s="91"/>
      <c r="I115" s="91"/>
      <c r="J115" s="91"/>
      <c r="K115" s="91"/>
      <c r="L115" s="375">
        <f t="shared" si="3"/>
        <v>0</v>
      </c>
      <c r="M115" s="17"/>
      <c r="N115" s="16"/>
      <c r="O115" s="15"/>
      <c r="P115" s="91"/>
      <c r="Q115" s="84"/>
      <c r="R115" s="187"/>
      <c r="S115" s="89"/>
      <c r="T115" s="446"/>
      <c r="U115" s="358"/>
      <c r="V115" s="358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</row>
    <row r="116" spans="1:32" x14ac:dyDescent="0.25">
      <c r="A116" s="358"/>
      <c r="B116" s="358"/>
      <c r="C116" s="91"/>
      <c r="D116" s="359"/>
      <c r="E116" s="91"/>
      <c r="F116" s="91"/>
      <c r="G116" s="91"/>
      <c r="H116" s="91"/>
      <c r="I116" s="91"/>
      <c r="J116" s="91"/>
      <c r="K116" s="91"/>
      <c r="L116" s="375">
        <f t="shared" ref="L116:L150" si="4">SUM(M116:T116)</f>
        <v>0</v>
      </c>
      <c r="M116" s="17"/>
      <c r="N116" s="16"/>
      <c r="O116" s="15"/>
      <c r="P116" s="91"/>
      <c r="Q116" s="84"/>
      <c r="R116" s="187"/>
      <c r="S116" s="89"/>
      <c r="T116" s="446"/>
      <c r="U116" s="358"/>
      <c r="V116" s="358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</row>
    <row r="117" spans="1:32" x14ac:dyDescent="0.25">
      <c r="A117" s="358"/>
      <c r="B117" s="358"/>
      <c r="C117" s="91"/>
      <c r="D117" s="359"/>
      <c r="E117" s="91"/>
      <c r="F117" s="91"/>
      <c r="G117" s="91"/>
      <c r="H117" s="91"/>
      <c r="I117" s="91"/>
      <c r="J117" s="91"/>
      <c r="K117" s="91"/>
      <c r="L117" s="375">
        <f t="shared" si="4"/>
        <v>0</v>
      </c>
      <c r="M117" s="17"/>
      <c r="N117" s="16"/>
      <c r="O117" s="15"/>
      <c r="P117" s="91"/>
      <c r="Q117" s="84"/>
      <c r="R117" s="187"/>
      <c r="S117" s="89"/>
      <c r="T117" s="446"/>
      <c r="U117" s="358"/>
      <c r="V117" s="358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</row>
    <row r="118" spans="1:32" x14ac:dyDescent="0.25">
      <c r="A118" s="358"/>
      <c r="B118" s="358"/>
      <c r="C118" s="91"/>
      <c r="D118" s="359"/>
      <c r="E118" s="91"/>
      <c r="F118" s="91"/>
      <c r="G118" s="91"/>
      <c r="H118" s="91"/>
      <c r="I118" s="91"/>
      <c r="J118" s="91"/>
      <c r="K118" s="91"/>
      <c r="L118" s="375">
        <f t="shared" si="4"/>
        <v>0</v>
      </c>
      <c r="M118" s="17"/>
      <c r="N118" s="16"/>
      <c r="O118" s="15"/>
      <c r="P118" s="91"/>
      <c r="Q118" s="84"/>
      <c r="R118" s="187"/>
      <c r="S118" s="89"/>
      <c r="T118" s="446"/>
      <c r="U118" s="358"/>
      <c r="V118" s="358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</row>
    <row r="119" spans="1:32" x14ac:dyDescent="0.25">
      <c r="A119" s="358"/>
      <c r="B119" s="358"/>
      <c r="C119" s="91"/>
      <c r="D119" s="359"/>
      <c r="E119" s="91"/>
      <c r="F119" s="91"/>
      <c r="G119" s="91"/>
      <c r="H119" s="91"/>
      <c r="I119" s="91"/>
      <c r="J119" s="91"/>
      <c r="K119" s="91"/>
      <c r="L119" s="375">
        <f t="shared" si="4"/>
        <v>0</v>
      </c>
      <c r="M119" s="17"/>
      <c r="N119" s="16"/>
      <c r="O119" s="15"/>
      <c r="P119" s="91"/>
      <c r="Q119" s="84"/>
      <c r="R119" s="187"/>
      <c r="S119" s="89"/>
      <c r="T119" s="446"/>
      <c r="U119" s="358"/>
      <c r="V119" s="358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</row>
    <row r="120" spans="1:32" x14ac:dyDescent="0.25">
      <c r="A120" s="358"/>
      <c r="B120" s="358"/>
      <c r="C120" s="91"/>
      <c r="D120" s="359"/>
      <c r="E120" s="91"/>
      <c r="F120" s="91"/>
      <c r="G120" s="91"/>
      <c r="H120" s="91"/>
      <c r="I120" s="91"/>
      <c r="J120" s="91"/>
      <c r="K120" s="91"/>
      <c r="L120" s="375">
        <f t="shared" si="4"/>
        <v>0</v>
      </c>
      <c r="M120" s="17"/>
      <c r="N120" s="16"/>
      <c r="O120" s="15"/>
      <c r="P120" s="91"/>
      <c r="Q120" s="84"/>
      <c r="R120" s="187"/>
      <c r="S120" s="89"/>
      <c r="T120" s="446"/>
      <c r="U120" s="358"/>
      <c r="V120" s="358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</row>
    <row r="121" spans="1:32" x14ac:dyDescent="0.25">
      <c r="A121" s="358"/>
      <c r="B121" s="358"/>
      <c r="C121" s="91"/>
      <c r="D121" s="359"/>
      <c r="E121" s="91"/>
      <c r="F121" s="91"/>
      <c r="G121" s="91"/>
      <c r="H121" s="91"/>
      <c r="I121" s="91"/>
      <c r="J121" s="91"/>
      <c r="K121" s="91"/>
      <c r="L121" s="375">
        <f t="shared" si="4"/>
        <v>0</v>
      </c>
      <c r="M121" s="17"/>
      <c r="N121" s="16"/>
      <c r="O121" s="15"/>
      <c r="P121" s="91"/>
      <c r="Q121" s="84"/>
      <c r="R121" s="187"/>
      <c r="S121" s="89"/>
      <c r="T121" s="446"/>
      <c r="U121" s="358"/>
      <c r="V121" s="358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</row>
    <row r="122" spans="1:32" x14ac:dyDescent="0.25">
      <c r="A122" s="358"/>
      <c r="B122" s="358"/>
      <c r="C122" s="91"/>
      <c r="D122" s="359"/>
      <c r="E122" s="91"/>
      <c r="F122" s="91"/>
      <c r="G122" s="91"/>
      <c r="H122" s="91"/>
      <c r="I122" s="91"/>
      <c r="J122" s="91"/>
      <c r="K122" s="91"/>
      <c r="L122" s="375">
        <f t="shared" si="4"/>
        <v>0</v>
      </c>
      <c r="M122" s="17"/>
      <c r="N122" s="16"/>
      <c r="O122" s="15"/>
      <c r="P122" s="91"/>
      <c r="Q122" s="84"/>
      <c r="R122" s="187"/>
      <c r="S122" s="89"/>
      <c r="T122" s="446"/>
      <c r="U122" s="358"/>
      <c r="V122" s="358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</row>
    <row r="123" spans="1:32" x14ac:dyDescent="0.25">
      <c r="A123" s="358"/>
      <c r="B123" s="358"/>
      <c r="C123" s="91"/>
      <c r="D123" s="359"/>
      <c r="E123" s="91"/>
      <c r="F123" s="91"/>
      <c r="G123" s="91"/>
      <c r="H123" s="91"/>
      <c r="I123" s="91"/>
      <c r="J123" s="91"/>
      <c r="K123" s="91"/>
      <c r="L123" s="375">
        <f t="shared" si="4"/>
        <v>0</v>
      </c>
      <c r="M123" s="17"/>
      <c r="N123" s="16"/>
      <c r="O123" s="15"/>
      <c r="P123" s="91"/>
      <c r="Q123" s="84"/>
      <c r="R123" s="187"/>
      <c r="S123" s="89"/>
      <c r="T123" s="446"/>
      <c r="U123" s="358"/>
      <c r="V123" s="358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</row>
    <row r="124" spans="1:32" x14ac:dyDescent="0.25">
      <c r="A124" s="358"/>
      <c r="B124" s="358"/>
      <c r="C124" s="91"/>
      <c r="D124" s="359"/>
      <c r="E124" s="91"/>
      <c r="F124" s="91"/>
      <c r="G124" s="91"/>
      <c r="H124" s="91"/>
      <c r="I124" s="91"/>
      <c r="J124" s="91"/>
      <c r="K124" s="91"/>
      <c r="L124" s="375">
        <f t="shared" si="4"/>
        <v>0</v>
      </c>
      <c r="M124" s="17"/>
      <c r="N124" s="16"/>
      <c r="O124" s="15"/>
      <c r="P124" s="91"/>
      <c r="Q124" s="84"/>
      <c r="R124" s="187"/>
      <c r="S124" s="89"/>
      <c r="T124" s="446"/>
      <c r="U124" s="358"/>
      <c r="V124" s="358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</row>
    <row r="125" spans="1:32" x14ac:dyDescent="0.25">
      <c r="A125" s="358"/>
      <c r="B125" s="358"/>
      <c r="C125" s="91"/>
      <c r="D125" s="359"/>
      <c r="E125" s="91"/>
      <c r="F125" s="91"/>
      <c r="G125" s="91"/>
      <c r="H125" s="91"/>
      <c r="I125" s="91"/>
      <c r="J125" s="91"/>
      <c r="K125" s="91"/>
      <c r="L125" s="375">
        <f t="shared" si="4"/>
        <v>0</v>
      </c>
      <c r="M125" s="17"/>
      <c r="N125" s="16"/>
      <c r="O125" s="15"/>
      <c r="P125" s="91"/>
      <c r="Q125" s="84"/>
      <c r="R125" s="187"/>
      <c r="S125" s="89"/>
      <c r="T125" s="446"/>
      <c r="U125" s="358"/>
      <c r="V125" s="358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</row>
    <row r="126" spans="1:32" x14ac:dyDescent="0.25">
      <c r="A126" s="358"/>
      <c r="B126" s="358"/>
      <c r="C126" s="91"/>
      <c r="D126" s="359"/>
      <c r="E126" s="91"/>
      <c r="F126" s="91"/>
      <c r="G126" s="91"/>
      <c r="H126" s="91"/>
      <c r="I126" s="91"/>
      <c r="J126" s="91"/>
      <c r="K126" s="91"/>
      <c r="L126" s="375">
        <f t="shared" si="4"/>
        <v>0</v>
      </c>
      <c r="M126" s="17"/>
      <c r="N126" s="16"/>
      <c r="O126" s="15"/>
      <c r="P126" s="91"/>
      <c r="Q126" s="84"/>
      <c r="R126" s="187"/>
      <c r="S126" s="89"/>
      <c r="T126" s="446"/>
      <c r="U126" s="358"/>
      <c r="V126" s="358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</row>
    <row r="127" spans="1:32" x14ac:dyDescent="0.25">
      <c r="A127" s="358"/>
      <c r="B127" s="358"/>
      <c r="C127" s="91"/>
      <c r="D127" s="359"/>
      <c r="E127" s="91"/>
      <c r="F127" s="91"/>
      <c r="G127" s="91"/>
      <c r="H127" s="91"/>
      <c r="I127" s="91"/>
      <c r="J127" s="91"/>
      <c r="K127" s="91"/>
      <c r="L127" s="375">
        <f t="shared" si="4"/>
        <v>0</v>
      </c>
      <c r="M127" s="17"/>
      <c r="N127" s="16"/>
      <c r="O127" s="15"/>
      <c r="P127" s="91"/>
      <c r="Q127" s="84"/>
      <c r="R127" s="187"/>
      <c r="S127" s="89"/>
      <c r="T127" s="446"/>
      <c r="U127" s="358"/>
      <c r="V127" s="358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</row>
    <row r="128" spans="1:32" x14ac:dyDescent="0.25">
      <c r="A128" s="358"/>
      <c r="B128" s="358"/>
      <c r="C128" s="91"/>
      <c r="D128" s="359"/>
      <c r="E128" s="91"/>
      <c r="F128" s="91"/>
      <c r="G128" s="91"/>
      <c r="H128" s="91"/>
      <c r="I128" s="91"/>
      <c r="J128" s="91"/>
      <c r="K128" s="91"/>
      <c r="L128" s="375">
        <f t="shared" si="4"/>
        <v>0</v>
      </c>
      <c r="M128" s="17"/>
      <c r="N128" s="16"/>
      <c r="O128" s="15"/>
      <c r="P128" s="91"/>
      <c r="Q128" s="84"/>
      <c r="R128" s="187"/>
      <c r="S128" s="89"/>
      <c r="T128" s="446"/>
      <c r="U128" s="358"/>
      <c r="V128" s="358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</row>
    <row r="129" spans="1:32" x14ac:dyDescent="0.25">
      <c r="A129" s="358"/>
      <c r="B129" s="358"/>
      <c r="C129" s="91"/>
      <c r="D129" s="359"/>
      <c r="E129" s="91"/>
      <c r="F129" s="91"/>
      <c r="G129" s="91"/>
      <c r="H129" s="91"/>
      <c r="I129" s="91"/>
      <c r="J129" s="91"/>
      <c r="K129" s="91"/>
      <c r="L129" s="375">
        <f t="shared" si="4"/>
        <v>0</v>
      </c>
      <c r="M129" s="17"/>
      <c r="N129" s="16"/>
      <c r="O129" s="15"/>
      <c r="P129" s="91"/>
      <c r="Q129" s="84"/>
      <c r="R129" s="187"/>
      <c r="S129" s="89"/>
      <c r="T129" s="446"/>
      <c r="U129" s="358"/>
      <c r="V129" s="358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</row>
    <row r="130" spans="1:32" x14ac:dyDescent="0.25">
      <c r="A130" s="358"/>
      <c r="B130" s="358"/>
      <c r="C130" s="91"/>
      <c r="D130" s="359"/>
      <c r="E130" s="91"/>
      <c r="F130" s="91"/>
      <c r="G130" s="91"/>
      <c r="H130" s="91"/>
      <c r="I130" s="91"/>
      <c r="J130" s="91"/>
      <c r="K130" s="91"/>
      <c r="L130" s="375">
        <f t="shared" si="4"/>
        <v>0</v>
      </c>
      <c r="M130" s="17"/>
      <c r="N130" s="16"/>
      <c r="O130" s="15"/>
      <c r="P130" s="91"/>
      <c r="Q130" s="84"/>
      <c r="R130" s="187"/>
      <c r="S130" s="89"/>
      <c r="T130" s="446"/>
      <c r="U130" s="358"/>
      <c r="V130" s="358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</row>
    <row r="131" spans="1:32" x14ac:dyDescent="0.25">
      <c r="A131" s="358"/>
      <c r="B131" s="358"/>
      <c r="C131" s="91"/>
      <c r="D131" s="359"/>
      <c r="E131" s="91"/>
      <c r="F131" s="91"/>
      <c r="G131" s="91"/>
      <c r="H131" s="91"/>
      <c r="I131" s="91"/>
      <c r="J131" s="91"/>
      <c r="K131" s="91"/>
      <c r="L131" s="375">
        <f t="shared" si="4"/>
        <v>0</v>
      </c>
      <c r="M131" s="17"/>
      <c r="N131" s="16"/>
      <c r="O131" s="15"/>
      <c r="P131" s="91"/>
      <c r="Q131" s="84"/>
      <c r="R131" s="187"/>
      <c r="S131" s="89"/>
      <c r="T131" s="446"/>
      <c r="U131" s="358"/>
      <c r="V131" s="358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</row>
    <row r="132" spans="1:32" x14ac:dyDescent="0.25">
      <c r="A132" s="358"/>
      <c r="B132" s="358"/>
      <c r="C132" s="91"/>
      <c r="D132" s="359"/>
      <c r="E132" s="91"/>
      <c r="F132" s="91"/>
      <c r="G132" s="91"/>
      <c r="H132" s="91"/>
      <c r="I132" s="91"/>
      <c r="J132" s="91"/>
      <c r="K132" s="91"/>
      <c r="L132" s="375">
        <f t="shared" si="4"/>
        <v>0</v>
      </c>
      <c r="M132" s="17"/>
      <c r="N132" s="16"/>
      <c r="O132" s="15"/>
      <c r="P132" s="91"/>
      <c r="Q132" s="84"/>
      <c r="R132" s="187"/>
      <c r="S132" s="89"/>
      <c r="T132" s="446"/>
      <c r="U132" s="358"/>
      <c r="V132" s="358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</row>
    <row r="133" spans="1:32" x14ac:dyDescent="0.25">
      <c r="A133" s="358"/>
      <c r="B133" s="358"/>
      <c r="C133" s="91"/>
      <c r="D133" s="359"/>
      <c r="E133" s="91"/>
      <c r="F133" s="91"/>
      <c r="G133" s="91"/>
      <c r="H133" s="91"/>
      <c r="I133" s="91"/>
      <c r="J133" s="91"/>
      <c r="K133" s="91"/>
      <c r="L133" s="375">
        <f t="shared" si="4"/>
        <v>0</v>
      </c>
      <c r="M133" s="17"/>
      <c r="N133" s="16"/>
      <c r="O133" s="15"/>
      <c r="P133" s="91"/>
      <c r="Q133" s="84"/>
      <c r="R133" s="187"/>
      <c r="S133" s="89"/>
      <c r="T133" s="446"/>
      <c r="U133" s="358"/>
      <c r="V133" s="358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</row>
    <row r="134" spans="1:32" x14ac:dyDescent="0.25">
      <c r="A134" s="358"/>
      <c r="B134" s="358"/>
      <c r="C134" s="91"/>
      <c r="D134" s="359"/>
      <c r="E134" s="91"/>
      <c r="F134" s="91"/>
      <c r="G134" s="91"/>
      <c r="H134" s="91"/>
      <c r="I134" s="91"/>
      <c r="J134" s="91"/>
      <c r="K134" s="91"/>
      <c r="L134" s="375">
        <f t="shared" si="4"/>
        <v>0</v>
      </c>
      <c r="M134" s="17"/>
      <c r="N134" s="16"/>
      <c r="O134" s="15"/>
      <c r="P134" s="91"/>
      <c r="Q134" s="84"/>
      <c r="R134" s="187"/>
      <c r="S134" s="89"/>
      <c r="T134" s="446"/>
      <c r="U134" s="358"/>
      <c r="V134" s="358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</row>
    <row r="135" spans="1:32" x14ac:dyDescent="0.25">
      <c r="A135" s="358"/>
      <c r="B135" s="358"/>
      <c r="C135" s="91"/>
      <c r="D135" s="359"/>
      <c r="E135" s="91"/>
      <c r="F135" s="91"/>
      <c r="G135" s="91"/>
      <c r="H135" s="91"/>
      <c r="I135" s="91"/>
      <c r="J135" s="91"/>
      <c r="K135" s="91"/>
      <c r="L135" s="375">
        <f t="shared" si="4"/>
        <v>0</v>
      </c>
      <c r="M135" s="17"/>
      <c r="N135" s="16"/>
      <c r="O135" s="15"/>
      <c r="P135" s="91"/>
      <c r="Q135" s="84"/>
      <c r="R135" s="187"/>
      <c r="S135" s="89"/>
      <c r="T135" s="446"/>
      <c r="U135" s="358"/>
      <c r="V135" s="358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</row>
    <row r="136" spans="1:32" x14ac:dyDescent="0.25">
      <c r="A136" s="358"/>
      <c r="B136" s="358"/>
      <c r="C136" s="91"/>
      <c r="D136" s="359"/>
      <c r="E136" s="91"/>
      <c r="F136" s="91"/>
      <c r="G136" s="91"/>
      <c r="H136" s="91"/>
      <c r="I136" s="91"/>
      <c r="J136" s="91"/>
      <c r="K136" s="91"/>
      <c r="L136" s="375">
        <f t="shared" si="4"/>
        <v>0</v>
      </c>
      <c r="M136" s="17"/>
      <c r="N136" s="16"/>
      <c r="O136" s="15"/>
      <c r="P136" s="91"/>
      <c r="Q136" s="84"/>
      <c r="R136" s="187"/>
      <c r="S136" s="89"/>
      <c r="T136" s="446"/>
      <c r="U136" s="358"/>
      <c r="V136" s="358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</row>
    <row r="137" spans="1:32" x14ac:dyDescent="0.25">
      <c r="A137" s="358"/>
      <c r="B137" s="358"/>
      <c r="C137" s="91"/>
      <c r="D137" s="359"/>
      <c r="E137" s="91"/>
      <c r="F137" s="91"/>
      <c r="G137" s="91"/>
      <c r="H137" s="91"/>
      <c r="I137" s="91"/>
      <c r="J137" s="91"/>
      <c r="K137" s="91"/>
      <c r="L137" s="375">
        <f t="shared" si="4"/>
        <v>0</v>
      </c>
      <c r="M137" s="17"/>
      <c r="N137" s="16"/>
      <c r="O137" s="15"/>
      <c r="P137" s="91"/>
      <c r="Q137" s="84"/>
      <c r="R137" s="187"/>
      <c r="S137" s="89"/>
      <c r="T137" s="446"/>
      <c r="U137" s="358"/>
      <c r="V137" s="358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</row>
    <row r="138" spans="1:32" x14ac:dyDescent="0.25">
      <c r="A138" s="358"/>
      <c r="B138" s="358"/>
      <c r="C138" s="91"/>
      <c r="D138" s="359"/>
      <c r="E138" s="91"/>
      <c r="F138" s="91"/>
      <c r="G138" s="91"/>
      <c r="H138" s="91"/>
      <c r="I138" s="91"/>
      <c r="J138" s="91"/>
      <c r="K138" s="91"/>
      <c r="L138" s="375">
        <f t="shared" si="4"/>
        <v>0</v>
      </c>
      <c r="M138" s="17"/>
      <c r="N138" s="16"/>
      <c r="O138" s="15"/>
      <c r="P138" s="91"/>
      <c r="Q138" s="84"/>
      <c r="R138" s="187"/>
      <c r="S138" s="89"/>
      <c r="T138" s="446"/>
      <c r="U138" s="358"/>
      <c r="V138" s="358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</row>
    <row r="139" spans="1:32" x14ac:dyDescent="0.25">
      <c r="A139" s="358"/>
      <c r="B139" s="358"/>
      <c r="C139" s="91"/>
      <c r="D139" s="359"/>
      <c r="E139" s="91"/>
      <c r="F139" s="91"/>
      <c r="G139" s="91"/>
      <c r="H139" s="91"/>
      <c r="I139" s="91"/>
      <c r="J139" s="91"/>
      <c r="K139" s="91"/>
      <c r="L139" s="375">
        <f t="shared" si="4"/>
        <v>0</v>
      </c>
      <c r="M139" s="17"/>
      <c r="N139" s="16"/>
      <c r="O139" s="15"/>
      <c r="P139" s="91"/>
      <c r="Q139" s="84"/>
      <c r="R139" s="187"/>
      <c r="S139" s="89"/>
      <c r="T139" s="446"/>
      <c r="U139" s="358"/>
      <c r="V139" s="358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</row>
    <row r="140" spans="1:32" x14ac:dyDescent="0.25">
      <c r="A140" s="358"/>
      <c r="B140" s="358"/>
      <c r="C140" s="91"/>
      <c r="D140" s="359"/>
      <c r="E140" s="91"/>
      <c r="F140" s="91"/>
      <c r="G140" s="91"/>
      <c r="H140" s="91"/>
      <c r="I140" s="91"/>
      <c r="J140" s="91"/>
      <c r="K140" s="91"/>
      <c r="L140" s="375">
        <f t="shared" si="4"/>
        <v>0</v>
      </c>
      <c r="M140" s="17"/>
      <c r="N140" s="16"/>
      <c r="O140" s="15"/>
      <c r="P140" s="91"/>
      <c r="Q140" s="84"/>
      <c r="R140" s="187"/>
      <c r="S140" s="89"/>
      <c r="T140" s="446"/>
      <c r="U140" s="358"/>
      <c r="V140" s="358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</row>
    <row r="141" spans="1:32" x14ac:dyDescent="0.25">
      <c r="A141" s="358"/>
      <c r="B141" s="358"/>
      <c r="C141" s="91"/>
      <c r="D141" s="359"/>
      <c r="E141" s="91"/>
      <c r="F141" s="91"/>
      <c r="G141" s="91"/>
      <c r="H141" s="91"/>
      <c r="I141" s="91"/>
      <c r="J141" s="91"/>
      <c r="K141" s="91"/>
      <c r="L141" s="375">
        <f t="shared" si="4"/>
        <v>0</v>
      </c>
      <c r="M141" s="17"/>
      <c r="N141" s="16"/>
      <c r="O141" s="15"/>
      <c r="P141" s="91"/>
      <c r="Q141" s="84"/>
      <c r="R141" s="187"/>
      <c r="S141" s="89"/>
      <c r="T141" s="446"/>
      <c r="U141" s="358"/>
      <c r="V141" s="358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</row>
    <row r="142" spans="1:32" x14ac:dyDescent="0.25">
      <c r="A142" s="358"/>
      <c r="B142" s="358"/>
      <c r="C142" s="91"/>
      <c r="D142" s="359"/>
      <c r="E142" s="91"/>
      <c r="F142" s="91"/>
      <c r="G142" s="91"/>
      <c r="H142" s="91"/>
      <c r="I142" s="91"/>
      <c r="J142" s="91"/>
      <c r="K142" s="91"/>
      <c r="L142" s="375">
        <f t="shared" si="4"/>
        <v>0</v>
      </c>
      <c r="M142" s="17"/>
      <c r="N142" s="16"/>
      <c r="O142" s="15"/>
      <c r="P142" s="91"/>
      <c r="Q142" s="84"/>
      <c r="R142" s="187"/>
      <c r="S142" s="89"/>
      <c r="T142" s="446"/>
      <c r="U142" s="358"/>
      <c r="V142" s="358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</row>
    <row r="143" spans="1:32" x14ac:dyDescent="0.25">
      <c r="A143" s="358"/>
      <c r="B143" s="358"/>
      <c r="C143" s="91"/>
      <c r="D143" s="359"/>
      <c r="E143" s="91"/>
      <c r="F143" s="91"/>
      <c r="G143" s="91"/>
      <c r="H143" s="91"/>
      <c r="I143" s="91"/>
      <c r="J143" s="91"/>
      <c r="K143" s="91"/>
      <c r="L143" s="375">
        <f t="shared" si="4"/>
        <v>0</v>
      </c>
      <c r="M143" s="17"/>
      <c r="N143" s="16"/>
      <c r="O143" s="15"/>
      <c r="P143" s="91"/>
      <c r="Q143" s="84"/>
      <c r="R143" s="187"/>
      <c r="S143" s="89"/>
      <c r="T143" s="446"/>
      <c r="U143" s="358"/>
      <c r="V143" s="358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</row>
    <row r="144" spans="1:32" x14ac:dyDescent="0.25">
      <c r="A144" s="358"/>
      <c r="B144" s="358"/>
      <c r="C144" s="91"/>
      <c r="D144" s="359"/>
      <c r="E144" s="91"/>
      <c r="F144" s="91"/>
      <c r="G144" s="91"/>
      <c r="H144" s="91"/>
      <c r="I144" s="91"/>
      <c r="J144" s="91"/>
      <c r="K144" s="91"/>
      <c r="L144" s="375">
        <f t="shared" si="4"/>
        <v>0</v>
      </c>
      <c r="M144" s="17"/>
      <c r="N144" s="16"/>
      <c r="O144" s="15"/>
      <c r="P144" s="91"/>
      <c r="Q144" s="84"/>
      <c r="R144" s="187"/>
      <c r="S144" s="89"/>
      <c r="T144" s="446"/>
      <c r="U144" s="358"/>
      <c r="V144" s="358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</row>
    <row r="145" spans="1:32" x14ac:dyDescent="0.25">
      <c r="A145" s="358"/>
      <c r="B145" s="358"/>
      <c r="C145" s="91"/>
      <c r="D145" s="359"/>
      <c r="E145" s="91"/>
      <c r="F145" s="91"/>
      <c r="G145" s="91"/>
      <c r="H145" s="91"/>
      <c r="I145" s="91"/>
      <c r="J145" s="91"/>
      <c r="K145" s="91"/>
      <c r="L145" s="375">
        <f t="shared" si="4"/>
        <v>0</v>
      </c>
      <c r="M145" s="17"/>
      <c r="N145" s="16"/>
      <c r="O145" s="15"/>
      <c r="P145" s="91"/>
      <c r="Q145" s="84"/>
      <c r="R145" s="187"/>
      <c r="S145" s="89"/>
      <c r="T145" s="446"/>
      <c r="U145" s="358"/>
      <c r="V145" s="358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</row>
    <row r="146" spans="1:32" x14ac:dyDescent="0.25">
      <c r="A146" s="358"/>
      <c r="B146" s="358"/>
      <c r="C146" s="91"/>
      <c r="D146" s="359"/>
      <c r="E146" s="91"/>
      <c r="F146" s="91"/>
      <c r="G146" s="91"/>
      <c r="H146" s="91"/>
      <c r="I146" s="91"/>
      <c r="J146" s="91"/>
      <c r="K146" s="91"/>
      <c r="L146" s="375">
        <f t="shared" si="4"/>
        <v>0</v>
      </c>
      <c r="M146" s="17"/>
      <c r="N146" s="16"/>
      <c r="O146" s="15"/>
      <c r="P146" s="91"/>
      <c r="Q146" s="84"/>
      <c r="R146" s="187"/>
      <c r="S146" s="89"/>
      <c r="T146" s="446"/>
      <c r="U146" s="358"/>
      <c r="V146" s="358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</row>
    <row r="147" spans="1:32" x14ac:dyDescent="0.25">
      <c r="A147" s="358"/>
      <c r="B147" s="358"/>
      <c r="C147" s="91"/>
      <c r="D147" s="359"/>
      <c r="E147" s="91"/>
      <c r="F147" s="91"/>
      <c r="G147" s="91"/>
      <c r="H147" s="91"/>
      <c r="I147" s="91"/>
      <c r="J147" s="91"/>
      <c r="K147" s="91"/>
      <c r="L147" s="375">
        <f t="shared" si="4"/>
        <v>0</v>
      </c>
      <c r="M147" s="17"/>
      <c r="N147" s="16"/>
      <c r="O147" s="15"/>
      <c r="P147" s="91"/>
      <c r="Q147" s="84"/>
      <c r="R147" s="187"/>
      <c r="S147" s="89"/>
      <c r="T147" s="446"/>
      <c r="U147" s="358"/>
      <c r="V147" s="358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</row>
    <row r="148" spans="1:32" x14ac:dyDescent="0.25">
      <c r="A148" s="358"/>
      <c r="B148" s="358"/>
      <c r="C148" s="91"/>
      <c r="D148" s="359"/>
      <c r="E148" s="91"/>
      <c r="F148" s="91"/>
      <c r="G148" s="91"/>
      <c r="H148" s="91"/>
      <c r="I148" s="91"/>
      <c r="J148" s="91"/>
      <c r="K148" s="91"/>
      <c r="L148" s="375">
        <f t="shared" si="4"/>
        <v>0</v>
      </c>
      <c r="M148" s="17"/>
      <c r="N148" s="16"/>
      <c r="O148" s="15"/>
      <c r="P148" s="91"/>
      <c r="Q148" s="84"/>
      <c r="R148" s="187"/>
      <c r="S148" s="89"/>
      <c r="T148" s="446"/>
      <c r="U148" s="358"/>
      <c r="V148" s="358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</row>
    <row r="149" spans="1:32" x14ac:dyDescent="0.25">
      <c r="A149" s="358"/>
      <c r="B149" s="358"/>
      <c r="C149" s="91"/>
      <c r="D149" s="359"/>
      <c r="E149" s="91"/>
      <c r="F149" s="91"/>
      <c r="G149" s="91"/>
      <c r="H149" s="91"/>
      <c r="I149" s="91"/>
      <c r="J149" s="91"/>
      <c r="K149" s="91"/>
      <c r="L149" s="375">
        <f t="shared" si="4"/>
        <v>0</v>
      </c>
      <c r="M149" s="17"/>
      <c r="N149" s="16"/>
      <c r="O149" s="15"/>
      <c r="P149" s="91"/>
      <c r="Q149" s="84"/>
      <c r="R149" s="187"/>
      <c r="S149" s="89"/>
      <c r="T149" s="446"/>
      <c r="U149" s="358"/>
      <c r="V149" s="358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</row>
    <row r="150" spans="1:32" x14ac:dyDescent="0.25">
      <c r="A150" s="358"/>
      <c r="B150" s="358"/>
      <c r="C150" s="91"/>
      <c r="D150" s="359"/>
      <c r="E150" s="91"/>
      <c r="F150" s="91"/>
      <c r="G150" s="91"/>
      <c r="H150" s="91"/>
      <c r="I150" s="91"/>
      <c r="J150" s="91"/>
      <c r="K150" s="91"/>
      <c r="L150" s="375">
        <f t="shared" si="4"/>
        <v>0</v>
      </c>
      <c r="M150" s="17"/>
      <c r="N150" s="16"/>
      <c r="O150" s="15"/>
      <c r="P150" s="91"/>
      <c r="Q150" s="84"/>
      <c r="R150" s="187"/>
      <c r="S150" s="89"/>
      <c r="T150" s="446"/>
      <c r="U150" s="358"/>
      <c r="V150" s="358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</row>
    <row r="151" spans="1:32" x14ac:dyDescent="0.25">
      <c r="A151" s="358"/>
      <c r="B151" s="358"/>
      <c r="C151" s="91"/>
      <c r="D151" s="359"/>
      <c r="E151" s="91"/>
      <c r="F151" s="91"/>
      <c r="G151" s="91"/>
      <c r="H151" s="91"/>
      <c r="I151" s="91"/>
      <c r="J151" s="91"/>
      <c r="K151" s="91"/>
      <c r="L151" s="375">
        <f t="shared" ref="L151:L175" si="5">SUM(M151:T151)</f>
        <v>0</v>
      </c>
      <c r="M151" s="17"/>
      <c r="N151" s="16"/>
      <c r="O151" s="15"/>
      <c r="P151" s="91"/>
      <c r="Q151" s="84"/>
      <c r="R151" s="187"/>
      <c r="S151" s="89"/>
      <c r="T151" s="446"/>
      <c r="U151" s="358"/>
      <c r="V151" s="358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</row>
    <row r="152" spans="1:32" x14ac:dyDescent="0.25">
      <c r="A152" s="358"/>
      <c r="B152" s="358"/>
      <c r="C152" s="91"/>
      <c r="D152" s="359"/>
      <c r="E152" s="91"/>
      <c r="F152" s="91"/>
      <c r="G152" s="91"/>
      <c r="H152" s="91"/>
      <c r="I152" s="91"/>
      <c r="J152" s="91"/>
      <c r="K152" s="91"/>
      <c r="L152" s="375">
        <f t="shared" si="5"/>
        <v>0</v>
      </c>
      <c r="M152" s="17"/>
      <c r="N152" s="16"/>
      <c r="O152" s="15"/>
      <c r="P152" s="91"/>
      <c r="Q152" s="84"/>
      <c r="R152" s="187"/>
      <c r="S152" s="89"/>
      <c r="T152" s="446"/>
      <c r="U152" s="358"/>
      <c r="V152" s="358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</row>
    <row r="153" spans="1:32" x14ac:dyDescent="0.25">
      <c r="A153" s="358"/>
      <c r="B153" s="358"/>
      <c r="C153" s="91"/>
      <c r="D153" s="359"/>
      <c r="E153" s="91"/>
      <c r="F153" s="91"/>
      <c r="G153" s="91"/>
      <c r="H153" s="91"/>
      <c r="I153" s="91"/>
      <c r="J153" s="91"/>
      <c r="K153" s="91"/>
      <c r="L153" s="375">
        <f t="shared" si="5"/>
        <v>0</v>
      </c>
      <c r="M153" s="17"/>
      <c r="N153" s="16"/>
      <c r="O153" s="15"/>
      <c r="P153" s="91"/>
      <c r="Q153" s="84"/>
      <c r="R153" s="187"/>
      <c r="S153" s="89"/>
      <c r="T153" s="446"/>
      <c r="U153" s="358"/>
      <c r="V153" s="358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</row>
    <row r="154" spans="1:32" x14ac:dyDescent="0.25">
      <c r="A154" s="358"/>
      <c r="B154" s="358"/>
      <c r="C154" s="91"/>
      <c r="D154" s="359"/>
      <c r="E154" s="91"/>
      <c r="F154" s="91"/>
      <c r="G154" s="91"/>
      <c r="H154" s="91"/>
      <c r="I154" s="91"/>
      <c r="J154" s="91"/>
      <c r="K154" s="91"/>
      <c r="L154" s="375">
        <f t="shared" si="5"/>
        <v>0</v>
      </c>
      <c r="M154" s="17"/>
      <c r="N154" s="16"/>
      <c r="O154" s="15"/>
      <c r="P154" s="91"/>
      <c r="Q154" s="84"/>
      <c r="R154" s="187"/>
      <c r="S154" s="89"/>
      <c r="T154" s="446"/>
      <c r="U154" s="358"/>
      <c r="V154" s="358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</row>
    <row r="155" spans="1:32" x14ac:dyDescent="0.25">
      <c r="A155" s="358"/>
      <c r="B155" s="358"/>
      <c r="C155" s="91"/>
      <c r="D155" s="359"/>
      <c r="E155" s="91"/>
      <c r="F155" s="91"/>
      <c r="G155" s="91"/>
      <c r="H155" s="91"/>
      <c r="I155" s="91"/>
      <c r="J155" s="91"/>
      <c r="K155" s="91"/>
      <c r="L155" s="375">
        <f t="shared" si="5"/>
        <v>0</v>
      </c>
      <c r="M155" s="17"/>
      <c r="N155" s="16"/>
      <c r="O155" s="15"/>
      <c r="P155" s="91"/>
      <c r="Q155" s="84"/>
      <c r="R155" s="187"/>
      <c r="S155" s="89"/>
      <c r="T155" s="446"/>
      <c r="U155" s="358"/>
      <c r="V155" s="358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</row>
    <row r="156" spans="1:32" x14ac:dyDescent="0.25">
      <c r="A156" s="358"/>
      <c r="B156" s="358"/>
      <c r="C156" s="91"/>
      <c r="D156" s="359"/>
      <c r="E156" s="91"/>
      <c r="F156" s="91"/>
      <c r="G156" s="91"/>
      <c r="H156" s="91"/>
      <c r="I156" s="91"/>
      <c r="J156" s="91"/>
      <c r="K156" s="91"/>
      <c r="L156" s="375">
        <f t="shared" si="5"/>
        <v>0</v>
      </c>
      <c r="M156" s="17"/>
      <c r="N156" s="16"/>
      <c r="O156" s="15"/>
      <c r="P156" s="91"/>
      <c r="Q156" s="84"/>
      <c r="R156" s="187"/>
      <c r="S156" s="89"/>
      <c r="T156" s="446"/>
      <c r="U156" s="358"/>
      <c r="V156" s="358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</row>
    <row r="157" spans="1:32" x14ac:dyDescent="0.25">
      <c r="A157" s="358"/>
      <c r="B157" s="358"/>
      <c r="C157" s="91"/>
      <c r="D157" s="359"/>
      <c r="E157" s="91"/>
      <c r="F157" s="91"/>
      <c r="G157" s="91"/>
      <c r="H157" s="91"/>
      <c r="I157" s="91"/>
      <c r="J157" s="91"/>
      <c r="K157" s="91"/>
      <c r="L157" s="375">
        <f t="shared" si="5"/>
        <v>0</v>
      </c>
      <c r="M157" s="17"/>
      <c r="N157" s="16"/>
      <c r="O157" s="15"/>
      <c r="P157" s="91"/>
      <c r="Q157" s="84"/>
      <c r="R157" s="187"/>
      <c r="S157" s="89"/>
      <c r="T157" s="446"/>
      <c r="U157" s="358"/>
      <c r="V157" s="358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</row>
    <row r="158" spans="1:32" x14ac:dyDescent="0.25">
      <c r="A158" s="358"/>
      <c r="B158" s="358"/>
      <c r="C158" s="91"/>
      <c r="D158" s="359"/>
      <c r="E158" s="91"/>
      <c r="F158" s="91"/>
      <c r="G158" s="91"/>
      <c r="H158" s="91"/>
      <c r="I158" s="91"/>
      <c r="J158" s="91"/>
      <c r="K158" s="91"/>
      <c r="L158" s="375">
        <f t="shared" si="5"/>
        <v>0</v>
      </c>
      <c r="M158" s="17"/>
      <c r="N158" s="16"/>
      <c r="O158" s="15"/>
      <c r="P158" s="91"/>
      <c r="Q158" s="84"/>
      <c r="R158" s="187"/>
      <c r="S158" s="89"/>
      <c r="T158" s="446"/>
      <c r="U158" s="358"/>
      <c r="V158" s="358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</row>
    <row r="159" spans="1:32" x14ac:dyDescent="0.25">
      <c r="A159" s="358"/>
      <c r="B159" s="358"/>
      <c r="C159" s="91"/>
      <c r="D159" s="359"/>
      <c r="E159" s="91"/>
      <c r="F159" s="91"/>
      <c r="G159" s="91"/>
      <c r="H159" s="91"/>
      <c r="I159" s="91"/>
      <c r="J159" s="91"/>
      <c r="K159" s="91"/>
      <c r="L159" s="375">
        <f t="shared" si="5"/>
        <v>0</v>
      </c>
      <c r="M159" s="17"/>
      <c r="N159" s="16"/>
      <c r="O159" s="15"/>
      <c r="P159" s="91"/>
      <c r="Q159" s="84"/>
      <c r="R159" s="187"/>
      <c r="S159" s="89"/>
      <c r="T159" s="446"/>
      <c r="U159" s="358"/>
      <c r="V159" s="358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</row>
    <row r="160" spans="1:32" x14ac:dyDescent="0.25">
      <c r="A160" s="358"/>
      <c r="B160" s="358"/>
      <c r="C160" s="91"/>
      <c r="D160" s="359"/>
      <c r="E160" s="91"/>
      <c r="F160" s="91"/>
      <c r="G160" s="91"/>
      <c r="H160" s="91"/>
      <c r="I160" s="91"/>
      <c r="J160" s="91"/>
      <c r="K160" s="91"/>
      <c r="L160" s="375">
        <f t="shared" si="5"/>
        <v>0</v>
      </c>
      <c r="M160" s="17"/>
      <c r="N160" s="16"/>
      <c r="O160" s="15"/>
      <c r="P160" s="91"/>
      <c r="Q160" s="84"/>
      <c r="R160" s="187"/>
      <c r="S160" s="89"/>
      <c r="T160" s="446"/>
      <c r="U160" s="358"/>
      <c r="V160" s="358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</row>
    <row r="161" spans="1:32" x14ac:dyDescent="0.25">
      <c r="A161" s="358"/>
      <c r="B161" s="358"/>
      <c r="C161" s="91"/>
      <c r="D161" s="359"/>
      <c r="E161" s="91"/>
      <c r="F161" s="91"/>
      <c r="G161" s="91"/>
      <c r="H161" s="91"/>
      <c r="I161" s="91"/>
      <c r="J161" s="91"/>
      <c r="K161" s="91"/>
      <c r="L161" s="375">
        <f t="shared" si="5"/>
        <v>0</v>
      </c>
      <c r="M161" s="17"/>
      <c r="N161" s="16"/>
      <c r="O161" s="15"/>
      <c r="P161" s="91"/>
      <c r="Q161" s="84"/>
      <c r="R161" s="187"/>
      <c r="S161" s="89"/>
      <c r="T161" s="446"/>
      <c r="U161" s="358"/>
      <c r="V161" s="358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</row>
    <row r="162" spans="1:32" x14ac:dyDescent="0.25">
      <c r="A162" s="358"/>
      <c r="B162" s="358"/>
      <c r="C162" s="91"/>
      <c r="D162" s="359"/>
      <c r="E162" s="91"/>
      <c r="F162" s="91"/>
      <c r="G162" s="91"/>
      <c r="H162" s="91"/>
      <c r="I162" s="91"/>
      <c r="J162" s="91"/>
      <c r="K162" s="91"/>
      <c r="L162" s="375">
        <f t="shared" si="5"/>
        <v>0</v>
      </c>
      <c r="M162" s="17"/>
      <c r="N162" s="16"/>
      <c r="O162" s="15"/>
      <c r="P162" s="91"/>
      <c r="Q162" s="84"/>
      <c r="R162" s="187"/>
      <c r="S162" s="89"/>
      <c r="T162" s="446"/>
      <c r="U162" s="358"/>
      <c r="V162" s="358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</row>
    <row r="163" spans="1:32" x14ac:dyDescent="0.25">
      <c r="A163" s="358"/>
      <c r="B163" s="358"/>
      <c r="C163" s="91"/>
      <c r="D163" s="359"/>
      <c r="E163" s="91"/>
      <c r="F163" s="91"/>
      <c r="G163" s="91"/>
      <c r="H163" s="91"/>
      <c r="I163" s="91"/>
      <c r="J163" s="91"/>
      <c r="K163" s="91"/>
      <c r="L163" s="375">
        <f t="shared" si="5"/>
        <v>0</v>
      </c>
      <c r="M163" s="17"/>
      <c r="N163" s="16"/>
      <c r="O163" s="15"/>
      <c r="P163" s="91"/>
      <c r="Q163" s="84"/>
      <c r="R163" s="187"/>
      <c r="S163" s="89"/>
      <c r="T163" s="446"/>
      <c r="U163" s="358"/>
      <c r="V163" s="358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</row>
    <row r="164" spans="1:32" x14ac:dyDescent="0.25">
      <c r="A164" s="358"/>
      <c r="B164" s="358"/>
      <c r="C164" s="91"/>
      <c r="D164" s="359"/>
      <c r="E164" s="91"/>
      <c r="F164" s="91"/>
      <c r="G164" s="91"/>
      <c r="H164" s="91"/>
      <c r="I164" s="91"/>
      <c r="J164" s="91"/>
      <c r="K164" s="91"/>
      <c r="L164" s="375">
        <f t="shared" si="5"/>
        <v>0</v>
      </c>
      <c r="M164" s="17"/>
      <c r="N164" s="16"/>
      <c r="O164" s="15"/>
      <c r="P164" s="91"/>
      <c r="Q164" s="84"/>
      <c r="R164" s="187"/>
      <c r="S164" s="89"/>
      <c r="T164" s="446"/>
      <c r="U164" s="358"/>
      <c r="V164" s="358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</row>
    <row r="165" spans="1:32" x14ac:dyDescent="0.25">
      <c r="A165" s="358"/>
      <c r="B165" s="358"/>
      <c r="C165" s="91"/>
      <c r="D165" s="359"/>
      <c r="E165" s="91"/>
      <c r="F165" s="91"/>
      <c r="G165" s="91"/>
      <c r="H165" s="91"/>
      <c r="I165" s="91"/>
      <c r="J165" s="91"/>
      <c r="K165" s="91"/>
      <c r="L165" s="375">
        <f t="shared" si="5"/>
        <v>0</v>
      </c>
      <c r="M165" s="17"/>
      <c r="N165" s="16"/>
      <c r="O165" s="15"/>
      <c r="P165" s="91"/>
      <c r="Q165" s="84"/>
      <c r="R165" s="187"/>
      <c r="S165" s="89"/>
      <c r="T165" s="446"/>
      <c r="U165" s="358"/>
      <c r="V165" s="358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</row>
    <row r="166" spans="1:32" x14ac:dyDescent="0.25">
      <c r="A166" s="358"/>
      <c r="B166" s="358"/>
      <c r="C166" s="91"/>
      <c r="D166" s="359"/>
      <c r="E166" s="91"/>
      <c r="F166" s="91"/>
      <c r="G166" s="91"/>
      <c r="H166" s="91"/>
      <c r="I166" s="91"/>
      <c r="J166" s="91"/>
      <c r="K166" s="91"/>
      <c r="L166" s="375">
        <f t="shared" si="5"/>
        <v>0</v>
      </c>
      <c r="M166" s="17"/>
      <c r="N166" s="16"/>
      <c r="O166" s="15"/>
      <c r="P166" s="91"/>
      <c r="Q166" s="84"/>
      <c r="R166" s="187"/>
      <c r="S166" s="89"/>
      <c r="T166" s="446"/>
      <c r="U166" s="358"/>
      <c r="V166" s="358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</row>
    <row r="167" spans="1:32" x14ac:dyDescent="0.25">
      <c r="A167" s="358"/>
      <c r="B167" s="358"/>
      <c r="C167" s="91"/>
      <c r="D167" s="359"/>
      <c r="E167" s="91"/>
      <c r="F167" s="91"/>
      <c r="G167" s="91"/>
      <c r="H167" s="91"/>
      <c r="I167" s="91"/>
      <c r="J167" s="91"/>
      <c r="K167" s="91"/>
      <c r="L167" s="375">
        <f t="shared" si="5"/>
        <v>0</v>
      </c>
      <c r="M167" s="17"/>
      <c r="N167" s="16"/>
      <c r="O167" s="15"/>
      <c r="P167" s="91"/>
      <c r="Q167" s="84"/>
      <c r="R167" s="187"/>
      <c r="S167" s="89"/>
      <c r="T167" s="446"/>
      <c r="U167" s="358"/>
      <c r="V167" s="358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</row>
    <row r="168" spans="1:32" x14ac:dyDescent="0.25">
      <c r="A168" s="358"/>
      <c r="B168" s="358"/>
      <c r="C168" s="91"/>
      <c r="D168" s="359"/>
      <c r="E168" s="91"/>
      <c r="F168" s="91"/>
      <c r="G168" s="91"/>
      <c r="H168" s="91"/>
      <c r="I168" s="91"/>
      <c r="J168" s="91"/>
      <c r="K168" s="91"/>
      <c r="L168" s="375">
        <f t="shared" si="5"/>
        <v>0</v>
      </c>
      <c r="M168" s="17"/>
      <c r="N168" s="16"/>
      <c r="O168" s="15"/>
      <c r="P168" s="91"/>
      <c r="Q168" s="84"/>
      <c r="R168" s="187"/>
      <c r="S168" s="89"/>
      <c r="T168" s="446"/>
      <c r="U168" s="358"/>
      <c r="V168" s="358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</row>
    <row r="169" spans="1:32" x14ac:dyDescent="0.25">
      <c r="A169" s="358"/>
      <c r="B169" s="358"/>
      <c r="C169" s="91"/>
      <c r="D169" s="359"/>
      <c r="E169" s="91"/>
      <c r="F169" s="91"/>
      <c r="G169" s="91"/>
      <c r="H169" s="91"/>
      <c r="I169" s="91"/>
      <c r="J169" s="91"/>
      <c r="K169" s="91"/>
      <c r="L169" s="375">
        <f t="shared" si="5"/>
        <v>0</v>
      </c>
      <c r="M169" s="17"/>
      <c r="N169" s="16"/>
      <c r="O169" s="15"/>
      <c r="P169" s="91"/>
      <c r="Q169" s="84"/>
      <c r="R169" s="187"/>
      <c r="S169" s="89"/>
      <c r="T169" s="446"/>
      <c r="U169" s="358"/>
      <c r="V169" s="358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</row>
    <row r="170" spans="1:32" x14ac:dyDescent="0.25">
      <c r="A170" s="358"/>
      <c r="B170" s="358"/>
      <c r="C170" s="91"/>
      <c r="D170" s="359"/>
      <c r="E170" s="91"/>
      <c r="F170" s="91"/>
      <c r="G170" s="91"/>
      <c r="H170" s="91"/>
      <c r="I170" s="91"/>
      <c r="J170" s="91"/>
      <c r="K170" s="91"/>
      <c r="L170" s="375">
        <f t="shared" si="5"/>
        <v>0</v>
      </c>
      <c r="M170" s="17"/>
      <c r="N170" s="16"/>
      <c r="O170" s="15"/>
      <c r="P170" s="91"/>
      <c r="Q170" s="84"/>
      <c r="R170" s="187"/>
      <c r="S170" s="89"/>
      <c r="T170" s="446"/>
      <c r="U170" s="358"/>
      <c r="V170" s="358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</row>
    <row r="171" spans="1:32" x14ac:dyDescent="0.25">
      <c r="A171" s="358"/>
      <c r="B171" s="358"/>
      <c r="C171" s="91"/>
      <c r="D171" s="359"/>
      <c r="E171" s="91"/>
      <c r="F171" s="91"/>
      <c r="G171" s="91"/>
      <c r="H171" s="91"/>
      <c r="I171" s="91"/>
      <c r="J171" s="91"/>
      <c r="K171" s="91"/>
      <c r="L171" s="375">
        <f t="shared" si="5"/>
        <v>0</v>
      </c>
      <c r="M171" s="17"/>
      <c r="N171" s="16"/>
      <c r="O171" s="15"/>
      <c r="P171" s="91"/>
      <c r="Q171" s="84"/>
      <c r="R171" s="187"/>
      <c r="S171" s="89"/>
      <c r="T171" s="446"/>
      <c r="U171" s="358"/>
      <c r="V171" s="358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</row>
    <row r="172" spans="1:32" x14ac:dyDescent="0.25">
      <c r="A172" s="358"/>
      <c r="B172" s="358"/>
      <c r="C172" s="91"/>
      <c r="D172" s="359"/>
      <c r="E172" s="91"/>
      <c r="F172" s="91"/>
      <c r="G172" s="91"/>
      <c r="H172" s="91"/>
      <c r="I172" s="91"/>
      <c r="J172" s="91"/>
      <c r="K172" s="91"/>
      <c r="L172" s="375">
        <f t="shared" si="5"/>
        <v>0</v>
      </c>
      <c r="M172" s="17"/>
      <c r="N172" s="16"/>
      <c r="O172" s="15"/>
      <c r="P172" s="91"/>
      <c r="Q172" s="84"/>
      <c r="R172" s="187"/>
      <c r="S172" s="89"/>
      <c r="T172" s="446"/>
      <c r="U172" s="358"/>
      <c r="V172" s="358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</row>
    <row r="173" spans="1:32" x14ac:dyDescent="0.25">
      <c r="A173" s="358"/>
      <c r="B173" s="358"/>
      <c r="C173" s="91"/>
      <c r="D173" s="359"/>
      <c r="E173" s="91"/>
      <c r="F173" s="91"/>
      <c r="G173" s="91"/>
      <c r="H173" s="91"/>
      <c r="I173" s="91"/>
      <c r="J173" s="91"/>
      <c r="K173" s="91"/>
      <c r="L173" s="375">
        <f t="shared" si="5"/>
        <v>0</v>
      </c>
      <c r="M173" s="17"/>
      <c r="N173" s="16"/>
      <c r="O173" s="15"/>
      <c r="P173" s="91"/>
      <c r="Q173" s="84"/>
      <c r="R173" s="187"/>
      <c r="S173" s="89"/>
      <c r="T173" s="446"/>
      <c r="U173" s="358"/>
      <c r="V173" s="358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</row>
    <row r="174" spans="1:32" x14ac:dyDescent="0.25">
      <c r="A174" s="358"/>
      <c r="B174" s="358"/>
      <c r="C174" s="91"/>
      <c r="D174" s="359"/>
      <c r="E174" s="91"/>
      <c r="F174" s="91"/>
      <c r="G174" s="91"/>
      <c r="H174" s="91"/>
      <c r="I174" s="91"/>
      <c r="J174" s="91"/>
      <c r="K174" s="91"/>
      <c r="L174" s="375">
        <f t="shared" si="5"/>
        <v>0</v>
      </c>
      <c r="M174" s="17"/>
      <c r="N174" s="16"/>
      <c r="O174" s="15"/>
      <c r="P174" s="91"/>
      <c r="Q174" s="84"/>
      <c r="R174" s="187"/>
      <c r="S174" s="89"/>
      <c r="T174" s="446"/>
      <c r="U174" s="358"/>
      <c r="V174" s="358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</row>
    <row r="175" spans="1:32" x14ac:dyDescent="0.25">
      <c r="A175" s="358"/>
      <c r="B175" s="358"/>
      <c r="C175" s="91"/>
      <c r="D175" s="359"/>
      <c r="E175" s="91"/>
      <c r="F175" s="91"/>
      <c r="G175" s="91"/>
      <c r="H175" s="91"/>
      <c r="I175" s="91"/>
      <c r="J175" s="91"/>
      <c r="K175" s="91"/>
      <c r="L175" s="375">
        <f t="shared" si="5"/>
        <v>0</v>
      </c>
      <c r="M175" s="17"/>
      <c r="N175" s="16"/>
      <c r="O175" s="15"/>
      <c r="P175" s="91"/>
      <c r="Q175" s="84"/>
      <c r="R175" s="187"/>
      <c r="S175" s="89"/>
      <c r="T175" s="446"/>
      <c r="U175" s="358"/>
      <c r="V175" s="358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</row>
    <row r="176" spans="1:32" x14ac:dyDescent="0.25">
      <c r="A176" s="358"/>
      <c r="B176" s="358"/>
      <c r="C176" s="91"/>
      <c r="D176" s="359"/>
      <c r="E176" s="91"/>
      <c r="F176" s="91"/>
      <c r="G176" s="91"/>
      <c r="U176" s="358"/>
      <c r="V176" s="358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</row>
  </sheetData>
  <autoFilter ref="A1:AN175">
    <filterColumn colId="0" showButton="0"/>
    <filterColumn colId="1" showButton="0"/>
    <filterColumn colId="2" showButton="0"/>
    <filterColumn colId="3" showButton="0"/>
    <filterColumn colId="4" showButton="0"/>
  </autoFilter>
  <mergeCells count="32">
    <mergeCell ref="AF2:AF3"/>
    <mergeCell ref="A1:F1"/>
    <mergeCell ref="A2:A3"/>
    <mergeCell ref="B2:B3"/>
    <mergeCell ref="D2:D3"/>
    <mergeCell ref="E2:E3"/>
    <mergeCell ref="F2:F3"/>
    <mergeCell ref="C2:C3"/>
    <mergeCell ref="G2:G3"/>
    <mergeCell ref="X2:X3"/>
    <mergeCell ref="AC2:AC3"/>
    <mergeCell ref="AE2:AE3"/>
    <mergeCell ref="AD2:AD3"/>
    <mergeCell ref="A4:K4"/>
    <mergeCell ref="AB2:AB3"/>
    <mergeCell ref="H2:H3"/>
    <mergeCell ref="I2:K2"/>
    <mergeCell ref="L2:T2"/>
    <mergeCell ref="V2:V3"/>
    <mergeCell ref="W2:W3"/>
    <mergeCell ref="Z2:Z3"/>
    <mergeCell ref="U2:U3"/>
    <mergeCell ref="Y2:Y3"/>
    <mergeCell ref="AA2:AA3"/>
    <mergeCell ref="AJ58:AK58"/>
    <mergeCell ref="AJ62:AK62"/>
    <mergeCell ref="AJ63:AK63"/>
    <mergeCell ref="AJ64:AK64"/>
    <mergeCell ref="AJ65:AK65"/>
    <mergeCell ref="AJ59:AK59"/>
    <mergeCell ref="AJ60:AK60"/>
    <mergeCell ref="AJ61:AK61"/>
  </mergeCells>
  <dataValidations count="9">
    <dataValidation type="whole" allowBlank="1" showInputMessage="1" showErrorMessage="1" sqref="AE76:AE176 AE69:AE74 AE53:AE67 AE37:AE46 AE5:AE33">
      <formula1>0</formula1>
      <formula2>10000</formula2>
    </dataValidation>
    <dataValidation type="list" allowBlank="1" showInputMessage="1" showErrorMessage="1" sqref="W53:W176 W12:W51">
      <formula1>"BLM, USFS, IDL, PRIVATE, FWS, BOR, MILITARY, ASSIST, OTHER"</formula1>
    </dataValidation>
    <dataValidation type="list" allowBlank="1" showInputMessage="1" showErrorMessage="1" sqref="AF53:AF176 AF5:AF51">
      <formula1>"A (0-0.25), B (0.26-9), C (10-99), D (100-299), E (300-999), F (1000-4999), G (5000+)"</formula1>
    </dataValidation>
    <dataValidation type="list" allowBlank="1" showInputMessage="1" showErrorMessage="1" sqref="Y53:AA176 Y5:AA51">
      <formula1>"Y, N"</formula1>
    </dataValidation>
    <dataValidation type="list" allowBlank="1" showInputMessage="1" showErrorMessage="1" sqref="AB53:AC176 AB5:AC51">
      <formula1>"Y, N "</formula1>
    </dataValidation>
    <dataValidation type="list" allowBlank="1" showInputMessage="1" showErrorMessage="1" sqref="X53:X176 X5:X51">
      <formula1>"LOOKOUT, AGENCY, AIRCRAFT, PRIVATE, COUNTY"</formula1>
    </dataValidation>
    <dataValidation type="list" allowBlank="1" showInputMessage="1" showErrorMessage="1" sqref="W5:W11">
      <formula1>"BLM, USFS, IDL, PRIVATE, FWS, MILITARY, ASSIST, OTHER"</formula1>
    </dataValidation>
    <dataValidation type="list" allowBlank="1" showInputMessage="1" showErrorMessage="1" sqref="H5:H175">
      <formula1>"H, L, A, FA, UTL, RFD, O"</formula1>
    </dataValidation>
    <dataValidation type="list" allowBlank="1" showInputMessage="1" showErrorMessage="1" sqref="C5:C176">
      <formula1>"BOD, BOF, SWS, 1AX, 1GX, 1PX, 1VX, 1WX, 2CX, 6BX, ELX, OWX, MHQ, DFR, LPE, SRL"</formula1>
    </dataValidation>
  </dataValidations>
  <pageMargins left="0.7" right="0.7" top="0.75" bottom="0.75" header="0.3" footer="0.3"/>
  <pageSetup scale="3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opLeftCell="A19" zoomScale="90" zoomScaleNormal="90" workbookViewId="0">
      <selection activeCell="G26" sqref="G26"/>
    </sheetView>
  </sheetViews>
  <sheetFormatPr defaultRowHeight="15" x14ac:dyDescent="0.25"/>
  <cols>
    <col min="1" max="1" width="9.140625" style="582"/>
    <col min="2" max="2" width="18.140625" customWidth="1"/>
    <col min="15" max="16" width="9.140625" style="493"/>
  </cols>
  <sheetData>
    <row r="1" spans="1:23" x14ac:dyDescent="0.25">
      <c r="A1" s="576" t="s">
        <v>268</v>
      </c>
      <c r="B1" s="524"/>
      <c r="C1" s="525"/>
      <c r="D1" s="1207" t="s">
        <v>281</v>
      </c>
      <c r="E1" s="1207"/>
      <c r="F1" s="1207"/>
      <c r="G1" s="1207"/>
      <c r="H1" s="1207"/>
      <c r="I1" s="525"/>
      <c r="J1" s="525"/>
      <c r="K1" s="525"/>
      <c r="L1" s="525"/>
      <c r="M1" s="525"/>
      <c r="N1" s="525"/>
      <c r="O1" s="694"/>
      <c r="P1" s="694"/>
      <c r="Q1" s="525"/>
      <c r="R1" s="525"/>
      <c r="S1" s="525"/>
      <c r="T1" s="525"/>
      <c r="U1" s="525"/>
      <c r="V1" s="525"/>
      <c r="W1" s="525"/>
    </row>
    <row r="2" spans="1:23" x14ac:dyDescent="0.25">
      <c r="A2" s="577"/>
      <c r="B2" s="527"/>
      <c r="C2" s="1250" t="s">
        <v>266</v>
      </c>
      <c r="D2" s="1250"/>
      <c r="E2" s="1250" t="s">
        <v>267</v>
      </c>
      <c r="F2" s="1250"/>
      <c r="G2" s="1250" t="s">
        <v>271</v>
      </c>
      <c r="H2" s="1250"/>
      <c r="I2" s="1250" t="s">
        <v>263</v>
      </c>
      <c r="J2" s="1250"/>
      <c r="K2" s="1250" t="s">
        <v>272</v>
      </c>
      <c r="L2" s="1250"/>
      <c r="M2" s="1250" t="s">
        <v>264</v>
      </c>
      <c r="N2" s="1250"/>
      <c r="O2" s="1251" t="s">
        <v>265</v>
      </c>
      <c r="P2" s="1252"/>
      <c r="Q2" s="1251" t="s">
        <v>273</v>
      </c>
      <c r="R2" s="1252"/>
      <c r="S2" s="1251" t="s">
        <v>256</v>
      </c>
      <c r="T2" s="1252"/>
      <c r="U2" s="1251" t="s">
        <v>269</v>
      </c>
      <c r="V2" s="1253"/>
      <c r="W2" s="1254"/>
    </row>
    <row r="3" spans="1:23" x14ac:dyDescent="0.25">
      <c r="A3" s="577"/>
      <c r="B3" s="527"/>
      <c r="C3" s="695">
        <f t="shared" ref="C3:V3" si="0">COUNTIF(C5:C39, "X")</f>
        <v>0</v>
      </c>
      <c r="D3" s="695">
        <f t="shared" si="0"/>
        <v>0</v>
      </c>
      <c r="E3" s="707">
        <f t="shared" si="0"/>
        <v>1</v>
      </c>
      <c r="F3" s="707">
        <f t="shared" si="0"/>
        <v>0</v>
      </c>
      <c r="G3" s="695">
        <f t="shared" si="0"/>
        <v>0</v>
      </c>
      <c r="H3" s="695">
        <f t="shared" si="0"/>
        <v>0</v>
      </c>
      <c r="I3" s="707">
        <f t="shared" si="0"/>
        <v>0</v>
      </c>
      <c r="J3" s="707">
        <f t="shared" si="0"/>
        <v>0</v>
      </c>
      <c r="K3" s="695">
        <f t="shared" si="0"/>
        <v>0</v>
      </c>
      <c r="L3" s="695">
        <f t="shared" si="0"/>
        <v>0</v>
      </c>
      <c r="M3" s="707">
        <f t="shared" si="0"/>
        <v>0</v>
      </c>
      <c r="N3" s="707">
        <f t="shared" si="0"/>
        <v>0</v>
      </c>
      <c r="O3" s="695">
        <f t="shared" si="0"/>
        <v>8</v>
      </c>
      <c r="P3" s="695">
        <f t="shared" si="0"/>
        <v>2</v>
      </c>
      <c r="Q3" s="707">
        <f t="shared" si="0"/>
        <v>0</v>
      </c>
      <c r="R3" s="707">
        <f t="shared" si="0"/>
        <v>0</v>
      </c>
      <c r="S3" s="695">
        <f t="shared" si="0"/>
        <v>0</v>
      </c>
      <c r="T3" s="695">
        <f t="shared" si="0"/>
        <v>0</v>
      </c>
      <c r="U3" s="707">
        <f t="shared" si="0"/>
        <v>0</v>
      </c>
      <c r="V3" s="531">
        <f t="shared" si="0"/>
        <v>0</v>
      </c>
      <c r="W3" s="1254"/>
    </row>
    <row r="4" spans="1:23" ht="32.25" x14ac:dyDescent="0.25">
      <c r="A4" s="578" t="s">
        <v>249</v>
      </c>
      <c r="B4" s="529" t="s">
        <v>250</v>
      </c>
      <c r="C4" s="530" t="s">
        <v>8</v>
      </c>
      <c r="D4" s="530" t="s">
        <v>9</v>
      </c>
      <c r="E4" s="526" t="s">
        <v>8</v>
      </c>
      <c r="F4" s="526" t="s">
        <v>9</v>
      </c>
      <c r="G4" s="530" t="s">
        <v>8</v>
      </c>
      <c r="H4" s="530" t="s">
        <v>9</v>
      </c>
      <c r="I4" s="531" t="s">
        <v>8</v>
      </c>
      <c r="J4" s="531" t="s">
        <v>9</v>
      </c>
      <c r="K4" s="532" t="s">
        <v>8</v>
      </c>
      <c r="L4" s="532" t="s">
        <v>9</v>
      </c>
      <c r="M4" s="531" t="s">
        <v>8</v>
      </c>
      <c r="N4" s="531" t="s">
        <v>9</v>
      </c>
      <c r="O4" s="532" t="s">
        <v>8</v>
      </c>
      <c r="P4" s="532" t="s">
        <v>9</v>
      </c>
      <c r="Q4" s="531" t="s">
        <v>8</v>
      </c>
      <c r="R4" s="531" t="s">
        <v>9</v>
      </c>
      <c r="S4" s="532" t="s">
        <v>8</v>
      </c>
      <c r="T4" s="532" t="s">
        <v>9</v>
      </c>
      <c r="U4" s="531" t="s">
        <v>8</v>
      </c>
      <c r="V4" s="531" t="s">
        <v>9</v>
      </c>
      <c r="W4" s="1254"/>
    </row>
    <row r="5" spans="1:23" x14ac:dyDescent="0.25">
      <c r="A5" s="774">
        <v>43248</v>
      </c>
      <c r="B5" s="729" t="s">
        <v>433</v>
      </c>
      <c r="C5" s="702"/>
      <c r="D5" s="702"/>
      <c r="E5" s="541"/>
      <c r="F5" s="541"/>
      <c r="G5" s="702"/>
      <c r="H5" s="702"/>
      <c r="I5" s="655"/>
      <c r="J5" s="655"/>
      <c r="K5" s="570"/>
      <c r="L5" s="570"/>
      <c r="M5" s="655"/>
      <c r="N5" s="655"/>
      <c r="O5" s="570"/>
      <c r="P5" s="570" t="s">
        <v>305</v>
      </c>
      <c r="Q5" s="655"/>
      <c r="R5" s="655"/>
      <c r="S5" s="570"/>
      <c r="T5" s="570"/>
      <c r="U5" s="655"/>
      <c r="V5" s="655"/>
      <c r="W5" s="777"/>
    </row>
    <row r="6" spans="1:23" x14ac:dyDescent="0.25">
      <c r="A6" s="774">
        <v>43249</v>
      </c>
      <c r="B6" s="729" t="s">
        <v>444</v>
      </c>
      <c r="C6" s="702"/>
      <c r="D6" s="702"/>
      <c r="E6" s="541"/>
      <c r="F6" s="541"/>
      <c r="G6" s="702"/>
      <c r="H6" s="702"/>
      <c r="I6" s="655"/>
      <c r="J6" s="655"/>
      <c r="K6" s="570"/>
      <c r="L6" s="570"/>
      <c r="M6" s="655"/>
      <c r="N6" s="655"/>
      <c r="O6" s="570"/>
      <c r="P6" s="570" t="s">
        <v>305</v>
      </c>
      <c r="Q6" s="655"/>
      <c r="R6" s="655"/>
      <c r="S6" s="570"/>
      <c r="T6" s="570"/>
      <c r="U6" s="655"/>
      <c r="V6" s="655"/>
      <c r="W6" s="777"/>
    </row>
    <row r="7" spans="1:23" x14ac:dyDescent="0.25">
      <c r="A7" s="775">
        <v>43255</v>
      </c>
      <c r="B7" s="729" t="s">
        <v>503</v>
      </c>
      <c r="C7" s="702"/>
      <c r="D7" s="702"/>
      <c r="E7" s="541"/>
      <c r="F7" s="655"/>
      <c r="G7" s="702"/>
      <c r="H7" s="702"/>
      <c r="I7" s="655"/>
      <c r="J7" s="655"/>
      <c r="K7" s="570"/>
      <c r="L7" s="570"/>
      <c r="M7" s="655"/>
      <c r="N7" s="655"/>
      <c r="O7" s="570" t="s">
        <v>305</v>
      </c>
      <c r="P7" s="570"/>
      <c r="Q7" s="655"/>
      <c r="R7" s="655"/>
      <c r="S7" s="570"/>
      <c r="T7" s="570"/>
      <c r="U7" s="655"/>
      <c r="V7" s="655"/>
      <c r="W7" s="777"/>
    </row>
    <row r="8" spans="1:23" x14ac:dyDescent="0.25">
      <c r="A8" s="775">
        <v>43267</v>
      </c>
      <c r="B8" s="729" t="s">
        <v>566</v>
      </c>
      <c r="C8" s="702"/>
      <c r="D8" s="702"/>
      <c r="E8" s="541" t="s">
        <v>305</v>
      </c>
      <c r="F8" s="541"/>
      <c r="G8" s="702"/>
      <c r="H8" s="702"/>
      <c r="I8" s="655"/>
      <c r="J8" s="655"/>
      <c r="K8" s="570"/>
      <c r="L8" s="570"/>
      <c r="M8" s="655"/>
      <c r="N8" s="655"/>
      <c r="O8" s="570"/>
      <c r="P8" s="570"/>
      <c r="Q8" s="655"/>
      <c r="R8" s="655"/>
      <c r="S8" s="570"/>
      <c r="T8" s="570"/>
      <c r="U8" s="655"/>
      <c r="V8" s="655"/>
      <c r="W8" s="777"/>
    </row>
    <row r="9" spans="1:23" x14ac:dyDescent="0.25">
      <c r="A9" s="775">
        <v>43296</v>
      </c>
      <c r="B9" s="729" t="s">
        <v>771</v>
      </c>
      <c r="C9" s="702"/>
      <c r="D9" s="702"/>
      <c r="E9" s="541"/>
      <c r="F9" s="541"/>
      <c r="G9" s="702"/>
      <c r="H9" s="702"/>
      <c r="I9" s="655"/>
      <c r="J9" s="655"/>
      <c r="K9" s="570"/>
      <c r="L9" s="570"/>
      <c r="M9" s="655"/>
      <c r="N9" s="655"/>
      <c r="O9" s="570" t="s">
        <v>305</v>
      </c>
      <c r="P9" s="570"/>
      <c r="Q9" s="655"/>
      <c r="R9" s="655"/>
      <c r="S9" s="570"/>
      <c r="T9" s="570"/>
      <c r="U9" s="655"/>
      <c r="V9" s="655"/>
      <c r="W9" s="777"/>
    </row>
    <row r="10" spans="1:23" x14ac:dyDescent="0.25">
      <c r="A10" s="775">
        <v>43301</v>
      </c>
      <c r="B10" s="729" t="s">
        <v>829</v>
      </c>
      <c r="C10" s="702"/>
      <c r="D10" s="702"/>
      <c r="E10" s="541"/>
      <c r="F10" s="541"/>
      <c r="G10" s="702"/>
      <c r="H10" s="702"/>
      <c r="I10" s="655"/>
      <c r="J10" s="655"/>
      <c r="K10" s="570"/>
      <c r="L10" s="570"/>
      <c r="M10" s="655"/>
      <c r="N10" s="655"/>
      <c r="O10" s="570" t="s">
        <v>305</v>
      </c>
      <c r="P10" s="570"/>
      <c r="Q10" s="655"/>
      <c r="R10" s="655"/>
      <c r="S10" s="570"/>
      <c r="T10" s="570"/>
      <c r="U10" s="655"/>
      <c r="V10" s="655"/>
      <c r="W10" s="777"/>
    </row>
    <row r="11" spans="1:23" x14ac:dyDescent="0.25">
      <c r="A11" s="775">
        <v>43302</v>
      </c>
      <c r="B11" s="655" t="s">
        <v>847</v>
      </c>
      <c r="C11" s="702"/>
      <c r="D11" s="702"/>
      <c r="E11" s="541"/>
      <c r="F11" s="541"/>
      <c r="G11" s="702"/>
      <c r="H11" s="702"/>
      <c r="I11" s="655"/>
      <c r="J11" s="655"/>
      <c r="K11" s="570"/>
      <c r="L11" s="570"/>
      <c r="M11" s="655"/>
      <c r="N11" s="655"/>
      <c r="O11" s="570" t="s">
        <v>305</v>
      </c>
      <c r="P11" s="570"/>
      <c r="Q11" s="655"/>
      <c r="R11" s="655"/>
      <c r="S11" s="570"/>
      <c r="T11" s="570"/>
      <c r="U11" s="655"/>
      <c r="V11" s="655"/>
      <c r="W11" s="777"/>
    </row>
    <row r="12" spans="1:23" x14ac:dyDescent="0.25">
      <c r="A12" s="775">
        <v>43306</v>
      </c>
      <c r="B12" s="655" t="s">
        <v>896</v>
      </c>
      <c r="C12" s="702"/>
      <c r="D12" s="702"/>
      <c r="E12" s="541"/>
      <c r="F12" s="541"/>
      <c r="G12" s="702"/>
      <c r="H12" s="702"/>
      <c r="I12" s="655"/>
      <c r="J12" s="655"/>
      <c r="K12" s="570"/>
      <c r="L12" s="570"/>
      <c r="M12" s="655"/>
      <c r="N12" s="655"/>
      <c r="O12" s="570" t="s">
        <v>305</v>
      </c>
      <c r="P12" s="570"/>
      <c r="Q12" s="655"/>
      <c r="R12" s="655"/>
      <c r="S12" s="570"/>
      <c r="T12" s="570"/>
      <c r="U12" s="655"/>
      <c r="V12" s="655"/>
      <c r="W12" s="777"/>
    </row>
    <row r="13" spans="1:23" x14ac:dyDescent="0.25">
      <c r="A13" s="775">
        <v>43309</v>
      </c>
      <c r="B13" s="655" t="s">
        <v>968</v>
      </c>
      <c r="C13" s="702"/>
      <c r="D13" s="702"/>
      <c r="E13" s="541"/>
      <c r="F13" s="541"/>
      <c r="G13" s="702"/>
      <c r="H13" s="702"/>
      <c r="I13" s="655"/>
      <c r="J13" s="655"/>
      <c r="K13" s="570"/>
      <c r="L13" s="570"/>
      <c r="M13" s="655"/>
      <c r="N13" s="655"/>
      <c r="O13" s="570" t="s">
        <v>305</v>
      </c>
      <c r="P13" s="570"/>
      <c r="Q13" s="655"/>
      <c r="R13" s="655"/>
      <c r="S13" s="570"/>
      <c r="T13" s="570"/>
      <c r="U13" s="655"/>
      <c r="V13" s="655"/>
      <c r="W13" s="777"/>
    </row>
    <row r="14" spans="1:23" x14ac:dyDescent="0.25">
      <c r="A14" s="775">
        <v>43358</v>
      </c>
      <c r="B14" s="655" t="s">
        <v>1298</v>
      </c>
      <c r="C14" s="702"/>
      <c r="D14" s="702"/>
      <c r="E14" s="541"/>
      <c r="F14" s="541"/>
      <c r="G14" s="702"/>
      <c r="H14" s="702"/>
      <c r="I14" s="655"/>
      <c r="J14" s="655"/>
      <c r="K14" s="570"/>
      <c r="L14" s="570"/>
      <c r="M14" s="655"/>
      <c r="N14" s="655"/>
      <c r="O14" s="570" t="s">
        <v>305</v>
      </c>
      <c r="P14" s="570"/>
      <c r="Q14" s="655"/>
      <c r="R14" s="655"/>
      <c r="S14" s="570"/>
      <c r="T14" s="570"/>
      <c r="U14" s="655"/>
      <c r="V14" s="655"/>
      <c r="W14" s="777"/>
    </row>
    <row r="15" spans="1:23" x14ac:dyDescent="0.25">
      <c r="A15" s="775">
        <v>43361</v>
      </c>
      <c r="B15" s="655" t="s">
        <v>1328</v>
      </c>
      <c r="C15" s="702"/>
      <c r="D15" s="702"/>
      <c r="E15" s="541"/>
      <c r="F15" s="541"/>
      <c r="G15" s="702"/>
      <c r="H15" s="702"/>
      <c r="I15" s="655"/>
      <c r="J15" s="655"/>
      <c r="K15" s="570"/>
      <c r="L15" s="570"/>
      <c r="M15" s="655"/>
      <c r="N15" s="655"/>
      <c r="O15" s="570" t="s">
        <v>305</v>
      </c>
      <c r="P15" s="570"/>
      <c r="Q15" s="655"/>
      <c r="R15" s="655"/>
      <c r="S15" s="570"/>
      <c r="T15" s="570"/>
      <c r="U15" s="655"/>
      <c r="V15" s="655"/>
      <c r="W15" s="777"/>
    </row>
    <row r="16" spans="1:23" x14ac:dyDescent="0.25">
      <c r="A16" s="775"/>
      <c r="B16" s="655"/>
      <c r="C16" s="702"/>
      <c r="D16" s="702"/>
      <c r="E16" s="541"/>
      <c r="F16" s="541"/>
      <c r="G16" s="702"/>
      <c r="H16" s="702"/>
      <c r="I16" s="655"/>
      <c r="J16" s="655"/>
      <c r="K16" s="570"/>
      <c r="L16" s="570"/>
      <c r="M16" s="655"/>
      <c r="N16" s="655"/>
      <c r="O16" s="570"/>
      <c r="P16" s="570"/>
      <c r="Q16" s="655"/>
      <c r="R16" s="655"/>
      <c r="S16" s="570"/>
      <c r="T16" s="570"/>
      <c r="U16" s="655"/>
      <c r="V16" s="655"/>
      <c r="W16" s="777"/>
    </row>
    <row r="17" spans="1:23" x14ac:dyDescent="0.25">
      <c r="A17" s="579"/>
      <c r="B17" s="534"/>
      <c r="C17" s="702"/>
      <c r="D17" s="702"/>
      <c r="E17" s="541"/>
      <c r="F17" s="541"/>
      <c r="G17" s="702"/>
      <c r="H17" s="702"/>
      <c r="I17" s="655"/>
      <c r="J17" s="655"/>
      <c r="K17" s="570"/>
      <c r="L17" s="570"/>
      <c r="M17" s="655"/>
      <c r="N17" s="655"/>
      <c r="O17" s="570"/>
      <c r="P17" s="570"/>
      <c r="Q17" s="655"/>
      <c r="R17" s="655"/>
      <c r="S17" s="570"/>
      <c r="T17" s="570"/>
      <c r="U17" s="655"/>
      <c r="V17" s="655"/>
      <c r="W17" s="777"/>
    </row>
    <row r="18" spans="1:23" x14ac:dyDescent="0.25">
      <c r="A18" s="579"/>
      <c r="B18" s="534"/>
      <c r="C18" s="702"/>
      <c r="D18" s="702"/>
      <c r="E18" s="541"/>
      <c r="F18" s="541"/>
      <c r="G18" s="702"/>
      <c r="H18" s="702"/>
      <c r="I18" s="655"/>
      <c r="J18" s="655"/>
      <c r="K18" s="570"/>
      <c r="L18" s="570"/>
      <c r="M18" s="655"/>
      <c r="N18" s="655"/>
      <c r="O18" s="570"/>
      <c r="P18" s="570"/>
      <c r="Q18" s="655"/>
      <c r="R18" s="655"/>
      <c r="S18" s="570"/>
      <c r="T18" s="570"/>
      <c r="U18" s="655"/>
      <c r="V18" s="655"/>
      <c r="W18" s="777"/>
    </row>
    <row r="19" spans="1:23" x14ac:dyDescent="0.25">
      <c r="A19" s="579"/>
      <c r="B19" s="534"/>
      <c r="C19" s="702"/>
      <c r="D19" s="702"/>
      <c r="E19" s="541"/>
      <c r="F19" s="541"/>
      <c r="G19" s="702"/>
      <c r="H19" s="702"/>
      <c r="I19" s="655"/>
      <c r="J19" s="655"/>
      <c r="K19" s="570"/>
      <c r="L19" s="570"/>
      <c r="M19" s="655"/>
      <c r="N19" s="655"/>
      <c r="O19" s="570"/>
      <c r="P19" s="570"/>
      <c r="Q19" s="655"/>
      <c r="R19" s="655"/>
      <c r="S19" s="570"/>
      <c r="T19" s="570"/>
      <c r="U19" s="655"/>
      <c r="V19" s="655"/>
      <c r="W19" s="777"/>
    </row>
    <row r="20" spans="1:23" x14ac:dyDescent="0.25">
      <c r="A20" s="579"/>
      <c r="B20" s="656"/>
      <c r="C20" s="702"/>
      <c r="D20" s="702"/>
      <c r="E20" s="541"/>
      <c r="F20" s="541"/>
      <c r="G20" s="702"/>
      <c r="H20" s="702"/>
      <c r="I20" s="655"/>
      <c r="J20" s="655"/>
      <c r="K20" s="570"/>
      <c r="L20" s="570"/>
      <c r="M20" s="655"/>
      <c r="N20" s="655"/>
      <c r="O20" s="570"/>
      <c r="P20" s="570"/>
      <c r="Q20" s="655"/>
      <c r="R20" s="655"/>
      <c r="S20" s="570"/>
      <c r="T20" s="570"/>
      <c r="U20" s="655"/>
      <c r="V20" s="655"/>
      <c r="W20" s="777"/>
    </row>
    <row r="21" spans="1:23" x14ac:dyDescent="0.25">
      <c r="A21" s="579"/>
      <c r="B21" s="541"/>
      <c r="C21" s="702"/>
      <c r="D21" s="702"/>
      <c r="E21" s="541"/>
      <c r="F21" s="541"/>
      <c r="G21" s="702"/>
      <c r="H21" s="702"/>
      <c r="I21" s="655"/>
      <c r="J21" s="655"/>
      <c r="K21" s="570"/>
      <c r="L21" s="570"/>
      <c r="M21" s="655"/>
      <c r="N21" s="655"/>
      <c r="O21" s="570"/>
      <c r="P21" s="570"/>
      <c r="Q21" s="655"/>
      <c r="R21" s="655"/>
      <c r="S21" s="570"/>
      <c r="T21" s="570"/>
      <c r="U21" s="655"/>
      <c r="V21" s="655"/>
      <c r="W21" s="777"/>
    </row>
    <row r="22" spans="1:23" x14ac:dyDescent="0.25">
      <c r="A22" s="579"/>
      <c r="B22" s="541"/>
      <c r="C22" s="702"/>
      <c r="D22" s="702"/>
      <c r="E22" s="541"/>
      <c r="F22" s="541"/>
      <c r="G22" s="702"/>
      <c r="H22" s="702"/>
      <c r="I22" s="655"/>
      <c r="J22" s="655"/>
      <c r="K22" s="570"/>
      <c r="L22" s="570"/>
      <c r="M22" s="655"/>
      <c r="N22" s="655"/>
      <c r="O22" s="570"/>
      <c r="P22" s="570"/>
      <c r="Q22" s="655"/>
      <c r="R22" s="655"/>
      <c r="S22" s="570"/>
      <c r="T22" s="570"/>
      <c r="U22" s="655"/>
      <c r="V22" s="655"/>
      <c r="W22" s="777"/>
    </row>
    <row r="23" spans="1:23" x14ac:dyDescent="0.25">
      <c r="A23" s="579"/>
      <c r="B23" s="541"/>
      <c r="C23" s="702"/>
      <c r="D23" s="702"/>
      <c r="E23" s="541"/>
      <c r="F23" s="541"/>
      <c r="G23" s="702"/>
      <c r="H23" s="702"/>
      <c r="I23" s="655"/>
      <c r="J23" s="655"/>
      <c r="K23" s="570"/>
      <c r="L23" s="570"/>
      <c r="M23" s="655"/>
      <c r="N23" s="655"/>
      <c r="O23" s="570"/>
      <c r="P23" s="570"/>
      <c r="Q23" s="655"/>
      <c r="R23" s="655"/>
      <c r="S23" s="570"/>
      <c r="T23" s="570"/>
      <c r="U23" s="655"/>
      <c r="V23" s="655"/>
      <c r="W23" s="777"/>
    </row>
    <row r="24" spans="1:23" x14ac:dyDescent="0.25">
      <c r="A24" s="579"/>
      <c r="B24" s="657"/>
      <c r="C24" s="702"/>
      <c r="D24" s="702"/>
      <c r="E24" s="541"/>
      <c r="F24" s="541"/>
      <c r="G24" s="702"/>
      <c r="H24" s="702"/>
      <c r="I24" s="655"/>
      <c r="J24" s="655"/>
      <c r="K24" s="570"/>
      <c r="L24" s="570"/>
      <c r="M24" s="655"/>
      <c r="N24" s="655"/>
      <c r="O24" s="570"/>
      <c r="P24" s="570"/>
      <c r="Q24" s="655"/>
      <c r="R24" s="655"/>
      <c r="S24" s="570"/>
      <c r="T24" s="570"/>
      <c r="U24" s="655"/>
      <c r="V24" s="655"/>
      <c r="W24" s="777"/>
    </row>
    <row r="25" spans="1:23" x14ac:dyDescent="0.25">
      <c r="A25" s="579"/>
      <c r="B25" s="541"/>
      <c r="C25" s="702"/>
      <c r="D25" s="702"/>
      <c r="E25" s="541"/>
      <c r="F25" s="541"/>
      <c r="G25" s="702"/>
      <c r="H25" s="702"/>
      <c r="I25" s="655"/>
      <c r="J25" s="655"/>
      <c r="K25" s="570"/>
      <c r="L25" s="570"/>
      <c r="M25" s="655"/>
      <c r="N25" s="655"/>
      <c r="O25" s="570"/>
      <c r="P25" s="570"/>
      <c r="Q25" s="655"/>
      <c r="R25" s="655"/>
      <c r="S25" s="570"/>
      <c r="T25" s="570"/>
      <c r="U25" s="655"/>
      <c r="V25" s="655"/>
      <c r="W25" s="777"/>
    </row>
    <row r="26" spans="1:23" x14ac:dyDescent="0.25">
      <c r="A26" s="579"/>
      <c r="B26" s="541"/>
      <c r="C26" s="702"/>
      <c r="D26" s="702"/>
      <c r="E26" s="541"/>
      <c r="F26" s="541"/>
      <c r="G26" s="702"/>
      <c r="H26" s="702"/>
      <c r="I26" s="655"/>
      <c r="J26" s="655"/>
      <c r="K26" s="570"/>
      <c r="L26" s="570"/>
      <c r="M26" s="655"/>
      <c r="N26" s="655"/>
      <c r="O26" s="570"/>
      <c r="P26" s="570"/>
      <c r="Q26" s="655"/>
      <c r="R26" s="655"/>
      <c r="S26" s="570"/>
      <c r="T26" s="570"/>
      <c r="U26" s="655"/>
      <c r="V26" s="655"/>
      <c r="W26" s="777"/>
    </row>
    <row r="27" spans="1:23" x14ac:dyDescent="0.25">
      <c r="A27" s="579"/>
      <c r="B27" s="541"/>
      <c r="C27" s="702"/>
      <c r="D27" s="702"/>
      <c r="E27" s="541"/>
      <c r="F27" s="541"/>
      <c r="G27" s="702"/>
      <c r="H27" s="702"/>
      <c r="I27" s="655"/>
      <c r="J27" s="655"/>
      <c r="K27" s="570"/>
      <c r="L27" s="570"/>
      <c r="M27" s="655"/>
      <c r="N27" s="655"/>
      <c r="O27" s="570"/>
      <c r="P27" s="570"/>
      <c r="Q27" s="655"/>
      <c r="R27" s="655"/>
      <c r="S27" s="570"/>
      <c r="T27" s="570"/>
      <c r="U27" s="655"/>
      <c r="V27" s="655"/>
      <c r="W27" s="777"/>
    </row>
    <row r="28" spans="1:23" x14ac:dyDescent="0.25">
      <c r="A28" s="579"/>
      <c r="B28" s="541"/>
      <c r="C28" s="702"/>
      <c r="D28" s="702"/>
      <c r="E28" s="541"/>
      <c r="F28" s="541"/>
      <c r="G28" s="702"/>
      <c r="H28" s="702"/>
      <c r="I28" s="655"/>
      <c r="J28" s="655"/>
      <c r="K28" s="570"/>
      <c r="L28" s="570"/>
      <c r="M28" s="655"/>
      <c r="N28" s="655"/>
      <c r="O28" s="570"/>
      <c r="P28" s="570"/>
      <c r="Q28" s="655"/>
      <c r="R28" s="655"/>
      <c r="S28" s="570"/>
      <c r="T28" s="570"/>
      <c r="U28" s="655"/>
      <c r="V28" s="655"/>
      <c r="W28" s="777"/>
    </row>
    <row r="29" spans="1:23" x14ac:dyDescent="0.25">
      <c r="A29" s="579"/>
      <c r="B29" s="534"/>
      <c r="C29" s="702"/>
      <c r="D29" s="702"/>
      <c r="E29" s="541"/>
      <c r="F29" s="541"/>
      <c r="G29" s="702"/>
      <c r="H29" s="702"/>
      <c r="I29" s="655"/>
      <c r="J29" s="655"/>
      <c r="K29" s="570"/>
      <c r="L29" s="570"/>
      <c r="M29" s="655"/>
      <c r="N29" s="655"/>
      <c r="O29" s="570"/>
      <c r="P29" s="570"/>
      <c r="Q29" s="655"/>
      <c r="R29" s="655"/>
      <c r="S29" s="570"/>
      <c r="T29" s="570"/>
      <c r="U29" s="655"/>
      <c r="V29" s="655"/>
      <c r="W29" s="777"/>
    </row>
    <row r="30" spans="1:23" x14ac:dyDescent="0.25">
      <c r="A30" s="579"/>
      <c r="B30" s="541"/>
      <c r="C30" s="702"/>
      <c r="D30" s="702"/>
      <c r="E30" s="541"/>
      <c r="F30" s="541"/>
      <c r="G30" s="702"/>
      <c r="H30" s="702"/>
      <c r="I30" s="655"/>
      <c r="J30" s="655"/>
      <c r="K30" s="570"/>
      <c r="L30" s="570"/>
      <c r="M30" s="655"/>
      <c r="N30" s="655"/>
      <c r="O30" s="570"/>
      <c r="P30" s="570"/>
      <c r="Q30" s="655"/>
      <c r="R30" s="655"/>
      <c r="S30" s="570"/>
      <c r="T30" s="570"/>
      <c r="U30" s="655"/>
      <c r="V30" s="655"/>
      <c r="W30" s="777"/>
    </row>
    <row r="31" spans="1:23" x14ac:dyDescent="0.25">
      <c r="A31" s="579"/>
      <c r="B31" s="541"/>
      <c r="C31" s="702"/>
      <c r="D31" s="702"/>
      <c r="E31" s="541"/>
      <c r="F31" s="541"/>
      <c r="G31" s="702"/>
      <c r="H31" s="702"/>
      <c r="I31" s="655"/>
      <c r="J31" s="655"/>
      <c r="K31" s="570"/>
      <c r="L31" s="570"/>
      <c r="M31" s="655"/>
      <c r="N31" s="655"/>
      <c r="O31" s="570"/>
      <c r="P31" s="570"/>
      <c r="Q31" s="655"/>
      <c r="R31" s="655"/>
      <c r="S31" s="570"/>
      <c r="T31" s="570"/>
      <c r="U31" s="655"/>
      <c r="V31" s="655"/>
      <c r="W31" s="777"/>
    </row>
    <row r="32" spans="1:23" x14ac:dyDescent="0.25">
      <c r="A32" s="579"/>
      <c r="B32" s="541"/>
      <c r="C32" s="702"/>
      <c r="D32" s="702"/>
      <c r="E32" s="541"/>
      <c r="F32" s="541"/>
      <c r="G32" s="702"/>
      <c r="H32" s="702"/>
      <c r="I32" s="655"/>
      <c r="J32" s="655"/>
      <c r="K32" s="570"/>
      <c r="L32" s="570"/>
      <c r="M32" s="655"/>
      <c r="N32" s="655"/>
      <c r="O32" s="570"/>
      <c r="P32" s="570"/>
      <c r="Q32" s="655"/>
      <c r="R32" s="655"/>
      <c r="S32" s="570"/>
      <c r="T32" s="570"/>
      <c r="U32" s="655"/>
      <c r="V32" s="655"/>
      <c r="W32" s="777"/>
    </row>
    <row r="33" spans="1:24" x14ac:dyDescent="0.25">
      <c r="A33" s="579"/>
      <c r="B33" s="541"/>
      <c r="C33" s="702"/>
      <c r="D33" s="702"/>
      <c r="E33" s="541"/>
      <c r="F33" s="541"/>
      <c r="G33" s="702"/>
      <c r="H33" s="702"/>
      <c r="I33" s="655"/>
      <c r="J33" s="655"/>
      <c r="K33" s="570"/>
      <c r="L33" s="570"/>
      <c r="M33" s="655"/>
      <c r="N33" s="655"/>
      <c r="O33" s="570"/>
      <c r="P33" s="570"/>
      <c r="Q33" s="655"/>
      <c r="R33" s="655"/>
      <c r="S33" s="570"/>
      <c r="T33" s="570"/>
      <c r="U33" s="655"/>
      <c r="V33" s="655"/>
      <c r="W33" s="777"/>
    </row>
    <row r="34" spans="1:24" x14ac:dyDescent="0.25">
      <c r="A34" s="579"/>
      <c r="B34" s="541"/>
      <c r="C34" s="702"/>
      <c r="D34" s="702"/>
      <c r="E34" s="541"/>
      <c r="F34" s="541"/>
      <c r="G34" s="702"/>
      <c r="H34" s="702"/>
      <c r="I34" s="655"/>
      <c r="J34" s="655"/>
      <c r="K34" s="570"/>
      <c r="L34" s="570"/>
      <c r="M34" s="655"/>
      <c r="N34" s="655"/>
      <c r="O34" s="570"/>
      <c r="P34" s="570"/>
      <c r="Q34" s="655"/>
      <c r="R34" s="655"/>
      <c r="S34" s="570"/>
      <c r="T34" s="570"/>
      <c r="U34" s="655"/>
      <c r="V34" s="655"/>
      <c r="W34" s="777"/>
    </row>
    <row r="35" spans="1:24" x14ac:dyDescent="0.25">
      <c r="A35" s="579"/>
      <c r="B35" s="541"/>
      <c r="C35" s="702"/>
      <c r="D35" s="702"/>
      <c r="E35" s="541"/>
      <c r="F35" s="541"/>
      <c r="G35" s="702"/>
      <c r="H35" s="702"/>
      <c r="I35" s="655"/>
      <c r="J35" s="655"/>
      <c r="K35" s="570"/>
      <c r="L35" s="570"/>
      <c r="M35" s="655"/>
      <c r="N35" s="655"/>
      <c r="O35" s="570"/>
      <c r="P35" s="570"/>
      <c r="Q35" s="655"/>
      <c r="R35" s="655"/>
      <c r="S35" s="570"/>
      <c r="T35" s="570"/>
      <c r="U35" s="655"/>
      <c r="V35" s="655"/>
      <c r="W35" s="777"/>
    </row>
    <row r="36" spans="1:24" x14ac:dyDescent="0.25">
      <c r="A36" s="579"/>
      <c r="B36" s="541"/>
      <c r="C36" s="702"/>
      <c r="D36" s="702"/>
      <c r="E36" s="541"/>
      <c r="F36" s="541"/>
      <c r="G36" s="702"/>
      <c r="H36" s="702"/>
      <c r="I36" s="655"/>
      <c r="J36" s="655"/>
      <c r="K36" s="570"/>
      <c r="L36" s="570"/>
      <c r="M36" s="655"/>
      <c r="N36" s="655"/>
      <c r="O36" s="570"/>
      <c r="P36" s="570"/>
      <c r="Q36" s="655"/>
      <c r="R36" s="655"/>
      <c r="S36" s="570"/>
      <c r="T36" s="570"/>
      <c r="U36" s="655"/>
      <c r="V36" s="655"/>
      <c r="W36" s="777"/>
    </row>
    <row r="37" spans="1:24" x14ac:dyDescent="0.25">
      <c r="A37" s="579"/>
      <c r="B37" s="541"/>
      <c r="C37" s="702"/>
      <c r="D37" s="702"/>
      <c r="E37" s="541"/>
      <c r="F37" s="541"/>
      <c r="G37" s="702"/>
      <c r="H37" s="702"/>
      <c r="I37" s="655"/>
      <c r="J37" s="655"/>
      <c r="K37" s="570"/>
      <c r="L37" s="570"/>
      <c r="M37" s="655"/>
      <c r="N37" s="655"/>
      <c r="O37" s="570"/>
      <c r="P37" s="570"/>
      <c r="Q37" s="655"/>
      <c r="R37" s="655"/>
      <c r="S37" s="570"/>
      <c r="T37" s="570"/>
      <c r="U37" s="655"/>
      <c r="V37" s="655"/>
      <c r="W37" s="777"/>
    </row>
    <row r="38" spans="1:24" x14ac:dyDescent="0.25">
      <c r="A38" s="579"/>
      <c r="B38" s="541"/>
      <c r="C38" s="702"/>
      <c r="D38" s="702"/>
      <c r="E38" s="541"/>
      <c r="F38" s="541"/>
      <c r="G38" s="702"/>
      <c r="H38" s="702"/>
      <c r="I38" s="655"/>
      <c r="J38" s="655"/>
      <c r="K38" s="570"/>
      <c r="L38" s="570"/>
      <c r="M38" s="655"/>
      <c r="N38" s="655"/>
      <c r="O38" s="570"/>
      <c r="P38" s="570"/>
      <c r="Q38" s="655"/>
      <c r="R38" s="655"/>
      <c r="S38" s="570"/>
      <c r="T38" s="570"/>
      <c r="U38" s="655"/>
      <c r="V38" s="655"/>
      <c r="W38" s="778"/>
    </row>
    <row r="40" spans="1:24" x14ac:dyDescent="0.25">
      <c r="A40" s="580" t="s">
        <v>275</v>
      </c>
      <c r="B40" s="545"/>
      <c r="C40" s="546"/>
      <c r="D40" s="547"/>
      <c r="E40" s="1207" t="s">
        <v>282</v>
      </c>
      <c r="F40" s="1207"/>
      <c r="G40" s="1207"/>
      <c r="H40" s="1207"/>
      <c r="I40" s="547"/>
      <c r="J40" s="547"/>
      <c r="K40" s="547"/>
      <c r="L40" s="547"/>
      <c r="M40" s="547"/>
      <c r="N40" s="547"/>
      <c r="O40" s="546"/>
      <c r="P40" s="546"/>
      <c r="Q40" s="547"/>
      <c r="R40" s="547"/>
      <c r="S40" s="547"/>
      <c r="T40" s="547"/>
      <c r="U40" s="547"/>
      <c r="V40" s="547"/>
      <c r="W40" s="547"/>
      <c r="X40" s="547"/>
    </row>
    <row r="41" spans="1:24" x14ac:dyDescent="0.25">
      <c r="A41" s="581"/>
      <c r="B41" s="549"/>
      <c r="C41" s="548"/>
      <c r="D41" s="1250" t="s">
        <v>266</v>
      </c>
      <c r="E41" s="1250"/>
      <c r="F41" s="1250" t="s">
        <v>267</v>
      </c>
      <c r="G41" s="1250"/>
      <c r="H41" s="1250" t="s">
        <v>271</v>
      </c>
      <c r="I41" s="1250"/>
      <c r="J41" s="1250" t="s">
        <v>263</v>
      </c>
      <c r="K41" s="1250"/>
      <c r="L41" s="1250" t="s">
        <v>272</v>
      </c>
      <c r="M41" s="1250"/>
      <c r="N41" s="1250" t="s">
        <v>264</v>
      </c>
      <c r="O41" s="1250"/>
      <c r="P41" s="1251" t="s">
        <v>265</v>
      </c>
      <c r="Q41" s="1252"/>
      <c r="R41" s="1251" t="s">
        <v>273</v>
      </c>
      <c r="S41" s="1252"/>
      <c r="T41" s="1251" t="s">
        <v>256</v>
      </c>
      <c r="U41" s="1252"/>
      <c r="V41" s="1251" t="s">
        <v>269</v>
      </c>
      <c r="W41" s="1252"/>
      <c r="X41" s="1249" t="s">
        <v>270</v>
      </c>
    </row>
    <row r="42" spans="1:24" x14ac:dyDescent="0.25">
      <c r="A42" s="577" t="s">
        <v>276</v>
      </c>
      <c r="B42" s="527"/>
      <c r="C42" s="526"/>
      <c r="D42" s="703">
        <f t="shared" ref="D42:W42" si="1">SUM(D44:D114)</f>
        <v>0</v>
      </c>
      <c r="E42" s="704">
        <f t="shared" si="1"/>
        <v>0</v>
      </c>
      <c r="F42" s="705">
        <f t="shared" si="1"/>
        <v>12.36</v>
      </c>
      <c r="G42" s="706">
        <f t="shared" si="1"/>
        <v>0</v>
      </c>
      <c r="H42" s="530">
        <f t="shared" si="1"/>
        <v>0</v>
      </c>
      <c r="I42" s="530">
        <f t="shared" si="1"/>
        <v>0</v>
      </c>
      <c r="J42" s="707">
        <f t="shared" si="1"/>
        <v>0</v>
      </c>
      <c r="K42" s="696">
        <f t="shared" si="1"/>
        <v>0</v>
      </c>
      <c r="L42" s="708">
        <f t="shared" si="1"/>
        <v>0</v>
      </c>
      <c r="M42" s="709">
        <f t="shared" si="1"/>
        <v>0</v>
      </c>
      <c r="N42" s="707">
        <f t="shared" si="1"/>
        <v>0</v>
      </c>
      <c r="O42" s="696">
        <f t="shared" si="1"/>
        <v>0</v>
      </c>
      <c r="P42" s="532">
        <f t="shared" si="1"/>
        <v>3418.63</v>
      </c>
      <c r="Q42" s="532">
        <f t="shared" si="1"/>
        <v>1.8699999999999999</v>
      </c>
      <c r="R42" s="707">
        <f t="shared" si="1"/>
        <v>0</v>
      </c>
      <c r="S42" s="696">
        <f t="shared" si="1"/>
        <v>0</v>
      </c>
      <c r="T42" s="708">
        <f t="shared" si="1"/>
        <v>0</v>
      </c>
      <c r="U42" s="709">
        <f t="shared" si="1"/>
        <v>0</v>
      </c>
      <c r="V42" s="696">
        <f t="shared" si="1"/>
        <v>0</v>
      </c>
      <c r="W42" s="696">
        <f t="shared" si="1"/>
        <v>0</v>
      </c>
      <c r="X42" s="1205"/>
    </row>
    <row r="43" spans="1:24" ht="38.25" x14ac:dyDescent="0.25">
      <c r="A43" s="578" t="s">
        <v>249</v>
      </c>
      <c r="B43" s="529" t="s">
        <v>250</v>
      </c>
      <c r="C43" s="529" t="s">
        <v>278</v>
      </c>
      <c r="D43" s="530" t="s">
        <v>8</v>
      </c>
      <c r="E43" s="530" t="s">
        <v>9</v>
      </c>
      <c r="F43" s="526" t="s">
        <v>8</v>
      </c>
      <c r="G43" s="526" t="s">
        <v>9</v>
      </c>
      <c r="H43" s="530" t="s">
        <v>8</v>
      </c>
      <c r="I43" s="530" t="s">
        <v>9</v>
      </c>
      <c r="J43" s="531" t="s">
        <v>8</v>
      </c>
      <c r="K43" s="531" t="s">
        <v>9</v>
      </c>
      <c r="L43" s="532" t="s">
        <v>8</v>
      </c>
      <c r="M43" s="532" t="s">
        <v>9</v>
      </c>
      <c r="N43" s="531" t="s">
        <v>8</v>
      </c>
      <c r="O43" s="531" t="s">
        <v>9</v>
      </c>
      <c r="P43" s="532" t="s">
        <v>8</v>
      </c>
      <c r="Q43" s="532" t="s">
        <v>9</v>
      </c>
      <c r="R43" s="531" t="s">
        <v>8</v>
      </c>
      <c r="S43" s="531" t="s">
        <v>9</v>
      </c>
      <c r="T43" s="532" t="s">
        <v>8</v>
      </c>
      <c r="U43" s="532" t="s">
        <v>9</v>
      </c>
      <c r="V43" s="531" t="s">
        <v>8</v>
      </c>
      <c r="W43" s="531" t="s">
        <v>9</v>
      </c>
      <c r="X43" s="1206"/>
    </row>
    <row r="44" spans="1:24" x14ac:dyDescent="0.25">
      <c r="A44" s="774">
        <v>43248</v>
      </c>
      <c r="B44" s="729" t="s">
        <v>433</v>
      </c>
      <c r="C44" s="776" t="s">
        <v>265</v>
      </c>
      <c r="D44" s="710"/>
      <c r="E44" s="710"/>
      <c r="F44" s="711"/>
      <c r="G44" s="711"/>
      <c r="H44" s="710"/>
      <c r="I44" s="710"/>
      <c r="J44" s="697"/>
      <c r="K44" s="697"/>
      <c r="L44" s="700"/>
      <c r="M44" s="700"/>
      <c r="N44" s="697"/>
      <c r="O44" s="697"/>
      <c r="P44" s="700"/>
      <c r="Q44" s="700">
        <v>0.18</v>
      </c>
      <c r="R44" s="697"/>
      <c r="S44" s="697"/>
      <c r="T44" s="700"/>
      <c r="U44" s="700"/>
      <c r="V44" s="712"/>
      <c r="W44" s="697"/>
      <c r="X44" s="715">
        <f t="shared" ref="X44:X73" si="2">SUM(D44:W44)</f>
        <v>0.18</v>
      </c>
    </row>
    <row r="45" spans="1:24" x14ac:dyDescent="0.25">
      <c r="A45" s="774">
        <v>43249</v>
      </c>
      <c r="B45" s="729" t="s">
        <v>504</v>
      </c>
      <c r="C45" s="776" t="s">
        <v>265</v>
      </c>
      <c r="D45" s="710"/>
      <c r="E45" s="710"/>
      <c r="F45" s="711"/>
      <c r="G45" s="711"/>
      <c r="H45" s="710"/>
      <c r="I45" s="710"/>
      <c r="J45" s="697"/>
      <c r="K45" s="697"/>
      <c r="L45" s="700"/>
      <c r="M45" s="700"/>
      <c r="N45" s="697"/>
      <c r="O45" s="697"/>
      <c r="P45" s="700"/>
      <c r="Q45" s="700">
        <v>1.69</v>
      </c>
      <c r="R45" s="697"/>
      <c r="S45" s="697"/>
      <c r="T45" s="700"/>
      <c r="U45" s="700"/>
      <c r="V45" s="712"/>
      <c r="W45" s="712"/>
      <c r="X45" s="715">
        <f t="shared" si="2"/>
        <v>1.69</v>
      </c>
    </row>
    <row r="46" spans="1:24" x14ac:dyDescent="0.25">
      <c r="A46" s="775">
        <v>43255</v>
      </c>
      <c r="B46" s="729" t="s">
        <v>503</v>
      </c>
      <c r="C46" s="655" t="s">
        <v>265</v>
      </c>
      <c r="D46" s="710"/>
      <c r="E46" s="710"/>
      <c r="F46" s="711"/>
      <c r="G46" s="711"/>
      <c r="H46" s="710"/>
      <c r="I46" s="710"/>
      <c r="J46" s="697"/>
      <c r="K46" s="697"/>
      <c r="L46" s="700"/>
      <c r="M46" s="700"/>
      <c r="N46" s="697"/>
      <c r="O46" s="697"/>
      <c r="P46" s="700">
        <v>0.1</v>
      </c>
      <c r="Q46" s="700"/>
      <c r="R46" s="712"/>
      <c r="S46" s="697"/>
      <c r="T46" s="700"/>
      <c r="U46" s="700"/>
      <c r="V46" s="712"/>
      <c r="W46" s="697"/>
      <c r="X46" s="715">
        <f t="shared" si="2"/>
        <v>0.1</v>
      </c>
    </row>
    <row r="47" spans="1:24" x14ac:dyDescent="0.25">
      <c r="A47" s="775">
        <v>43267</v>
      </c>
      <c r="B47" s="729" t="s">
        <v>566</v>
      </c>
      <c r="C47" s="655" t="s">
        <v>267</v>
      </c>
      <c r="D47" s="710"/>
      <c r="E47" s="710"/>
      <c r="F47" s="711">
        <v>12.36</v>
      </c>
      <c r="G47" s="711"/>
      <c r="H47" s="710"/>
      <c r="I47" s="710"/>
      <c r="J47" s="697"/>
      <c r="K47" s="697"/>
      <c r="L47" s="700"/>
      <c r="M47" s="700"/>
      <c r="N47" s="697"/>
      <c r="O47" s="697"/>
      <c r="P47" s="700"/>
      <c r="Q47" s="700"/>
      <c r="R47" s="697"/>
      <c r="S47" s="697"/>
      <c r="T47" s="700"/>
      <c r="U47" s="700"/>
      <c r="V47" s="712"/>
      <c r="W47" s="697"/>
      <c r="X47" s="715">
        <f t="shared" si="2"/>
        <v>12.36</v>
      </c>
    </row>
    <row r="48" spans="1:24" x14ac:dyDescent="0.25">
      <c r="A48" s="775">
        <v>43296</v>
      </c>
      <c r="B48" s="729" t="s">
        <v>771</v>
      </c>
      <c r="C48" s="655" t="s">
        <v>265</v>
      </c>
      <c r="D48" s="710"/>
      <c r="E48" s="710"/>
      <c r="F48" s="711"/>
      <c r="G48" s="711"/>
      <c r="H48" s="710"/>
      <c r="I48" s="710"/>
      <c r="J48" s="697"/>
      <c r="K48" s="697"/>
      <c r="L48" s="700"/>
      <c r="M48" s="700"/>
      <c r="N48" s="697"/>
      <c r="O48" s="697"/>
      <c r="P48" s="700">
        <v>126</v>
      </c>
      <c r="Q48" s="700"/>
      <c r="R48" s="697"/>
      <c r="S48" s="697"/>
      <c r="T48" s="700"/>
      <c r="U48" s="700"/>
      <c r="V48" s="712"/>
      <c r="W48" s="697"/>
      <c r="X48" s="715">
        <f t="shared" si="2"/>
        <v>126</v>
      </c>
    </row>
    <row r="49" spans="1:24" x14ac:dyDescent="0.25">
      <c r="A49" s="775">
        <v>43301</v>
      </c>
      <c r="B49" s="729" t="s">
        <v>829</v>
      </c>
      <c r="C49" s="655" t="s">
        <v>265</v>
      </c>
      <c r="D49" s="710"/>
      <c r="E49" s="710"/>
      <c r="F49" s="711"/>
      <c r="G49" s="711"/>
      <c r="H49" s="710"/>
      <c r="I49" s="710"/>
      <c r="J49" s="697"/>
      <c r="K49" s="697"/>
      <c r="L49" s="700"/>
      <c r="M49" s="700"/>
      <c r="N49" s="697"/>
      <c r="O49" s="697"/>
      <c r="P49" s="700">
        <v>0.1</v>
      </c>
      <c r="Q49" s="700"/>
      <c r="R49" s="697"/>
      <c r="S49" s="697"/>
      <c r="T49" s="700"/>
      <c r="U49" s="700"/>
      <c r="V49" s="712"/>
      <c r="W49" s="697"/>
      <c r="X49" s="715">
        <f t="shared" si="2"/>
        <v>0.1</v>
      </c>
    </row>
    <row r="50" spans="1:24" x14ac:dyDescent="0.25">
      <c r="A50" s="775">
        <v>43302</v>
      </c>
      <c r="B50" s="655" t="s">
        <v>846</v>
      </c>
      <c r="C50" s="655" t="s">
        <v>265</v>
      </c>
      <c r="D50" s="713"/>
      <c r="E50" s="713"/>
      <c r="F50" s="714"/>
      <c r="G50" s="714"/>
      <c r="H50" s="713"/>
      <c r="I50" s="713"/>
      <c r="J50" s="698"/>
      <c r="K50" s="698"/>
      <c r="L50" s="645"/>
      <c r="M50" s="645"/>
      <c r="N50" s="698"/>
      <c r="O50" s="698"/>
      <c r="P50" s="645">
        <v>2.7</v>
      </c>
      <c r="Q50" s="645"/>
      <c r="R50" s="698"/>
      <c r="S50" s="698"/>
      <c r="T50" s="645"/>
      <c r="U50" s="645"/>
      <c r="V50" s="698"/>
      <c r="W50" s="698"/>
      <c r="X50" s="715">
        <f t="shared" si="2"/>
        <v>2.7</v>
      </c>
    </row>
    <row r="51" spans="1:24" x14ac:dyDescent="0.25">
      <c r="A51" s="775">
        <v>43306</v>
      </c>
      <c r="B51" s="655" t="s">
        <v>896</v>
      </c>
      <c r="C51" s="655" t="s">
        <v>265</v>
      </c>
      <c r="D51" s="713"/>
      <c r="E51" s="713"/>
      <c r="F51" s="714"/>
      <c r="G51" s="714"/>
      <c r="H51" s="713"/>
      <c r="I51" s="713"/>
      <c r="J51" s="698"/>
      <c r="K51" s="698"/>
      <c r="L51" s="645"/>
      <c r="M51" s="645"/>
      <c r="N51" s="698"/>
      <c r="O51" s="698"/>
      <c r="P51" s="645">
        <v>3282</v>
      </c>
      <c r="Q51" s="645"/>
      <c r="R51" s="698"/>
      <c r="S51" s="698"/>
      <c r="T51" s="645"/>
      <c r="U51" s="645"/>
      <c r="V51" s="698"/>
      <c r="W51" s="698"/>
      <c r="X51" s="715">
        <f t="shared" si="2"/>
        <v>3282</v>
      </c>
    </row>
    <row r="52" spans="1:24" x14ac:dyDescent="0.25">
      <c r="A52" s="775">
        <v>43309</v>
      </c>
      <c r="B52" s="655" t="s">
        <v>968</v>
      </c>
      <c r="C52" s="655" t="s">
        <v>265</v>
      </c>
      <c r="D52" s="713"/>
      <c r="E52" s="713"/>
      <c r="F52" s="714"/>
      <c r="G52" s="714"/>
      <c r="H52" s="713"/>
      <c r="I52" s="713"/>
      <c r="J52" s="698"/>
      <c r="K52" s="698"/>
      <c r="L52" s="645"/>
      <c r="M52" s="645"/>
      <c r="N52" s="698"/>
      <c r="O52" s="698"/>
      <c r="P52" s="645">
        <v>0.1</v>
      </c>
      <c r="Q52" s="645"/>
      <c r="R52" s="698"/>
      <c r="S52" s="698"/>
      <c r="T52" s="645"/>
      <c r="U52" s="645"/>
      <c r="V52" s="698"/>
      <c r="W52" s="698"/>
      <c r="X52" s="715">
        <f t="shared" si="2"/>
        <v>0.1</v>
      </c>
    </row>
    <row r="53" spans="1:24" x14ac:dyDescent="0.25">
      <c r="A53" s="775">
        <v>43358</v>
      </c>
      <c r="B53" s="655" t="s">
        <v>1298</v>
      </c>
      <c r="C53" s="655" t="s">
        <v>265</v>
      </c>
      <c r="D53" s="713"/>
      <c r="E53" s="713"/>
      <c r="F53" s="714"/>
      <c r="G53" s="714"/>
      <c r="H53" s="713"/>
      <c r="I53" s="713"/>
      <c r="J53" s="698"/>
      <c r="K53" s="698"/>
      <c r="L53" s="645"/>
      <c r="M53" s="645"/>
      <c r="N53" s="698"/>
      <c r="O53" s="698"/>
      <c r="P53" s="645">
        <v>0.13</v>
      </c>
      <c r="Q53" s="645"/>
      <c r="R53" s="698"/>
      <c r="S53" s="698"/>
      <c r="T53" s="645"/>
      <c r="U53" s="645"/>
      <c r="V53" s="698"/>
      <c r="W53" s="698"/>
      <c r="X53" s="715">
        <f t="shared" si="2"/>
        <v>0.13</v>
      </c>
    </row>
    <row r="54" spans="1:24" x14ac:dyDescent="0.25">
      <c r="A54" s="775">
        <v>43361</v>
      </c>
      <c r="B54" s="776" t="s">
        <v>1328</v>
      </c>
      <c r="C54" s="655" t="s">
        <v>265</v>
      </c>
      <c r="D54" s="713"/>
      <c r="E54" s="713"/>
      <c r="F54" s="714"/>
      <c r="G54" s="714"/>
      <c r="H54" s="713"/>
      <c r="I54" s="700"/>
      <c r="J54" s="698"/>
      <c r="K54" s="698"/>
      <c r="L54" s="645"/>
      <c r="M54" s="645"/>
      <c r="N54" s="698"/>
      <c r="O54" s="698"/>
      <c r="P54" s="645">
        <v>7.5</v>
      </c>
      <c r="Q54" s="645"/>
      <c r="R54" s="698"/>
      <c r="S54" s="698"/>
      <c r="T54" s="645"/>
      <c r="U54" s="645"/>
      <c r="V54" s="698"/>
      <c r="W54" s="698"/>
      <c r="X54" s="715">
        <f t="shared" si="2"/>
        <v>7.5</v>
      </c>
    </row>
    <row r="55" spans="1:24" x14ac:dyDescent="0.25">
      <c r="A55" s="775"/>
      <c r="B55" s="776"/>
      <c r="C55" s="655"/>
      <c r="D55" s="713"/>
      <c r="E55" s="713"/>
      <c r="F55" s="714"/>
      <c r="G55" s="714"/>
      <c r="H55" s="713"/>
      <c r="I55" s="713"/>
      <c r="J55" s="698"/>
      <c r="K55" s="698"/>
      <c r="L55" s="645"/>
      <c r="M55" s="645"/>
      <c r="N55" s="698"/>
      <c r="O55" s="698"/>
      <c r="P55" s="645"/>
      <c r="Q55" s="645"/>
      <c r="R55" s="698"/>
      <c r="S55" s="698"/>
      <c r="T55" s="645"/>
      <c r="U55" s="645"/>
      <c r="V55" s="698"/>
      <c r="W55" s="698"/>
      <c r="X55" s="715">
        <f t="shared" si="2"/>
        <v>0</v>
      </c>
    </row>
    <row r="56" spans="1:24" x14ac:dyDescent="0.25">
      <c r="A56" s="579"/>
      <c r="B56" s="656"/>
      <c r="C56" s="541"/>
      <c r="D56" s="710"/>
      <c r="E56" s="710"/>
      <c r="F56" s="711"/>
      <c r="G56" s="711"/>
      <c r="H56" s="710"/>
      <c r="I56" s="710"/>
      <c r="J56" s="697"/>
      <c r="K56" s="697"/>
      <c r="L56" s="700"/>
      <c r="M56" s="700"/>
      <c r="N56" s="699"/>
      <c r="O56" s="697"/>
      <c r="P56" s="700"/>
      <c r="Q56" s="700"/>
      <c r="R56" s="712"/>
      <c r="S56" s="697"/>
      <c r="T56" s="700"/>
      <c r="U56" s="700"/>
      <c r="V56" s="697"/>
      <c r="W56" s="697"/>
      <c r="X56" s="715">
        <f t="shared" si="2"/>
        <v>0</v>
      </c>
    </row>
    <row r="57" spans="1:24" x14ac:dyDescent="0.25">
      <c r="A57" s="579"/>
      <c r="B57" s="534"/>
      <c r="C57" s="541"/>
      <c r="D57" s="710"/>
      <c r="E57" s="710"/>
      <c r="F57" s="711"/>
      <c r="G57" s="711"/>
      <c r="H57" s="710"/>
      <c r="I57" s="710"/>
      <c r="J57" s="697"/>
      <c r="K57" s="697"/>
      <c r="L57" s="700"/>
      <c r="M57" s="701"/>
      <c r="N57" s="697"/>
      <c r="O57" s="697"/>
      <c r="P57" s="700"/>
      <c r="Q57" s="700"/>
      <c r="R57" s="699"/>
      <c r="S57" s="697"/>
      <c r="T57" s="700"/>
      <c r="U57" s="700"/>
      <c r="V57" s="697"/>
      <c r="W57" s="697"/>
      <c r="X57" s="715">
        <f t="shared" si="2"/>
        <v>0</v>
      </c>
    </row>
    <row r="58" spans="1:24" x14ac:dyDescent="0.25">
      <c r="A58" s="579" t="s">
        <v>6</v>
      </c>
      <c r="B58" s="534"/>
      <c r="C58" s="541"/>
      <c r="D58" s="710"/>
      <c r="E58" s="710"/>
      <c r="F58" s="711"/>
      <c r="G58" s="711"/>
      <c r="H58" s="710"/>
      <c r="I58" s="710"/>
      <c r="J58" s="697"/>
      <c r="K58" s="697"/>
      <c r="L58" s="700"/>
      <c r="M58" s="700"/>
      <c r="N58" s="697"/>
      <c r="O58" s="697"/>
      <c r="P58" s="700"/>
      <c r="Q58" s="700"/>
      <c r="R58" s="697"/>
      <c r="S58" s="697"/>
      <c r="T58" s="700"/>
      <c r="U58" s="700"/>
      <c r="V58" s="697"/>
      <c r="W58" s="697"/>
      <c r="X58" s="715">
        <f t="shared" si="2"/>
        <v>0</v>
      </c>
    </row>
    <row r="59" spans="1:24" x14ac:dyDescent="0.25">
      <c r="A59" s="579" t="s">
        <v>6</v>
      </c>
      <c r="B59" s="534"/>
      <c r="C59" s="541"/>
      <c r="D59" s="710"/>
      <c r="E59" s="710"/>
      <c r="F59" s="711"/>
      <c r="G59" s="711"/>
      <c r="H59" s="710"/>
      <c r="I59" s="710"/>
      <c r="J59" s="697"/>
      <c r="K59" s="697"/>
      <c r="L59" s="700"/>
      <c r="M59" s="700"/>
      <c r="N59" s="697"/>
      <c r="O59" s="697"/>
      <c r="P59" s="700"/>
      <c r="Q59" s="700"/>
      <c r="R59" s="697"/>
      <c r="S59" s="697"/>
      <c r="T59" s="700"/>
      <c r="U59" s="700"/>
      <c r="V59" s="697"/>
      <c r="W59" s="697"/>
      <c r="X59" s="715">
        <f t="shared" si="2"/>
        <v>0</v>
      </c>
    </row>
    <row r="60" spans="1:24" x14ac:dyDescent="0.25">
      <c r="A60" s="579" t="s">
        <v>6</v>
      </c>
      <c r="B60" s="534"/>
      <c r="C60" s="541"/>
      <c r="D60" s="710"/>
      <c r="E60" s="710"/>
      <c r="F60" s="711"/>
      <c r="G60" s="711"/>
      <c r="H60" s="710"/>
      <c r="I60" s="710"/>
      <c r="J60" s="697"/>
      <c r="K60" s="697"/>
      <c r="L60" s="700"/>
      <c r="M60" s="700"/>
      <c r="N60" s="697"/>
      <c r="O60" s="697"/>
      <c r="P60" s="700"/>
      <c r="Q60" s="700"/>
      <c r="R60" s="697"/>
      <c r="S60" s="697"/>
      <c r="T60" s="700"/>
      <c r="U60" s="700"/>
      <c r="V60" s="697"/>
      <c r="W60" s="697"/>
      <c r="X60" s="715">
        <f t="shared" si="2"/>
        <v>0</v>
      </c>
    </row>
    <row r="61" spans="1:24" x14ac:dyDescent="0.25">
      <c r="A61" s="579" t="s">
        <v>6</v>
      </c>
      <c r="B61" s="534"/>
      <c r="C61" s="541"/>
      <c r="D61" s="710"/>
      <c r="E61" s="710"/>
      <c r="F61" s="711"/>
      <c r="G61" s="711"/>
      <c r="H61" s="710"/>
      <c r="I61" s="710"/>
      <c r="J61" s="697"/>
      <c r="K61" s="697"/>
      <c r="L61" s="700"/>
      <c r="M61" s="700"/>
      <c r="N61" s="697"/>
      <c r="O61" s="697"/>
      <c r="P61" s="700"/>
      <c r="Q61" s="700"/>
      <c r="R61" s="697"/>
      <c r="S61" s="699"/>
      <c r="T61" s="700"/>
      <c r="U61" s="700"/>
      <c r="V61" s="697"/>
      <c r="W61" s="697"/>
      <c r="X61" s="715">
        <f t="shared" si="2"/>
        <v>0</v>
      </c>
    </row>
    <row r="62" spans="1:24" x14ac:dyDescent="0.25">
      <c r="A62" s="579" t="s">
        <v>6</v>
      </c>
      <c r="B62" s="543"/>
      <c r="C62" s="541"/>
      <c r="D62" s="710"/>
      <c r="E62" s="710"/>
      <c r="F62" s="711"/>
      <c r="G62" s="711"/>
      <c r="H62" s="710"/>
      <c r="I62" s="710"/>
      <c r="J62" s="697"/>
      <c r="K62" s="697"/>
      <c r="L62" s="700"/>
      <c r="M62" s="700"/>
      <c r="N62" s="697"/>
      <c r="O62" s="697"/>
      <c r="P62" s="700"/>
      <c r="Q62" s="700"/>
      <c r="R62" s="697"/>
      <c r="S62" s="699"/>
      <c r="T62" s="700"/>
      <c r="U62" s="700"/>
      <c r="V62" s="697"/>
      <c r="W62" s="697"/>
      <c r="X62" s="715">
        <f t="shared" si="2"/>
        <v>0</v>
      </c>
    </row>
    <row r="63" spans="1:24" x14ac:dyDescent="0.25">
      <c r="A63" s="579" t="s">
        <v>6</v>
      </c>
      <c r="B63" s="544"/>
      <c r="C63" s="541"/>
      <c r="D63" s="710"/>
      <c r="E63" s="710"/>
      <c r="F63" s="711"/>
      <c r="G63" s="711"/>
      <c r="H63" s="710"/>
      <c r="I63" s="716"/>
      <c r="J63" s="697"/>
      <c r="K63" s="697"/>
      <c r="L63" s="700"/>
      <c r="M63" s="700"/>
      <c r="N63" s="697"/>
      <c r="O63" s="697"/>
      <c r="P63" s="700"/>
      <c r="Q63" s="700"/>
      <c r="R63" s="697"/>
      <c r="S63" s="699"/>
      <c r="T63" s="700"/>
      <c r="U63" s="700"/>
      <c r="V63" s="697"/>
      <c r="W63" s="697"/>
      <c r="X63" s="715">
        <f t="shared" si="2"/>
        <v>0</v>
      </c>
    </row>
    <row r="64" spans="1:24" x14ac:dyDescent="0.25">
      <c r="A64" s="579" t="s">
        <v>6</v>
      </c>
      <c r="B64" s="543"/>
      <c r="C64" s="541"/>
      <c r="D64" s="710"/>
      <c r="E64" s="710"/>
      <c r="F64" s="711"/>
      <c r="G64" s="711"/>
      <c r="H64" s="710"/>
      <c r="I64" s="710"/>
      <c r="J64" s="697"/>
      <c r="K64" s="697"/>
      <c r="L64" s="700"/>
      <c r="M64" s="700"/>
      <c r="N64" s="697"/>
      <c r="O64" s="697"/>
      <c r="P64" s="700"/>
      <c r="Q64" s="700"/>
      <c r="R64" s="712"/>
      <c r="S64" s="697"/>
      <c r="T64" s="700"/>
      <c r="U64" s="700"/>
      <c r="V64" s="697"/>
      <c r="W64" s="697"/>
      <c r="X64" s="715">
        <f t="shared" si="2"/>
        <v>0</v>
      </c>
    </row>
    <row r="65" spans="1:24" x14ac:dyDescent="0.25">
      <c r="A65" s="579" t="s">
        <v>6</v>
      </c>
      <c r="B65" s="533"/>
      <c r="C65" s="541"/>
      <c r="D65" s="710"/>
      <c r="E65" s="710"/>
      <c r="F65" s="711"/>
      <c r="G65" s="711"/>
      <c r="H65" s="710"/>
      <c r="I65" s="710"/>
      <c r="J65" s="697"/>
      <c r="K65" s="697"/>
      <c r="L65" s="700"/>
      <c r="M65" s="700"/>
      <c r="N65" s="697"/>
      <c r="O65" s="697"/>
      <c r="P65" s="700"/>
      <c r="Q65" s="700"/>
      <c r="R65" s="712"/>
      <c r="S65" s="697"/>
      <c r="T65" s="700"/>
      <c r="U65" s="700"/>
      <c r="V65" s="697"/>
      <c r="W65" s="697"/>
      <c r="X65" s="715">
        <f t="shared" si="2"/>
        <v>0</v>
      </c>
    </row>
    <row r="66" spans="1:24" x14ac:dyDescent="0.25">
      <c r="A66" s="579"/>
      <c r="B66" s="533"/>
      <c r="C66" s="541"/>
      <c r="D66" s="710"/>
      <c r="E66" s="710"/>
      <c r="F66" s="711"/>
      <c r="G66" s="711"/>
      <c r="H66" s="710"/>
      <c r="I66" s="710"/>
      <c r="J66" s="697"/>
      <c r="K66" s="697"/>
      <c r="L66" s="700"/>
      <c r="M66" s="700"/>
      <c r="N66" s="697"/>
      <c r="O66" s="697"/>
      <c r="P66" s="700"/>
      <c r="Q66" s="700"/>
      <c r="R66" s="712"/>
      <c r="S66" s="697"/>
      <c r="T66" s="700"/>
      <c r="U66" s="700"/>
      <c r="V66" s="697"/>
      <c r="W66" s="697"/>
      <c r="X66" s="715">
        <f t="shared" si="2"/>
        <v>0</v>
      </c>
    </row>
    <row r="67" spans="1:24" x14ac:dyDescent="0.25">
      <c r="A67" s="579"/>
      <c r="B67" s="533"/>
      <c r="C67" s="541"/>
      <c r="D67" s="710"/>
      <c r="E67" s="710"/>
      <c r="F67" s="711"/>
      <c r="G67" s="711"/>
      <c r="H67" s="710"/>
      <c r="I67" s="710"/>
      <c r="J67" s="697"/>
      <c r="K67" s="697"/>
      <c r="L67" s="700"/>
      <c r="M67" s="700"/>
      <c r="N67" s="699"/>
      <c r="O67" s="697"/>
      <c r="P67" s="700"/>
      <c r="Q67" s="700"/>
      <c r="R67" s="712"/>
      <c r="S67" s="697"/>
      <c r="T67" s="700"/>
      <c r="U67" s="700"/>
      <c r="V67" s="697"/>
      <c r="W67" s="697"/>
      <c r="X67" s="715">
        <f t="shared" si="2"/>
        <v>0</v>
      </c>
    </row>
    <row r="68" spans="1:24" x14ac:dyDescent="0.25">
      <c r="A68" s="579"/>
      <c r="B68" s="533"/>
      <c r="C68" s="541"/>
      <c r="D68" s="710"/>
      <c r="E68" s="710"/>
      <c r="F68" s="711"/>
      <c r="G68" s="711"/>
      <c r="H68" s="710"/>
      <c r="I68" s="710"/>
      <c r="J68" s="697"/>
      <c r="K68" s="697"/>
      <c r="L68" s="700"/>
      <c r="M68" s="700"/>
      <c r="N68" s="697"/>
      <c r="O68" s="699"/>
      <c r="P68" s="700"/>
      <c r="Q68" s="700"/>
      <c r="R68" s="712"/>
      <c r="S68" s="697"/>
      <c r="T68" s="700"/>
      <c r="U68" s="700"/>
      <c r="V68" s="697"/>
      <c r="W68" s="697"/>
      <c r="X68" s="715">
        <f t="shared" si="2"/>
        <v>0</v>
      </c>
    </row>
    <row r="69" spans="1:24" x14ac:dyDescent="0.25">
      <c r="A69" s="579"/>
      <c r="B69" s="533"/>
      <c r="C69" s="541"/>
      <c r="D69" s="710"/>
      <c r="E69" s="710"/>
      <c r="F69" s="711"/>
      <c r="G69" s="711"/>
      <c r="H69" s="710"/>
      <c r="I69" s="710"/>
      <c r="J69" s="697"/>
      <c r="K69" s="697"/>
      <c r="L69" s="700"/>
      <c r="M69" s="700"/>
      <c r="N69" s="697"/>
      <c r="O69" s="697"/>
      <c r="P69" s="701"/>
      <c r="Q69" s="700"/>
      <c r="R69" s="697"/>
      <c r="S69" s="697"/>
      <c r="T69" s="700"/>
      <c r="U69" s="700"/>
      <c r="V69" s="697"/>
      <c r="W69" s="697"/>
      <c r="X69" s="715">
        <f t="shared" si="2"/>
        <v>0</v>
      </c>
    </row>
    <row r="70" spans="1:24" x14ac:dyDescent="0.25">
      <c r="A70" s="579"/>
      <c r="B70" s="543"/>
      <c r="C70" s="541"/>
      <c r="D70" s="710"/>
      <c r="E70" s="710"/>
      <c r="F70" s="711"/>
      <c r="G70" s="711"/>
      <c r="H70" s="716"/>
      <c r="I70" s="710"/>
      <c r="J70" s="697"/>
      <c r="K70" s="697"/>
      <c r="L70" s="700"/>
      <c r="M70" s="700"/>
      <c r="N70" s="697"/>
      <c r="O70" s="697"/>
      <c r="P70" s="700"/>
      <c r="Q70" s="700"/>
      <c r="R70" s="697"/>
      <c r="S70" s="697"/>
      <c r="T70" s="700"/>
      <c r="U70" s="700"/>
      <c r="V70" s="697"/>
      <c r="W70" s="697"/>
      <c r="X70" s="715">
        <f t="shared" si="2"/>
        <v>0</v>
      </c>
    </row>
    <row r="71" spans="1:24" x14ac:dyDescent="0.25">
      <c r="A71" s="579"/>
      <c r="B71" s="543"/>
      <c r="C71" s="541"/>
      <c r="D71" s="710"/>
      <c r="E71" s="710"/>
      <c r="F71" s="711"/>
      <c r="G71" s="711"/>
      <c r="H71" s="716"/>
      <c r="I71" s="710"/>
      <c r="J71" s="697"/>
      <c r="K71" s="697"/>
      <c r="L71" s="700"/>
      <c r="M71" s="700"/>
      <c r="N71" s="697"/>
      <c r="O71" s="697"/>
      <c r="P71" s="700"/>
      <c r="Q71" s="700"/>
      <c r="R71" s="697"/>
      <c r="S71" s="697"/>
      <c r="T71" s="700"/>
      <c r="U71" s="700"/>
      <c r="V71" s="697"/>
      <c r="W71" s="697"/>
      <c r="X71" s="715">
        <f t="shared" si="2"/>
        <v>0</v>
      </c>
    </row>
    <row r="72" spans="1:24" x14ac:dyDescent="0.25">
      <c r="A72" s="579"/>
      <c r="B72" s="543"/>
      <c r="C72" s="541"/>
      <c r="D72" s="710"/>
      <c r="E72" s="710"/>
      <c r="F72" s="711"/>
      <c r="G72" s="711"/>
      <c r="H72" s="710"/>
      <c r="I72" s="710"/>
      <c r="J72" s="697"/>
      <c r="K72" s="697"/>
      <c r="L72" s="700"/>
      <c r="M72" s="700"/>
      <c r="N72" s="697"/>
      <c r="O72" s="699"/>
      <c r="P72" s="700"/>
      <c r="Q72" s="700"/>
      <c r="R72" s="697"/>
      <c r="S72" s="697"/>
      <c r="T72" s="700"/>
      <c r="U72" s="700"/>
      <c r="V72" s="697"/>
      <c r="W72" s="697"/>
      <c r="X72" s="715">
        <f t="shared" si="2"/>
        <v>0</v>
      </c>
    </row>
    <row r="73" spans="1:24" x14ac:dyDescent="0.25">
      <c r="A73" s="579"/>
      <c r="B73" s="543"/>
      <c r="C73" s="541"/>
      <c r="D73" s="710"/>
      <c r="E73" s="710"/>
      <c r="F73" s="711"/>
      <c r="G73" s="711"/>
      <c r="H73" s="710"/>
      <c r="I73" s="716"/>
      <c r="J73" s="697"/>
      <c r="K73" s="697"/>
      <c r="L73" s="700"/>
      <c r="M73" s="700"/>
      <c r="N73" s="697"/>
      <c r="O73" s="699"/>
      <c r="P73" s="700"/>
      <c r="Q73" s="700"/>
      <c r="R73" s="697"/>
      <c r="S73" s="697"/>
      <c r="T73" s="700"/>
      <c r="U73" s="700"/>
      <c r="V73" s="697"/>
      <c r="W73" s="697"/>
      <c r="X73" s="715">
        <f t="shared" si="2"/>
        <v>0</v>
      </c>
    </row>
    <row r="74" spans="1:24" x14ac:dyDescent="0.25">
      <c r="X74" s="715">
        <f>SUM(X44:X73)</f>
        <v>3432.86</v>
      </c>
    </row>
  </sheetData>
  <mergeCells count="24">
    <mergeCell ref="K2:L2"/>
    <mergeCell ref="D1:H1"/>
    <mergeCell ref="C2:D2"/>
    <mergeCell ref="E2:F2"/>
    <mergeCell ref="G2:H2"/>
    <mergeCell ref="I2:J2"/>
    <mergeCell ref="U2:V2"/>
    <mergeCell ref="W2:W4"/>
    <mergeCell ref="M2:N2"/>
    <mergeCell ref="O2:P2"/>
    <mergeCell ref="Q2:R2"/>
    <mergeCell ref="S2:T2"/>
    <mergeCell ref="X41:X43"/>
    <mergeCell ref="E40:H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D4" sqref="D4"/>
    </sheetView>
  </sheetViews>
  <sheetFormatPr defaultRowHeight="15" x14ac:dyDescent="0.25"/>
  <cols>
    <col min="1" max="1" width="29.140625" customWidth="1"/>
    <col min="6" max="6" width="10.28515625" customWidth="1"/>
    <col min="7" max="7" width="10.42578125" customWidth="1"/>
    <col min="8" max="8" width="10.28515625" customWidth="1"/>
    <col min="10" max="10" width="6.140625" customWidth="1"/>
  </cols>
  <sheetData>
    <row r="1" spans="1:11" x14ac:dyDescent="0.25">
      <c r="A1" s="43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" customHeight="1" x14ac:dyDescent="0.25">
      <c r="A2" s="1255"/>
      <c r="B2" s="1255"/>
      <c r="C2" s="1255"/>
      <c r="D2" s="1256"/>
      <c r="E2" s="1257"/>
      <c r="F2" s="1257"/>
      <c r="G2" s="1257"/>
      <c r="H2" s="1257"/>
      <c r="I2" s="1257"/>
      <c r="J2" s="1257"/>
      <c r="K2" s="1257"/>
    </row>
    <row r="3" spans="1:11" x14ac:dyDescent="0.25">
      <c r="A3" s="1113" t="s">
        <v>198</v>
      </c>
      <c r="B3" s="1113"/>
      <c r="C3" s="1113"/>
      <c r="D3" s="1020"/>
      <c r="E3" s="1"/>
      <c r="F3" s="1113" t="s">
        <v>199</v>
      </c>
      <c r="G3" s="1113"/>
      <c r="H3" s="1113"/>
      <c r="I3" s="1113"/>
      <c r="J3" s="1020"/>
      <c r="K3" s="1020"/>
    </row>
    <row r="4" spans="1:11" x14ac:dyDescent="0.25">
      <c r="A4" s="1114" t="s">
        <v>38</v>
      </c>
      <c r="B4" s="1114"/>
      <c r="C4" s="1114"/>
      <c r="D4" s="61">
        <f>COUNTIF('IDL STATS'!H:H,"H")</f>
        <v>13</v>
      </c>
      <c r="E4" s="1"/>
      <c r="F4" s="1114" t="s">
        <v>81</v>
      </c>
      <c r="G4" s="1114"/>
      <c r="H4" s="1114"/>
      <c r="I4" s="1126"/>
      <c r="J4" s="1126"/>
      <c r="K4" s="61">
        <f>SUMIF('IDL STATS'!H:H,"H",'IDL STATS'!L:L)</f>
        <v>5182.0000000000009</v>
      </c>
    </row>
    <row r="5" spans="1:11" x14ac:dyDescent="0.25">
      <c r="A5" s="1125" t="s">
        <v>39</v>
      </c>
      <c r="B5" s="1125"/>
      <c r="C5" s="1125"/>
      <c r="D5" s="47">
        <f>COUNTIF('IDL STATS'!H:H,"L")</f>
        <v>3</v>
      </c>
      <c r="E5" s="1"/>
      <c r="F5" s="1125" t="s">
        <v>69</v>
      </c>
      <c r="G5" s="1125"/>
      <c r="H5" s="1125"/>
      <c r="I5" s="1127"/>
      <c r="J5" s="1127"/>
      <c r="K5" s="47">
        <f>SUMIF('IDL STATS'!H:H,"L",'IDL STATS'!L:L)</f>
        <v>1.97</v>
      </c>
    </row>
    <row r="6" spans="1:11" x14ac:dyDescent="0.25">
      <c r="A6" s="1258" t="s">
        <v>83</v>
      </c>
      <c r="B6" s="1258"/>
      <c r="C6" s="1258"/>
      <c r="D6" s="53">
        <f>SUM(D4:D5)</f>
        <v>16</v>
      </c>
      <c r="E6" s="1"/>
      <c r="F6" s="1258" t="s">
        <v>84</v>
      </c>
      <c r="G6" s="1259"/>
      <c r="H6" s="1259"/>
      <c r="I6" s="1259"/>
      <c r="J6" s="1259"/>
      <c r="K6" s="53">
        <f>SUM(K4:K5)</f>
        <v>5183.9700000000012</v>
      </c>
    </row>
    <row r="7" spans="1:11" ht="6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113" t="s">
        <v>200</v>
      </c>
      <c r="B8" s="1020"/>
      <c r="C8" s="1020"/>
      <c r="D8" s="1020"/>
      <c r="E8" s="1020"/>
      <c r="F8" s="1020"/>
      <c r="G8" s="1020"/>
      <c r="H8" s="1020"/>
      <c r="I8" s="1020"/>
      <c r="J8" s="1020"/>
      <c r="K8" s="1020"/>
    </row>
    <row r="9" spans="1:11" x14ac:dyDescent="0.25">
      <c r="A9" s="1191"/>
      <c r="B9" s="1105" t="s">
        <v>46</v>
      </c>
      <c r="C9" s="1106"/>
      <c r="D9" s="1105" t="s">
        <v>47</v>
      </c>
      <c r="E9" s="1106"/>
      <c r="F9" s="1235" t="s">
        <v>44</v>
      </c>
      <c r="G9" s="1235"/>
      <c r="H9" s="1235"/>
      <c r="I9" s="1110" t="s">
        <v>45</v>
      </c>
      <c r="J9" s="1110"/>
      <c r="K9" s="1110"/>
    </row>
    <row r="10" spans="1:11" x14ac:dyDescent="0.25">
      <c r="A10" s="1192"/>
      <c r="B10" s="1107"/>
      <c r="C10" s="1108"/>
      <c r="D10" s="1107"/>
      <c r="E10" s="1108"/>
      <c r="F10" s="57" t="s">
        <v>5</v>
      </c>
      <c r="G10" s="57" t="s">
        <v>42</v>
      </c>
      <c r="H10" s="57" t="s">
        <v>43</v>
      </c>
      <c r="I10" s="1110"/>
      <c r="J10" s="1110"/>
      <c r="K10" s="1110"/>
    </row>
    <row r="11" spans="1:11" x14ac:dyDescent="0.25">
      <c r="A11" s="52" t="s">
        <v>221</v>
      </c>
      <c r="B11" s="1218">
        <f>SUMIF('IDL STATS'!H:H,"H",'IDL STATS'!M:M)</f>
        <v>906.1</v>
      </c>
      <c r="C11" s="1219"/>
      <c r="D11" s="1218">
        <f>SUMIF('IDL STATS'!H:H,"L",'IDL STATS'!M:M)</f>
        <v>0</v>
      </c>
      <c r="E11" s="1219"/>
      <c r="F11" s="53">
        <f t="shared" ref="F11:F16" si="0">SUM(G11:H11)</f>
        <v>1</v>
      </c>
      <c r="G11" s="53">
        <f>COUNTIF('# FIRES CAUSE'!P:P,"X")</f>
        <v>1</v>
      </c>
      <c r="H11" s="53">
        <f>COUNTIF('# FIRES CAUSE'!Q:Q,"X")</f>
        <v>0</v>
      </c>
      <c r="I11" s="1218">
        <f t="shared" ref="I11:I17" si="1">SUM(B11:E11)</f>
        <v>906.1</v>
      </c>
      <c r="J11" s="1227"/>
      <c r="K11" s="1219"/>
    </row>
    <row r="12" spans="1:11" x14ac:dyDescent="0.25">
      <c r="A12" s="58" t="s">
        <v>220</v>
      </c>
      <c r="B12" s="1236">
        <f>SUMIF('IDL STATS'!H:H,"H",'IDL STATS'!N:N)</f>
        <v>96.91</v>
      </c>
      <c r="C12" s="1237"/>
      <c r="D12" s="1236">
        <f>SUMIF('IDL STATS'!H:H,"L",'IDL STATS'!N:N)</f>
        <v>0.1</v>
      </c>
      <c r="E12" s="1237"/>
      <c r="F12" s="62">
        <f t="shared" si="0"/>
        <v>4</v>
      </c>
      <c r="G12" s="62">
        <f>COUNTIF('# FIRES CAUSE'!L:L,"X")</f>
        <v>3</v>
      </c>
      <c r="H12" s="62">
        <f>COUNTIF('# FIRES CAUSE'!M:M,"X")</f>
        <v>1</v>
      </c>
      <c r="I12" s="1236">
        <f t="shared" si="1"/>
        <v>97.009999999999991</v>
      </c>
      <c r="J12" s="1238"/>
      <c r="K12" s="1237"/>
    </row>
    <row r="13" spans="1:11" x14ac:dyDescent="0.25">
      <c r="A13" s="311" t="s">
        <v>219</v>
      </c>
      <c r="B13" s="1232">
        <f>SUMIF('IDL STATS'!H:H,"H",'IDL STATS'!O:O)</f>
        <v>705</v>
      </c>
      <c r="C13" s="1233"/>
      <c r="D13" s="1232">
        <f>SUMIF('IDL STATS'!H:H,"L",'IDL STATS'!O:O)</f>
        <v>0</v>
      </c>
      <c r="E13" s="1233"/>
      <c r="F13" s="309">
        <f t="shared" si="0"/>
        <v>0</v>
      </c>
      <c r="G13" s="309">
        <f>COUNTIF('# FIRES CAUSE'!H:H,"X")</f>
        <v>0</v>
      </c>
      <c r="H13" s="309">
        <f>COUNTIF('# FIRES CAUSE'!I:I,"X")</f>
        <v>0</v>
      </c>
      <c r="I13" s="1232">
        <f t="shared" si="1"/>
        <v>705</v>
      </c>
      <c r="J13" s="1239"/>
      <c r="K13" s="1233"/>
    </row>
    <row r="14" spans="1:11" x14ac:dyDescent="0.25">
      <c r="A14" s="36" t="s">
        <v>80</v>
      </c>
      <c r="B14" s="1162">
        <f>SUMIF('IDL STATS'!H:H,"H",'IDL STATS'!P:P)</f>
        <v>3430.9900000000002</v>
      </c>
      <c r="C14" s="1074"/>
      <c r="D14" s="1162">
        <f>SUMIF('IDL STATS'!H:H,"L",'IDL STATS'!P:P)</f>
        <v>1.8699999999999999</v>
      </c>
      <c r="E14" s="1074"/>
      <c r="F14" s="60">
        <f t="shared" si="0"/>
        <v>11</v>
      </c>
      <c r="G14" s="60">
        <f>COUNTIF('# FIRES CAUSE'!Z:Z,"X")</f>
        <v>9</v>
      </c>
      <c r="H14" s="60">
        <f>COUNTIF('# FIRES CAUSE'!AA:AA,"X")</f>
        <v>2</v>
      </c>
      <c r="I14" s="1162">
        <f t="shared" si="1"/>
        <v>3432.86</v>
      </c>
      <c r="J14" s="1164"/>
      <c r="K14" s="1074"/>
    </row>
    <row r="15" spans="1:11" x14ac:dyDescent="0.25">
      <c r="A15" s="313" t="s">
        <v>224</v>
      </c>
      <c r="B15" s="1222">
        <f>SUMIF('IDL STATS'!H:H,"H",'IDL STATS'!Q:Q)</f>
        <v>43</v>
      </c>
      <c r="C15" s="1261"/>
      <c r="D15" s="1222">
        <f>SUMIF('IDL STATS'!H:H,"L",'IDL STATS'!Q:Q)</f>
        <v>0</v>
      </c>
      <c r="E15" s="1261"/>
      <c r="F15" s="45">
        <f t="shared" si="0"/>
        <v>0</v>
      </c>
      <c r="G15" s="45">
        <f>COUNTIF('# FIRES CAUSE'!AJ:AJ,"X")</f>
        <v>0</v>
      </c>
      <c r="H15" s="45">
        <f>COUNTIF('# FIRES CAUSE'!AK:AK,"X")</f>
        <v>0</v>
      </c>
      <c r="I15" s="1222">
        <f t="shared" si="1"/>
        <v>43</v>
      </c>
      <c r="J15" s="1263"/>
      <c r="K15" s="1261"/>
    </row>
    <row r="16" spans="1:11" x14ac:dyDescent="0.25">
      <c r="A16" s="190" t="s">
        <v>225</v>
      </c>
      <c r="B16" s="1166">
        <f>SUMIF('IDL STATS'!H:H,"H",'IDL STATS'!R:R)</f>
        <v>0</v>
      </c>
      <c r="C16" s="1260"/>
      <c r="D16" s="1166">
        <f>SUMIF('IDL STATS'!H:H,"L",'IDL STATS'!R:R)</f>
        <v>0</v>
      </c>
      <c r="E16" s="1260"/>
      <c r="F16" s="191">
        <f t="shared" si="0"/>
        <v>0</v>
      </c>
      <c r="G16" s="191">
        <f>COUNTIF('# FIRES CAUSE'!AP:AP,"X")</f>
        <v>0</v>
      </c>
      <c r="H16" s="191">
        <f>COUNTIF('# FIRES CAUSE'!AQ:AQ,"X")</f>
        <v>0</v>
      </c>
      <c r="I16" s="1166">
        <f t="shared" si="1"/>
        <v>0</v>
      </c>
      <c r="J16" s="1262"/>
      <c r="K16" s="1260"/>
    </row>
    <row r="17" spans="1:12" x14ac:dyDescent="0.25">
      <c r="A17" s="59" t="s">
        <v>41</v>
      </c>
      <c r="B17" s="1220">
        <f>SUM(B11:B16)</f>
        <v>5182</v>
      </c>
      <c r="C17" s="1221"/>
      <c r="D17" s="1220">
        <f>SUM(D11:D14)</f>
        <v>1.97</v>
      </c>
      <c r="E17" s="1221"/>
      <c r="F17" s="48">
        <f>SUM(F11:F16)</f>
        <v>16</v>
      </c>
      <c r="G17" s="48">
        <f>SUM(G11:G16)</f>
        <v>13</v>
      </c>
      <c r="H17" s="48">
        <f>SUM(H11:H16)</f>
        <v>3</v>
      </c>
      <c r="I17" s="1220">
        <f t="shared" si="1"/>
        <v>5183.97</v>
      </c>
      <c r="J17" s="1231"/>
      <c r="K17" s="1221"/>
    </row>
    <row r="18" spans="1:12" ht="6.75" customHeight="1" x14ac:dyDescent="0.25">
      <c r="A18" s="101"/>
      <c r="B18" s="94"/>
      <c r="C18" s="93"/>
      <c r="D18" s="94"/>
      <c r="E18" s="93"/>
      <c r="F18" s="94"/>
      <c r="G18" s="94"/>
      <c r="H18" s="94"/>
      <c r="I18" s="94"/>
      <c r="J18" s="93"/>
      <c r="K18" s="93"/>
      <c r="L18" s="102"/>
    </row>
    <row r="19" spans="1:12" x14ac:dyDescent="0.25">
      <c r="A19" s="1143" t="s">
        <v>185</v>
      </c>
      <c r="B19" s="1144"/>
      <c r="C19" s="1144"/>
      <c r="D19" s="1144"/>
      <c r="E19" s="1145"/>
      <c r="F19" s="44">
        <f>COUNTIF('IDL STATS'!H:H,"RFD")</f>
        <v>0</v>
      </c>
      <c r="G19" s="272" t="s">
        <v>64</v>
      </c>
      <c r="H19" s="272" t="s">
        <v>64</v>
      </c>
      <c r="I19" s="1230">
        <f>SUMIF('IDL STATS'!H:H,"RFD",'IDL STATS'!L:L)</f>
        <v>0</v>
      </c>
      <c r="J19" s="1230"/>
      <c r="K19" s="1230"/>
    </row>
    <row r="20" spans="1:12" x14ac:dyDescent="0.25">
      <c r="A20" s="1133" t="s">
        <v>192</v>
      </c>
      <c r="B20" s="1134"/>
      <c r="C20" s="1134"/>
      <c r="D20" s="1134"/>
      <c r="E20" s="1135"/>
      <c r="F20" s="191">
        <f>COUNTIF('IDL STATS'!H:H,"A")</f>
        <v>2</v>
      </c>
      <c r="G20" s="272" t="s">
        <v>64</v>
      </c>
      <c r="H20" s="272" t="s">
        <v>64</v>
      </c>
      <c r="I20" s="1228">
        <f>SUMIF('IDL STATS'!H:H,"A",'IDL STATS'!T:T)</f>
        <v>6598</v>
      </c>
      <c r="J20" s="1228"/>
      <c r="K20" s="1228"/>
    </row>
    <row r="21" spans="1:12" ht="15" customHeight="1" x14ac:dyDescent="0.25">
      <c r="A21" s="1268" t="s">
        <v>236</v>
      </c>
      <c r="B21" s="1269"/>
      <c r="C21" s="1269"/>
      <c r="D21" s="1269"/>
      <c r="E21" s="1270"/>
      <c r="F21" s="53">
        <f>COUNTIF('IDL STATS'!H:H,"O")</f>
        <v>16</v>
      </c>
      <c r="G21" s="272" t="s">
        <v>64</v>
      </c>
      <c r="H21" s="272" t="s">
        <v>64</v>
      </c>
      <c r="I21" s="1264">
        <f>SUMIF('IDL STATS'!H:H,"O",'IDL STATS'!M:M)</f>
        <v>3271.4000000000005</v>
      </c>
      <c r="J21" s="1264"/>
      <c r="K21" s="1264"/>
    </row>
    <row r="22" spans="1:12" ht="7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25">
      <c r="A23" s="1155" t="s">
        <v>53</v>
      </c>
      <c r="B23" s="1271"/>
      <c r="C23" s="62">
        <f>COUNTIF('IDL STATS'!H:H,"FA")</f>
        <v>11</v>
      </c>
      <c r="D23" s="1272" t="s">
        <v>85</v>
      </c>
      <c r="E23" s="1272"/>
      <c r="F23" s="1272"/>
      <c r="G23" s="1272"/>
      <c r="H23" s="1274" t="s">
        <v>235</v>
      </c>
      <c r="I23" s="48" t="s">
        <v>172</v>
      </c>
      <c r="J23" s="1275">
        <f>SUM('IDL STATS'!AH59)</f>
        <v>8</v>
      </c>
      <c r="K23" s="1275"/>
    </row>
    <row r="24" spans="1:12" x14ac:dyDescent="0.25">
      <c r="A24" s="1155" t="s">
        <v>149</v>
      </c>
      <c r="B24" s="1271"/>
      <c r="C24" s="62">
        <f>COUNTIF('IDL STATS'!H:H,"UTL")</f>
        <v>0</v>
      </c>
      <c r="D24" s="1273"/>
      <c r="E24" s="1273"/>
      <c r="F24" s="64" t="s">
        <v>5</v>
      </c>
      <c r="G24" s="64" t="s">
        <v>60</v>
      </c>
      <c r="H24" s="1274"/>
      <c r="I24" s="48" t="s">
        <v>179</v>
      </c>
      <c r="J24" s="1275">
        <f>SUM('IDL STATS'!AH60)</f>
        <v>5</v>
      </c>
      <c r="K24" s="1275"/>
    </row>
    <row r="25" spans="1:12" x14ac:dyDescent="0.25">
      <c r="A25" s="1155" t="s">
        <v>136</v>
      </c>
      <c r="B25" s="1271"/>
      <c r="C25" s="62">
        <f>COUNTIF('IDL STATS'!AB:AB,"Y")</f>
        <v>5</v>
      </c>
      <c r="D25" s="1111" t="s">
        <v>55</v>
      </c>
      <c r="E25" s="1111"/>
      <c r="F25" s="48">
        <f>COUNTIF('IDL STATS'!X:X,"LOOKOUT")</f>
        <v>2</v>
      </c>
      <c r="G25" s="429">
        <f>F25/D6</f>
        <v>0.125</v>
      </c>
      <c r="H25" s="1274"/>
      <c r="I25" s="48" t="s">
        <v>173</v>
      </c>
      <c r="J25" s="1275">
        <f>SUM('IDL STATS'!AH61)</f>
        <v>1</v>
      </c>
      <c r="K25" s="1275"/>
    </row>
    <row r="26" spans="1:12" x14ac:dyDescent="0.25">
      <c r="A26" s="1143" t="s">
        <v>138</v>
      </c>
      <c r="B26" s="1145"/>
      <c r="C26" s="44">
        <f>COUNTIF('IDL STATS'!AA:AA,"Y")</f>
        <v>11</v>
      </c>
      <c r="D26" s="1111" t="s">
        <v>56</v>
      </c>
      <c r="E26" s="1111"/>
      <c r="F26" s="48">
        <f>COUNTIF('IDL STATS'!X:X,"AIRCRAFT")</f>
        <v>0</v>
      </c>
      <c r="G26" s="429">
        <f>F26/D6</f>
        <v>0</v>
      </c>
      <c r="H26" s="1274"/>
      <c r="I26" s="48" t="s">
        <v>174</v>
      </c>
      <c r="J26" s="1275">
        <f>SUM('IDL STATS'!AH62)</f>
        <v>0</v>
      </c>
      <c r="K26" s="1275"/>
    </row>
    <row r="27" spans="1:12" x14ac:dyDescent="0.25">
      <c r="A27" s="1146" t="s">
        <v>89</v>
      </c>
      <c r="B27" s="1267"/>
      <c r="C27" s="45">
        <f>COUNTIF('IDL STATS'!Y:Y,"Y")</f>
        <v>14</v>
      </c>
      <c r="D27" s="1111" t="s">
        <v>80</v>
      </c>
      <c r="E27" s="1111"/>
      <c r="F27" s="48">
        <f>COUNTIF('IDL STATS'!X:X,"PRIVATE")</f>
        <v>0</v>
      </c>
      <c r="G27" s="429">
        <f>F27/D6</f>
        <v>0</v>
      </c>
      <c r="H27" s="1274"/>
      <c r="I27" s="48" t="s">
        <v>157</v>
      </c>
      <c r="J27" s="1275">
        <f>SUM('IDL STATS'!AH63)</f>
        <v>1</v>
      </c>
      <c r="K27" s="1275"/>
    </row>
    <row r="28" spans="1:12" x14ac:dyDescent="0.25">
      <c r="A28" s="1146" t="s">
        <v>137</v>
      </c>
      <c r="B28" s="1267"/>
      <c r="C28" s="45">
        <f>COUNTIF('IDL STATS'!Z:Z,"Y")</f>
        <v>9</v>
      </c>
      <c r="D28" s="1111" t="s">
        <v>238</v>
      </c>
      <c r="E28" s="1111"/>
      <c r="F28" s="48">
        <f>COUNTIF('IDL STATS'!X:X,"AGENCY")</f>
        <v>4</v>
      </c>
      <c r="G28" s="429">
        <f>F28/D6</f>
        <v>0.25</v>
      </c>
      <c r="H28" s="1274"/>
      <c r="I28" s="48" t="s">
        <v>190</v>
      </c>
      <c r="J28" s="1275">
        <f>SUM('IDL STATS'!AH64)</f>
        <v>0</v>
      </c>
      <c r="K28" s="1275"/>
    </row>
    <row r="29" spans="1:12" x14ac:dyDescent="0.25">
      <c r="A29" s="1265" t="s">
        <v>237</v>
      </c>
      <c r="B29" s="1266"/>
      <c r="C29" s="424">
        <f>COUNTIF('IDL STATS'!AC5:AC176,"Y")</f>
        <v>3</v>
      </c>
      <c r="D29" s="1111" t="s">
        <v>59</v>
      </c>
      <c r="E29" s="1111"/>
      <c r="F29" s="48">
        <f>COUNTIF('IDL STATS'!X:X,"COUNTY")</f>
        <v>10</v>
      </c>
      <c r="G29" s="429">
        <f>F29/D6</f>
        <v>0.625</v>
      </c>
      <c r="H29" s="1274"/>
      <c r="I29" s="48" t="s">
        <v>180</v>
      </c>
      <c r="J29" s="1275">
        <f>SUM('IDL STATS'!AH65)</f>
        <v>0</v>
      </c>
      <c r="K29" s="1275"/>
    </row>
    <row r="30" spans="1:12" x14ac:dyDescent="0.25">
      <c r="A30" s="426"/>
      <c r="B30" s="427"/>
      <c r="C30" s="63"/>
      <c r="J30" s="1"/>
      <c r="K30" s="1"/>
    </row>
    <row r="31" spans="1:12" x14ac:dyDescent="0.25">
      <c r="A31" s="428"/>
      <c r="B31" s="428"/>
      <c r="C31" s="63"/>
      <c r="J31" s="1"/>
      <c r="K31" s="1"/>
    </row>
  </sheetData>
  <mergeCells count="64">
    <mergeCell ref="H23:H29"/>
    <mergeCell ref="J28:K28"/>
    <mergeCell ref="J29:K29"/>
    <mergeCell ref="J23:K23"/>
    <mergeCell ref="J24:K24"/>
    <mergeCell ref="J25:K25"/>
    <mergeCell ref="J26:K26"/>
    <mergeCell ref="J27:K27"/>
    <mergeCell ref="A26:B26"/>
    <mergeCell ref="A29:B29"/>
    <mergeCell ref="A28:B28"/>
    <mergeCell ref="A27:B27"/>
    <mergeCell ref="A21:E21"/>
    <mergeCell ref="A25:B25"/>
    <mergeCell ref="A24:B24"/>
    <mergeCell ref="A23:B23"/>
    <mergeCell ref="D23:G23"/>
    <mergeCell ref="D24:E24"/>
    <mergeCell ref="D25:E25"/>
    <mergeCell ref="D26:E26"/>
    <mergeCell ref="D27:E27"/>
    <mergeCell ref="D28:E28"/>
    <mergeCell ref="D29:E29"/>
    <mergeCell ref="I21:K21"/>
    <mergeCell ref="I20:K20"/>
    <mergeCell ref="B17:C17"/>
    <mergeCell ref="D17:E17"/>
    <mergeCell ref="I17:K17"/>
    <mergeCell ref="A20:E20"/>
    <mergeCell ref="I19:K19"/>
    <mergeCell ref="A19:E19"/>
    <mergeCell ref="B14:C14"/>
    <mergeCell ref="D14:E14"/>
    <mergeCell ref="I14:K14"/>
    <mergeCell ref="B16:C16"/>
    <mergeCell ref="D15:E15"/>
    <mergeCell ref="D16:E16"/>
    <mergeCell ref="I16:K16"/>
    <mergeCell ref="B15:C15"/>
    <mergeCell ref="I15:K15"/>
    <mergeCell ref="B12:C12"/>
    <mergeCell ref="D12:E12"/>
    <mergeCell ref="I12:K12"/>
    <mergeCell ref="B13:C13"/>
    <mergeCell ref="D13:E13"/>
    <mergeCell ref="I13:K13"/>
    <mergeCell ref="A5:C5"/>
    <mergeCell ref="F5:J5"/>
    <mergeCell ref="B11:C11"/>
    <mergeCell ref="D11:E11"/>
    <mergeCell ref="I11:K11"/>
    <mergeCell ref="A6:C6"/>
    <mergeCell ref="F6:J6"/>
    <mergeCell ref="A8:K8"/>
    <mergeCell ref="A9:A10"/>
    <mergeCell ref="B9:C10"/>
    <mergeCell ref="D9:E10"/>
    <mergeCell ref="F9:H9"/>
    <mergeCell ref="I9:K10"/>
    <mergeCell ref="F3:K3"/>
    <mergeCell ref="A3:D3"/>
    <mergeCell ref="A2:K2"/>
    <mergeCell ref="A4:C4"/>
    <mergeCell ref="F4:J4"/>
  </mergeCells>
  <pageMargins left="0.7" right="0.7" top="0.75" bottom="0.75" header="0.3" footer="0.3"/>
  <pageSetup paperSize="1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2"/>
  <sheetViews>
    <sheetView topLeftCell="A97" workbookViewId="0">
      <selection activeCell="R114" sqref="R114:R127"/>
    </sheetView>
  </sheetViews>
  <sheetFormatPr defaultRowHeight="15" x14ac:dyDescent="0.25"/>
  <cols>
    <col min="1" max="1" width="8.5703125" customWidth="1"/>
    <col min="2" max="2" width="8.28515625" customWidth="1"/>
    <col min="3" max="3" width="30" customWidth="1"/>
    <col min="4" max="4" width="6.5703125" customWidth="1"/>
    <col min="5" max="5" width="8.140625" customWidth="1"/>
    <col min="8" max="8" width="8.5703125" customWidth="1"/>
    <col min="9" max="9" width="8.7109375" customWidth="1"/>
    <col min="10" max="24" width="8" customWidth="1"/>
  </cols>
  <sheetData>
    <row r="1" spans="1:24" x14ac:dyDescent="0.25">
      <c r="A1" s="1071" t="s">
        <v>285</v>
      </c>
      <c r="B1" s="1071"/>
      <c r="C1" s="1071"/>
      <c r="D1" s="1071"/>
      <c r="E1" s="1071"/>
      <c r="F1" s="1071"/>
      <c r="G1" s="1071"/>
      <c r="H1" s="1071"/>
      <c r="I1" s="1071"/>
      <c r="J1" s="1071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x14ac:dyDescent="0.25">
      <c r="A2" s="1013" t="s">
        <v>0</v>
      </c>
      <c r="B2" s="1013" t="s">
        <v>25</v>
      </c>
      <c r="C2" s="1013" t="s">
        <v>7</v>
      </c>
      <c r="D2" s="1013" t="s">
        <v>27</v>
      </c>
      <c r="E2" s="1028" t="s">
        <v>24</v>
      </c>
      <c r="F2" s="1028"/>
      <c r="G2" s="1028"/>
      <c r="H2" s="1013" t="s">
        <v>29</v>
      </c>
      <c r="I2" s="1017" t="s">
        <v>257</v>
      </c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  <c r="W2" s="1073"/>
      <c r="X2" s="1074"/>
    </row>
    <row r="3" spans="1:24" ht="22.5" x14ac:dyDescent="0.25">
      <c r="A3" s="1020"/>
      <c r="B3" s="1020"/>
      <c r="C3" s="1020"/>
      <c r="D3" s="1020"/>
      <c r="E3" s="500" t="s">
        <v>26</v>
      </c>
      <c r="F3" s="500" t="s">
        <v>34</v>
      </c>
      <c r="G3" s="500" t="s">
        <v>35</v>
      </c>
      <c r="H3" s="1020"/>
      <c r="I3" s="32" t="s">
        <v>5</v>
      </c>
      <c r="J3" s="26" t="s">
        <v>91</v>
      </c>
      <c r="K3" s="27" t="s">
        <v>93</v>
      </c>
      <c r="L3" s="28" t="s">
        <v>95</v>
      </c>
      <c r="M3" s="500" t="s">
        <v>202</v>
      </c>
      <c r="N3" s="29" t="s">
        <v>203</v>
      </c>
      <c r="O3" s="30" t="s">
        <v>204</v>
      </c>
      <c r="P3" s="40" t="s">
        <v>206</v>
      </c>
      <c r="Q3" s="188" t="s">
        <v>205</v>
      </c>
      <c r="R3" s="906" t="s">
        <v>864</v>
      </c>
      <c r="S3" s="31" t="s">
        <v>258</v>
      </c>
      <c r="T3" s="28" t="s">
        <v>259</v>
      </c>
      <c r="U3" s="434" t="s">
        <v>260</v>
      </c>
      <c r="V3" s="188" t="s">
        <v>261</v>
      </c>
      <c r="W3" s="277" t="s">
        <v>61</v>
      </c>
      <c r="X3" s="277" t="s">
        <v>62</v>
      </c>
    </row>
    <row r="4" spans="1:24" x14ac:dyDescent="0.25">
      <c r="A4" s="1078" t="s">
        <v>262</v>
      </c>
      <c r="B4" s="1276"/>
      <c r="C4" s="1276"/>
      <c r="D4" s="1276"/>
      <c r="E4" s="1276"/>
      <c r="F4" s="1276"/>
      <c r="G4" s="1276"/>
      <c r="H4" s="1277"/>
      <c r="I4" s="32">
        <f t="shared" ref="I4:R4" si="0">SUM(I5:I231)</f>
        <v>82784.450000000041</v>
      </c>
      <c r="J4" s="32">
        <f t="shared" si="0"/>
        <v>67385.099999999977</v>
      </c>
      <c r="K4" s="32">
        <f t="shared" si="0"/>
        <v>0</v>
      </c>
      <c r="L4" s="32">
        <f t="shared" si="0"/>
        <v>3684.4000000000005</v>
      </c>
      <c r="M4" s="32">
        <f t="shared" si="0"/>
        <v>2157.1</v>
      </c>
      <c r="N4" s="32">
        <f t="shared" si="0"/>
        <v>0</v>
      </c>
      <c r="O4" s="32">
        <f t="shared" si="0"/>
        <v>6</v>
      </c>
      <c r="P4" s="32">
        <f t="shared" si="0"/>
        <v>35.9</v>
      </c>
      <c r="Q4" s="32">
        <f t="shared" si="0"/>
        <v>56</v>
      </c>
      <c r="R4" s="32">
        <f t="shared" si="0"/>
        <v>8838</v>
      </c>
      <c r="S4" s="32">
        <v>0</v>
      </c>
      <c r="T4" s="32">
        <v>0</v>
      </c>
      <c r="U4" s="32">
        <v>0</v>
      </c>
      <c r="V4" s="32">
        <v>0</v>
      </c>
      <c r="W4" s="32">
        <f>SUM(W5:W231)</f>
        <v>621.95000000000005</v>
      </c>
      <c r="X4" s="32">
        <f>SUM(X5:X231)</f>
        <v>0</v>
      </c>
    </row>
    <row r="5" spans="1:24" x14ac:dyDescent="0.25">
      <c r="A5" s="68">
        <f>'BLM STATS'!A5</f>
        <v>43134</v>
      </c>
      <c r="B5" s="507" t="str">
        <f>'BLM STATS'!B5</f>
        <v>LK23</v>
      </c>
      <c r="C5" s="15" t="str">
        <f>'BLM STATS'!F5</f>
        <v>KUNA</v>
      </c>
      <c r="D5" s="501" t="str">
        <f>'BLM STATS'!I5</f>
        <v>H</v>
      </c>
      <c r="E5" s="501" t="str">
        <f>'BLM STATS'!J5</f>
        <v>1N 1W 04</v>
      </c>
      <c r="F5" s="501" t="str">
        <f>'BLM STATS'!K5</f>
        <v>43 26 51</v>
      </c>
      <c r="G5" s="501" t="str">
        <f>'BLM STATS'!L5</f>
        <v>116 27 16</v>
      </c>
      <c r="H5" s="508" t="str">
        <f>'BLM STATS'!C5</f>
        <v>BOD</v>
      </c>
      <c r="I5" s="504">
        <f t="shared" ref="I5:I68" si="1">SUM(J5:X5)</f>
        <v>6</v>
      </c>
      <c r="J5" s="15">
        <f>'BLM STATS'!P5</f>
        <v>6</v>
      </c>
      <c r="K5" s="16">
        <f>'BLM STATS'!Q5</f>
        <v>0</v>
      </c>
      <c r="L5" s="17">
        <f>'BLM STATS'!R5</f>
        <v>0</v>
      </c>
      <c r="M5" s="502">
        <f>'BLM STATS'!S5</f>
        <v>0</v>
      </c>
      <c r="N5" s="18">
        <f>'BLM STATS'!T5</f>
        <v>0</v>
      </c>
      <c r="O5" s="19">
        <f>'BLM STATS'!U5</f>
        <v>0</v>
      </c>
      <c r="P5" s="41">
        <f>'BLM STATS'!V5</f>
        <v>0</v>
      </c>
      <c r="Q5" s="187">
        <f>'BLM STATS'!W5</f>
        <v>0</v>
      </c>
      <c r="R5" s="76">
        <f>'BLM STATS'!X5</f>
        <v>0</v>
      </c>
      <c r="S5" s="503"/>
      <c r="T5" s="17"/>
      <c r="U5" s="501"/>
      <c r="V5" s="187"/>
      <c r="W5" s="82">
        <f>'BLM STATS'!Y5</f>
        <v>0</v>
      </c>
      <c r="X5" s="82">
        <f>'BLM STATS'!Z5</f>
        <v>0</v>
      </c>
    </row>
    <row r="6" spans="1:24" x14ac:dyDescent="0.25">
      <c r="A6" s="68">
        <f>'BLM STATS'!A7</f>
        <v>43158</v>
      </c>
      <c r="B6" s="507" t="str">
        <f>'BLM STATS'!B7</f>
        <v>LLC2</v>
      </c>
      <c r="C6" s="822" t="str">
        <f>'BLM STATS'!F7</f>
        <v>FA 1 BOD</v>
      </c>
      <c r="D6" s="501" t="str">
        <f>'BLM STATS'!I7</f>
        <v>FA</v>
      </c>
      <c r="E6" s="501" t="str">
        <f>'BLM STATS'!J7</f>
        <v>4N 2E 16</v>
      </c>
      <c r="F6" s="501" t="str">
        <f>'BLM STATS'!K7</f>
        <v>43 41 09</v>
      </c>
      <c r="G6" s="501" t="str">
        <f>'BLM STATS'!L7</f>
        <v>116 13 18</v>
      </c>
      <c r="H6" s="508" t="str">
        <f>'BLM STATS'!C7</f>
        <v>1AX</v>
      </c>
      <c r="I6" s="504">
        <f t="shared" si="1"/>
        <v>0</v>
      </c>
      <c r="J6" s="15">
        <f>'BLM STATS'!P7</f>
        <v>0</v>
      </c>
      <c r="K6" s="16">
        <f>'BLM STATS'!Q7</f>
        <v>0</v>
      </c>
      <c r="L6" s="17">
        <f>'BLM STATS'!R7</f>
        <v>0</v>
      </c>
      <c r="M6" s="502">
        <f>'BLM STATS'!S7</f>
        <v>0</v>
      </c>
      <c r="N6" s="18">
        <f>'BLM STATS'!T7</f>
        <v>0</v>
      </c>
      <c r="O6" s="19">
        <f>'BLM STATS'!U7</f>
        <v>0</v>
      </c>
      <c r="P6" s="41">
        <f>'BLM STATS'!V7</f>
        <v>0</v>
      </c>
      <c r="Q6" s="187">
        <f>'BLM STATS'!W7</f>
        <v>0</v>
      </c>
      <c r="R6" s="76">
        <f>'BLM STATS'!X6</f>
        <v>0</v>
      </c>
      <c r="S6" s="503"/>
      <c r="T6" s="17"/>
      <c r="U6" s="501"/>
      <c r="V6" s="187"/>
      <c r="W6" s="82">
        <f>'BLM STATS'!Y7</f>
        <v>0</v>
      </c>
      <c r="X6" s="82">
        <f>'BLM STATS'!Z7</f>
        <v>0</v>
      </c>
    </row>
    <row r="7" spans="1:24" x14ac:dyDescent="0.25">
      <c r="A7" s="68">
        <f>'BLM STATS'!A8</f>
        <v>43188</v>
      </c>
      <c r="B7" s="507" t="str">
        <f>'BLM STATS'!B8</f>
        <v>LM4Z</v>
      </c>
      <c r="C7" s="15" t="str">
        <f>'BLM STATS'!F8</f>
        <v>MM112 I84</v>
      </c>
      <c r="D7" s="501" t="str">
        <f>'BLM STATS'!I8</f>
        <v>H</v>
      </c>
      <c r="E7" s="501" t="str">
        <f>'BLM STATS'!J8</f>
        <v>5S 9E 31</v>
      </c>
      <c r="F7" s="501" t="str">
        <f>'BLM STATS'!K8</f>
        <v>42 57 06</v>
      </c>
      <c r="G7" s="501" t="str">
        <f>'BLM STATS'!L8</f>
        <v>115 26 29</v>
      </c>
      <c r="H7" s="508" t="str">
        <f>'BLM STATS'!C8</f>
        <v>ELX</v>
      </c>
      <c r="I7" s="201">
        <f t="shared" si="1"/>
        <v>6.5</v>
      </c>
      <c r="J7" s="15">
        <f>'BLM STATS'!P8</f>
        <v>6.4</v>
      </c>
      <c r="K7" s="16">
        <f>'BLM STATS'!Q8</f>
        <v>0</v>
      </c>
      <c r="L7" s="17">
        <f>'BLM STATS'!R8</f>
        <v>0</v>
      </c>
      <c r="M7" s="502">
        <f>'BLM STATS'!S8</f>
        <v>0.1</v>
      </c>
      <c r="N7" s="18">
        <f>'BLM STATS'!T8</f>
        <v>0</v>
      </c>
      <c r="O7" s="19">
        <f>'BLM STATS'!U8</f>
        <v>0</v>
      </c>
      <c r="P7" s="41">
        <f>'BLM STATS'!V8</f>
        <v>0</v>
      </c>
      <c r="Q7" s="187">
        <f>'BLM STATS'!W8</f>
        <v>0</v>
      </c>
      <c r="R7" s="76">
        <f>'BLM STATS'!X7</f>
        <v>0</v>
      </c>
      <c r="S7" s="503"/>
      <c r="T7" s="17"/>
      <c r="U7" s="501"/>
      <c r="V7" s="187"/>
      <c r="W7" s="82">
        <f>'BLM STATS'!Y8</f>
        <v>0</v>
      </c>
      <c r="X7" s="82">
        <f>'BLM STATS'!Z8</f>
        <v>0</v>
      </c>
    </row>
    <row r="8" spans="1:24" x14ac:dyDescent="0.25">
      <c r="A8" s="68">
        <f>'BLM STATS'!A9</f>
        <v>43201</v>
      </c>
      <c r="B8" s="507" t="str">
        <f>'BLM STATS'!B9</f>
        <v>LN5L</v>
      </c>
      <c r="C8" s="15" t="str">
        <f>'BLM STATS'!F9</f>
        <v>SWAN</v>
      </c>
      <c r="D8" s="501" t="str">
        <f>'BLM STATS'!I9</f>
        <v>H</v>
      </c>
      <c r="E8" s="501" t="str">
        <f>'BLM STATS'!J9</f>
        <v>1N 1W 23</v>
      </c>
      <c r="F8" s="501" t="str">
        <f>'BLM STATS'!K9</f>
        <v>43 24 27</v>
      </c>
      <c r="G8" s="501" t="str">
        <f>'BLM STATS'!L9</f>
        <v>116 24 51</v>
      </c>
      <c r="H8" s="508" t="str">
        <f>'BLM STATS'!C9</f>
        <v>BOD</v>
      </c>
      <c r="I8" s="201">
        <f t="shared" si="1"/>
        <v>3</v>
      </c>
      <c r="J8" s="15">
        <f>'BLM STATS'!P9</f>
        <v>3</v>
      </c>
      <c r="K8" s="16">
        <f>'BLM STATS'!Q9</f>
        <v>0</v>
      </c>
      <c r="L8" s="17">
        <f>'BLM STATS'!R9</f>
        <v>0</v>
      </c>
      <c r="M8" s="502">
        <f>'BLM STATS'!S9</f>
        <v>0</v>
      </c>
      <c r="N8" s="18">
        <f>'BLM STATS'!T9</f>
        <v>0</v>
      </c>
      <c r="O8" s="19">
        <f>'BLM STATS'!U9</f>
        <v>0</v>
      </c>
      <c r="P8" s="41">
        <f>'BLM STATS'!V9</f>
        <v>0</v>
      </c>
      <c r="Q8" s="187">
        <f>'BLM STATS'!W9</f>
        <v>0</v>
      </c>
      <c r="R8" s="76">
        <f>'BLM STATS'!X8</f>
        <v>0</v>
      </c>
      <c r="S8" s="503"/>
      <c r="T8" s="17"/>
      <c r="U8" s="501"/>
      <c r="V8" s="187"/>
      <c r="W8" s="82">
        <f>'BLM STATS'!Y9</f>
        <v>0</v>
      </c>
      <c r="X8" s="82">
        <f>'BLM STATS'!Z9</f>
        <v>0</v>
      </c>
    </row>
    <row r="9" spans="1:24" x14ac:dyDescent="0.25">
      <c r="A9" s="68">
        <f>'BLM STATS'!A10</f>
        <v>43210</v>
      </c>
      <c r="B9" s="507" t="str">
        <f>'BLM STATS'!B10</f>
        <v>LPR4</v>
      </c>
      <c r="C9" s="826" t="str">
        <f>'BLM STATS'!F10</f>
        <v>FA 2 BOD</v>
      </c>
      <c r="D9" s="501" t="str">
        <f>'BLM STATS'!I10</f>
        <v>FA</v>
      </c>
      <c r="E9" s="501" t="str">
        <f>'BLM STATS'!J10</f>
        <v>1S 4E 30</v>
      </c>
      <c r="F9" s="501" t="str">
        <f>'BLM STATS'!K10</f>
        <v xml:space="preserve">43 18 45 </v>
      </c>
      <c r="G9" s="501" t="str">
        <f>'BLM STATS'!L10</f>
        <v>116 1 41</v>
      </c>
      <c r="H9" s="508" t="str">
        <f>'BLM STATS'!C10</f>
        <v>1AX</v>
      </c>
      <c r="I9" s="201">
        <f t="shared" si="1"/>
        <v>0</v>
      </c>
      <c r="J9" s="15">
        <f>'BLM STATS'!P10</f>
        <v>0</v>
      </c>
      <c r="K9" s="16">
        <f>'BLM STATS'!Q10</f>
        <v>0</v>
      </c>
      <c r="L9" s="17">
        <f>'BLM STATS'!R10</f>
        <v>0</v>
      </c>
      <c r="M9" s="502">
        <f>'BLM STATS'!S10</f>
        <v>0</v>
      </c>
      <c r="N9" s="18">
        <f>'BLM STATS'!T10</f>
        <v>0</v>
      </c>
      <c r="O9" s="19">
        <f>'BLM STATS'!U10</f>
        <v>0</v>
      </c>
      <c r="P9" s="41">
        <f>'BLM STATS'!V10</f>
        <v>0</v>
      </c>
      <c r="Q9" s="187">
        <f>'BLM STATS'!W10</f>
        <v>0</v>
      </c>
      <c r="R9" s="76">
        <f>'BLM STATS'!X9</f>
        <v>0</v>
      </c>
      <c r="S9" s="503"/>
      <c r="T9" s="17"/>
      <c r="U9" s="501"/>
      <c r="V9" s="187"/>
      <c r="W9" s="82">
        <f>'BLM STATS'!Y10</f>
        <v>0</v>
      </c>
      <c r="X9" s="82">
        <f>'BLM STATS'!Z10</f>
        <v>0</v>
      </c>
    </row>
    <row r="10" spans="1:24" x14ac:dyDescent="0.25">
      <c r="A10" s="68">
        <f>'BLM STATS'!A11</f>
        <v>43234</v>
      </c>
      <c r="B10" s="507" t="str">
        <f>'BLM STATS'!B11</f>
        <v>LSE1</v>
      </c>
      <c r="C10" s="15" t="str">
        <f>'BLM STATS'!F11</f>
        <v>MM3 HWY67</v>
      </c>
      <c r="D10" s="501" t="str">
        <f>'BLM STATS'!I11</f>
        <v>H</v>
      </c>
      <c r="E10" s="501" t="str">
        <f>'BLM STATS'!J11</f>
        <v>4S 5E 11</v>
      </c>
      <c r="F10" s="501" t="str">
        <f>'BLM STATS'!K11</f>
        <v>43 05 48</v>
      </c>
      <c r="G10" s="501" t="str">
        <f>'BLM STATS'!L11</f>
        <v>115 49 47</v>
      </c>
      <c r="H10" s="508" t="str">
        <f>'BLM STATS'!C11</f>
        <v>BOD</v>
      </c>
      <c r="I10" s="201">
        <f t="shared" si="1"/>
        <v>14</v>
      </c>
      <c r="J10" s="15">
        <f>'BLM STATS'!P11</f>
        <v>14</v>
      </c>
      <c r="K10" s="16">
        <f>'BLM STATS'!Q11</f>
        <v>0</v>
      </c>
      <c r="L10" s="17">
        <f>'BLM STATS'!R11</f>
        <v>0</v>
      </c>
      <c r="M10" s="502">
        <f>'BLM STATS'!S11</f>
        <v>0</v>
      </c>
      <c r="N10" s="18">
        <f>'BLM STATS'!T11</f>
        <v>0</v>
      </c>
      <c r="O10" s="19">
        <f>'BLM STATS'!U11</f>
        <v>0</v>
      </c>
      <c r="P10" s="41">
        <f>'BLM STATS'!V11</f>
        <v>0</v>
      </c>
      <c r="Q10" s="187">
        <f>'BLM STATS'!W11</f>
        <v>0</v>
      </c>
      <c r="R10" s="76">
        <f>'BLM STATS'!X10</f>
        <v>0</v>
      </c>
      <c r="S10" s="503"/>
      <c r="T10" s="17"/>
      <c r="U10" s="501"/>
      <c r="V10" s="187"/>
      <c r="W10" s="82">
        <f>'BLM STATS'!Y11</f>
        <v>0</v>
      </c>
      <c r="X10" s="82">
        <f>'BLM STATS'!Z11</f>
        <v>0</v>
      </c>
    </row>
    <row r="11" spans="1:24" x14ac:dyDescent="0.25">
      <c r="A11" s="68">
        <f>'BLM STATS'!A12</f>
        <v>43235</v>
      </c>
      <c r="B11" s="507" t="str">
        <f>'BLM STATS'!B12</f>
        <v>LSM0</v>
      </c>
      <c r="C11" s="15" t="str">
        <f>'BLM STATS'!F12</f>
        <v>REYNOLDS</v>
      </c>
      <c r="D11" s="501" t="str">
        <f>'BLM STATS'!I12</f>
        <v>H</v>
      </c>
      <c r="E11" s="501" t="str">
        <f>'BLM STATS'!J12</f>
        <v>2S 3W 03</v>
      </c>
      <c r="F11" s="501" t="str">
        <f>'BLM STATS'!K12</f>
        <v>43 16 51</v>
      </c>
      <c r="G11" s="501" t="str">
        <f>'BLM STATS'!L12</f>
        <v>116 41 08</v>
      </c>
      <c r="H11" s="508" t="str">
        <f>'BLM STATS'!C12</f>
        <v>BOD</v>
      </c>
      <c r="I11" s="201">
        <f t="shared" si="1"/>
        <v>0.1</v>
      </c>
      <c r="J11" s="15">
        <f>'BLM STATS'!P12</f>
        <v>0.1</v>
      </c>
      <c r="K11" s="16">
        <f>'BLM STATS'!Q12</f>
        <v>0</v>
      </c>
      <c r="L11" s="17">
        <f>'BLM STATS'!R12</f>
        <v>0</v>
      </c>
      <c r="M11" s="502">
        <f>'BLM STATS'!S12</f>
        <v>0</v>
      </c>
      <c r="N11" s="18">
        <f>'BLM STATS'!T12</f>
        <v>0</v>
      </c>
      <c r="O11" s="19">
        <f>'BLM STATS'!U12</f>
        <v>0</v>
      </c>
      <c r="P11" s="41">
        <f>'BLM STATS'!V12</f>
        <v>0</v>
      </c>
      <c r="Q11" s="187">
        <f>'BLM STATS'!W12</f>
        <v>0</v>
      </c>
      <c r="R11" s="76">
        <f>'BLM STATS'!X11</f>
        <v>0</v>
      </c>
      <c r="S11" s="503"/>
      <c r="T11" s="17"/>
      <c r="U11" s="501"/>
      <c r="V11" s="187"/>
      <c r="W11" s="82">
        <f>'BLM STATS'!Y12</f>
        <v>0</v>
      </c>
      <c r="X11" s="82">
        <f>'BLM STATS'!Z12</f>
        <v>0</v>
      </c>
    </row>
    <row r="12" spans="1:24" x14ac:dyDescent="0.25">
      <c r="A12" s="68">
        <f>'BLM STATS'!A13</f>
        <v>43239</v>
      </c>
      <c r="B12" s="507" t="str">
        <f>'BLM STATS'!B13</f>
        <v>LS2K</v>
      </c>
      <c r="C12" s="15" t="str">
        <f>'BLM STATS'!F13</f>
        <v>HARTLEY</v>
      </c>
      <c r="D12" s="501" t="str">
        <f>'BLM STATS'!I13</f>
        <v>H</v>
      </c>
      <c r="E12" s="501" t="str">
        <f>'BLM STATS'!J13</f>
        <v>6N 2W 29</v>
      </c>
      <c r="F12" s="501" t="str">
        <f>'BLM STATS'!K13</f>
        <v>43 49 56</v>
      </c>
      <c r="G12" s="501" t="str">
        <f>'BLM STATS'!L13</f>
        <v>116 35 56</v>
      </c>
      <c r="H12" s="508" t="str">
        <f>'BLM STATS'!C13</f>
        <v>BOD</v>
      </c>
      <c r="I12" s="201">
        <f t="shared" si="1"/>
        <v>100</v>
      </c>
      <c r="J12" s="15">
        <f>'BLM STATS'!P13</f>
        <v>100</v>
      </c>
      <c r="K12" s="16">
        <f>'BLM STATS'!Q13</f>
        <v>0</v>
      </c>
      <c r="L12" s="17">
        <f>'BLM STATS'!R13</f>
        <v>0</v>
      </c>
      <c r="M12" s="502">
        <f>'BLM STATS'!S13</f>
        <v>0</v>
      </c>
      <c r="N12" s="18">
        <f>'BLM STATS'!T13</f>
        <v>0</v>
      </c>
      <c r="O12" s="19">
        <f>'BLM STATS'!U13</f>
        <v>0</v>
      </c>
      <c r="P12" s="41">
        <f>'BLM STATS'!V13</f>
        <v>0</v>
      </c>
      <c r="Q12" s="187">
        <f>'BLM STATS'!W13</f>
        <v>0</v>
      </c>
      <c r="R12" s="76">
        <f>'BLM STATS'!X12</f>
        <v>0</v>
      </c>
      <c r="S12" s="503"/>
      <c r="T12" s="17"/>
      <c r="U12" s="501"/>
      <c r="V12" s="187"/>
      <c r="W12" s="82">
        <f>'BLM STATS'!Y13</f>
        <v>0</v>
      </c>
      <c r="X12" s="82">
        <f>'BLM STATS'!Z13</f>
        <v>0</v>
      </c>
    </row>
    <row r="13" spans="1:24" x14ac:dyDescent="0.25">
      <c r="A13" s="68">
        <f>'BLM STATS'!A15</f>
        <v>43253</v>
      </c>
      <c r="B13" s="507" t="str">
        <f>'BLM STATS'!B15</f>
        <v>LT61</v>
      </c>
      <c r="C13" s="846" t="str">
        <f>'BLM STATS'!F15</f>
        <v>FA 3 BOD</v>
      </c>
      <c r="D13" s="501" t="str">
        <f>'BLM STATS'!I15</f>
        <v>FA</v>
      </c>
      <c r="E13" s="501" t="str">
        <f>'BLM STATS'!J15</f>
        <v>2S 4E 29</v>
      </c>
      <c r="F13" s="501" t="str">
        <f>'BLM STATS'!K15</f>
        <v>43 13 8</v>
      </c>
      <c r="G13" s="501" t="str">
        <f>'BLM STATS'!L15</f>
        <v>116 0 27</v>
      </c>
      <c r="H13" s="508" t="str">
        <f>'BLM STATS'!C15</f>
        <v>1AX</v>
      </c>
      <c r="I13" s="201">
        <f>SUM(J13:X13)</f>
        <v>0</v>
      </c>
      <c r="J13" s="15">
        <f>'BLM STATS'!P15</f>
        <v>0</v>
      </c>
      <c r="K13" s="16">
        <f>'BLM STATS'!Q15</f>
        <v>0</v>
      </c>
      <c r="L13" s="17">
        <f>'BLM STATS'!R15</f>
        <v>0</v>
      </c>
      <c r="M13" s="502">
        <f>'BLM STATS'!S15</f>
        <v>0</v>
      </c>
      <c r="N13" s="18">
        <f>'BLM STATS'!T15</f>
        <v>0</v>
      </c>
      <c r="O13" s="19">
        <f>'BLM STATS'!U15</f>
        <v>0</v>
      </c>
      <c r="P13" s="41">
        <f>'BLM STATS'!V15</f>
        <v>0</v>
      </c>
      <c r="Q13" s="187">
        <f>'BLM STATS'!W15</f>
        <v>0</v>
      </c>
      <c r="R13" s="76">
        <f>'BLM STATS'!X13</f>
        <v>0</v>
      </c>
      <c r="S13" s="503"/>
      <c r="T13" s="17"/>
      <c r="U13" s="501"/>
      <c r="V13" s="187"/>
      <c r="W13" s="82">
        <f>'BLM STATS'!Y15</f>
        <v>0</v>
      </c>
      <c r="X13" s="82">
        <f>'BLM STATS'!Z15</f>
        <v>0</v>
      </c>
    </row>
    <row r="14" spans="1:24" x14ac:dyDescent="0.25">
      <c r="A14" s="68">
        <f>'BLM STATS'!A16</f>
        <v>43253</v>
      </c>
      <c r="B14" s="507" t="str">
        <f>'BLM STATS'!B16</f>
        <v>LT7B</v>
      </c>
      <c r="C14" s="846" t="str">
        <f>'BLM STATS'!F16</f>
        <v>FA 4 BOD</v>
      </c>
      <c r="D14" s="501" t="str">
        <f>'BLM STATS'!I16</f>
        <v>FA</v>
      </c>
      <c r="E14" s="501" t="str">
        <f>'BLM STATS'!J16</f>
        <v>5S 5E 30</v>
      </c>
      <c r="F14" s="501" t="str">
        <f>'BLM STATS'!K16</f>
        <v xml:space="preserve">42 57 45 </v>
      </c>
      <c r="G14" s="501" t="str">
        <f>'BLM STATS'!L16</f>
        <v>115 54 20</v>
      </c>
      <c r="H14" s="508" t="str">
        <f>'BLM STATS'!C16</f>
        <v>OWX</v>
      </c>
      <c r="I14" s="201">
        <f t="shared" si="1"/>
        <v>0</v>
      </c>
      <c r="J14" s="15">
        <f>'BLM STATS'!P16</f>
        <v>0</v>
      </c>
      <c r="K14" s="16">
        <f>'BLM STATS'!Q16</f>
        <v>0</v>
      </c>
      <c r="L14" s="17">
        <f>'BLM STATS'!R16</f>
        <v>0</v>
      </c>
      <c r="M14" s="502">
        <f>'BLM STATS'!S16</f>
        <v>0</v>
      </c>
      <c r="N14" s="18">
        <f>'BLM STATS'!T16</f>
        <v>0</v>
      </c>
      <c r="O14" s="19">
        <f>'BLM STATS'!U16</f>
        <v>0</v>
      </c>
      <c r="P14" s="41">
        <f>'BLM STATS'!V16</f>
        <v>0</v>
      </c>
      <c r="Q14" s="187">
        <f>'BLM STATS'!W16</f>
        <v>0</v>
      </c>
      <c r="R14" s="76">
        <f>'BLM STATS'!X14</f>
        <v>0</v>
      </c>
      <c r="S14" s="503"/>
      <c r="T14" s="17"/>
      <c r="U14" s="501"/>
      <c r="V14" s="187"/>
      <c r="W14" s="82">
        <f>'BLM STATS'!Y16</f>
        <v>0</v>
      </c>
      <c r="X14" s="82">
        <f>'BLM STATS'!Z16</f>
        <v>0</v>
      </c>
    </row>
    <row r="15" spans="1:24" x14ac:dyDescent="0.25">
      <c r="A15" s="68">
        <f>'BLM STATS'!A17</f>
        <v>43254</v>
      </c>
      <c r="B15" s="507" t="str">
        <f>'BLM STATS'!B17</f>
        <v>LT8Y</v>
      </c>
      <c r="C15" s="15" t="str">
        <f>'BLM STATS'!F17</f>
        <v>MM69 I84</v>
      </c>
      <c r="D15" s="501" t="str">
        <f>'BLM STATS'!I17</f>
        <v>H</v>
      </c>
      <c r="E15" s="501" t="str">
        <f>'BLM STATS'!J17</f>
        <v>1N 4E 19</v>
      </c>
      <c r="F15" s="501" t="str">
        <f>'BLM STATS'!K17</f>
        <v>43 24 20</v>
      </c>
      <c r="G15" s="501" t="str">
        <f>'BLM STATS'!L17</f>
        <v>116 01 08</v>
      </c>
      <c r="H15" s="508" t="str">
        <f>'BLM STATS'!C17</f>
        <v>BOD</v>
      </c>
      <c r="I15" s="201">
        <f t="shared" si="1"/>
        <v>2</v>
      </c>
      <c r="J15" s="15">
        <f>'BLM STATS'!P17</f>
        <v>2</v>
      </c>
      <c r="K15" s="16">
        <f>'BLM STATS'!Q17</f>
        <v>0</v>
      </c>
      <c r="L15" s="17">
        <f>'BLM STATS'!R17</f>
        <v>0</v>
      </c>
      <c r="M15" s="502">
        <f>'BLM STATS'!S17</f>
        <v>0</v>
      </c>
      <c r="N15" s="18">
        <f>'BLM STATS'!T17</f>
        <v>0</v>
      </c>
      <c r="O15" s="19">
        <f>'BLM STATS'!U17</f>
        <v>0</v>
      </c>
      <c r="P15" s="41">
        <f>'BLM STATS'!V17</f>
        <v>0</v>
      </c>
      <c r="Q15" s="187">
        <f>'BLM STATS'!W17</f>
        <v>0</v>
      </c>
      <c r="R15" s="76">
        <f>'BLM STATS'!X15</f>
        <v>0</v>
      </c>
      <c r="S15" s="503"/>
      <c r="T15" s="17"/>
      <c r="U15" s="501"/>
      <c r="V15" s="187"/>
      <c r="W15" s="82">
        <f>'BLM STATS'!Y17</f>
        <v>0</v>
      </c>
      <c r="X15" s="82">
        <f>'BLM STATS'!Z17</f>
        <v>0</v>
      </c>
    </row>
    <row r="16" spans="1:24" x14ac:dyDescent="0.25">
      <c r="A16" s="68">
        <f>'BLM STATS'!A18</f>
        <v>43255</v>
      </c>
      <c r="B16" s="369" t="str">
        <f>'BLM STATS'!B18</f>
        <v>LUJ0</v>
      </c>
      <c r="C16" s="15" t="str">
        <f>'BLM STATS'!F18</f>
        <v>MM105 I84</v>
      </c>
      <c r="D16" s="501" t="str">
        <f>'BLM STATS'!I18</f>
        <v>H</v>
      </c>
      <c r="E16" s="501" t="str">
        <f>'BLM STATS'!J18</f>
        <v>5S 8E 6</v>
      </c>
      <c r="F16" s="501" t="str">
        <f>'BLM STATS'!K18</f>
        <v>43 01 11</v>
      </c>
      <c r="G16" s="501" t="str">
        <f>'BLM STATS'!L18</f>
        <v>115 33 18</v>
      </c>
      <c r="H16" s="508" t="str">
        <f>'BLM STATS'!C18</f>
        <v>BOD</v>
      </c>
      <c r="I16" s="201">
        <f t="shared" si="1"/>
        <v>0.1</v>
      </c>
      <c r="J16" s="15">
        <f>'BLM STATS'!P18</f>
        <v>0.1</v>
      </c>
      <c r="K16" s="16">
        <f>'BLM STATS'!Q18</f>
        <v>0</v>
      </c>
      <c r="L16" s="17">
        <f>'BLM STATS'!R18</f>
        <v>0</v>
      </c>
      <c r="M16" s="502">
        <f>'BLM STATS'!S18</f>
        <v>0</v>
      </c>
      <c r="N16" s="18">
        <f>'BLM STATS'!T18</f>
        <v>0</v>
      </c>
      <c r="O16" s="19">
        <f>'BLM STATS'!U18</f>
        <v>0</v>
      </c>
      <c r="P16" s="41">
        <f>'BLM STATS'!V18</f>
        <v>0</v>
      </c>
      <c r="Q16" s="187">
        <f>'BLM STATS'!W18</f>
        <v>0</v>
      </c>
      <c r="R16" s="76">
        <f>'BLM STATS'!X16</f>
        <v>0</v>
      </c>
      <c r="S16" s="503"/>
      <c r="T16" s="17"/>
      <c r="U16" s="501"/>
      <c r="V16" s="187"/>
      <c r="W16" s="82">
        <f>'BLM STATS'!Y18</f>
        <v>0</v>
      </c>
      <c r="X16" s="82">
        <f>'BLM STATS'!Z18</f>
        <v>0</v>
      </c>
    </row>
    <row r="17" spans="1:24" x14ac:dyDescent="0.25">
      <c r="A17" s="68">
        <f>'BLM STATS'!A20</f>
        <v>43256</v>
      </c>
      <c r="B17" s="507" t="str">
        <f>'BLM STATS'!B20</f>
        <v>LUQ6</v>
      </c>
      <c r="C17" s="15" t="str">
        <f>'BLM STATS'!F20</f>
        <v>SOMMER</v>
      </c>
      <c r="D17" s="501" t="str">
        <f>'BLM STATS'!I20</f>
        <v>H</v>
      </c>
      <c r="E17" s="501" t="str">
        <f>'BLM STATS'!J20</f>
        <v>1N 4W 05</v>
      </c>
      <c r="F17" s="501" t="str">
        <f>'BLM STATS'!K20</f>
        <v>43 26 53</v>
      </c>
      <c r="G17" s="501" t="str">
        <f>'BLM STATS'!L20</f>
        <v>116 50 52</v>
      </c>
      <c r="H17" s="508" t="str">
        <f>'BLM STATS'!C20</f>
        <v>BOD</v>
      </c>
      <c r="I17" s="201">
        <f t="shared" si="1"/>
        <v>209</v>
      </c>
      <c r="J17" s="15">
        <f>'BLM STATS'!P20</f>
        <v>209</v>
      </c>
      <c r="K17" s="16">
        <f>'BLM STATS'!Q20</f>
        <v>0</v>
      </c>
      <c r="L17" s="17">
        <f>'BLM STATS'!R20</f>
        <v>0</v>
      </c>
      <c r="M17" s="502">
        <f>'BLM STATS'!S20</f>
        <v>0</v>
      </c>
      <c r="N17" s="18">
        <f>'BLM STATS'!T20</f>
        <v>0</v>
      </c>
      <c r="O17" s="19">
        <f>'BLM STATS'!U20</f>
        <v>0</v>
      </c>
      <c r="P17" s="41">
        <f>'BLM STATS'!V20</f>
        <v>0</v>
      </c>
      <c r="Q17" s="187">
        <f>'BLM STATS'!W20</f>
        <v>0</v>
      </c>
      <c r="R17" s="76">
        <f>'BLM STATS'!X17</f>
        <v>0</v>
      </c>
      <c r="S17" s="503"/>
      <c r="T17" s="17"/>
      <c r="U17" s="501"/>
      <c r="V17" s="187"/>
      <c r="W17" s="82">
        <f>'BLM STATS'!Y20</f>
        <v>0</v>
      </c>
      <c r="X17" s="82">
        <f>'BLM STATS'!Z20</f>
        <v>0</v>
      </c>
    </row>
    <row r="18" spans="1:24" x14ac:dyDescent="0.25">
      <c r="A18" s="68">
        <f>'BLM STATS'!A21</f>
        <v>43256</v>
      </c>
      <c r="B18" s="507" t="str">
        <f>'BLM STATS'!B21</f>
        <v>LUS1</v>
      </c>
      <c r="C18" s="15" t="str">
        <f>'BLM STATS'!F21</f>
        <v>BAJA</v>
      </c>
      <c r="D18" s="501" t="str">
        <f>'BLM STATS'!I21</f>
        <v>H</v>
      </c>
      <c r="E18" s="501" t="str">
        <f>'BLM STATS'!J21</f>
        <v>3S 3E 31</v>
      </c>
      <c r="F18" s="501" t="str">
        <f>'BLM STATS'!K21</f>
        <v>43 07 03</v>
      </c>
      <c r="G18" s="501" t="str">
        <f>'BLM STATS'!L21</f>
        <v>116 08 20</v>
      </c>
      <c r="H18" s="508" t="str">
        <f>'BLM STATS'!C21</f>
        <v>BOD</v>
      </c>
      <c r="I18" s="201">
        <f t="shared" si="1"/>
        <v>192</v>
      </c>
      <c r="J18" s="15">
        <f>'BLM STATS'!P21</f>
        <v>192</v>
      </c>
      <c r="K18" s="16">
        <f>'BLM STATS'!Q21</f>
        <v>0</v>
      </c>
      <c r="L18" s="17">
        <f>'BLM STATS'!R21</f>
        <v>0</v>
      </c>
      <c r="M18" s="502">
        <f>'BLM STATS'!S21</f>
        <v>0</v>
      </c>
      <c r="N18" s="18">
        <f>'BLM STATS'!T21</f>
        <v>0</v>
      </c>
      <c r="O18" s="19">
        <f>'BLM STATS'!U21</f>
        <v>0</v>
      </c>
      <c r="P18" s="41">
        <f>'BLM STATS'!V21</f>
        <v>0</v>
      </c>
      <c r="Q18" s="187">
        <f>'BLM STATS'!W21</f>
        <v>0</v>
      </c>
      <c r="R18" s="76">
        <f>'BLM STATS'!X18</f>
        <v>0</v>
      </c>
      <c r="S18" s="503"/>
      <c r="T18" s="17"/>
      <c r="U18" s="501"/>
      <c r="V18" s="187"/>
      <c r="W18" s="82">
        <f>'BLM STATS'!Y21</f>
        <v>0</v>
      </c>
      <c r="X18" s="82">
        <f>'BLM STATS'!Z21</f>
        <v>0</v>
      </c>
    </row>
    <row r="19" spans="1:24" x14ac:dyDescent="0.25">
      <c r="A19" s="68">
        <f>'BLM STATS'!A22</f>
        <v>43256</v>
      </c>
      <c r="B19" s="507" t="str">
        <f>'BLM STATS'!B22</f>
        <v>LUT8</v>
      </c>
      <c r="C19" s="15" t="str">
        <f>'BLM STATS'!F22</f>
        <v>MM28 HWY78</v>
      </c>
      <c r="D19" s="501" t="str">
        <f>'BLM STATS'!I22</f>
        <v>H</v>
      </c>
      <c r="E19" s="501" t="str">
        <f>'BLM STATS'!J22</f>
        <v>2S 2W 15</v>
      </c>
      <c r="F19" s="501" t="str">
        <f>'BLM STATS'!K22</f>
        <v>43 14 41</v>
      </c>
      <c r="G19" s="501" t="str">
        <f>'BLM STATS'!L22</f>
        <v>116 33 41</v>
      </c>
      <c r="H19" s="508" t="str">
        <f>'BLM STATS'!C22</f>
        <v>BOD</v>
      </c>
      <c r="I19" s="201">
        <f t="shared" si="1"/>
        <v>43</v>
      </c>
      <c r="J19" s="15">
        <f>'BLM STATS'!P22</f>
        <v>43</v>
      </c>
      <c r="K19" s="16">
        <f>'BLM STATS'!Q22</f>
        <v>0</v>
      </c>
      <c r="L19" s="17">
        <f>'BLM STATS'!R22</f>
        <v>0</v>
      </c>
      <c r="M19" s="502">
        <f>'BLM STATS'!S22</f>
        <v>0</v>
      </c>
      <c r="N19" s="18">
        <f>'BLM STATS'!T22</f>
        <v>0</v>
      </c>
      <c r="O19" s="19">
        <f>'BLM STATS'!U22</f>
        <v>0</v>
      </c>
      <c r="P19" s="41">
        <f>'BLM STATS'!V22</f>
        <v>0</v>
      </c>
      <c r="Q19" s="187">
        <f>'BLM STATS'!W22</f>
        <v>0</v>
      </c>
      <c r="R19" s="76">
        <f>'BLM STATS'!X19</f>
        <v>0</v>
      </c>
      <c r="S19" s="503"/>
      <c r="T19" s="17"/>
      <c r="U19" s="501"/>
      <c r="V19" s="187"/>
      <c r="W19" s="82">
        <f>'BLM STATS'!Y22</f>
        <v>0</v>
      </c>
      <c r="X19" s="82">
        <f>'BLM STATS'!Z22</f>
        <v>0</v>
      </c>
    </row>
    <row r="20" spans="1:24" x14ac:dyDescent="0.25">
      <c r="A20" s="68">
        <f>'BLM STATS'!A23</f>
        <v>43259</v>
      </c>
      <c r="B20" s="507" t="str">
        <f>'BLM STATS'!B23</f>
        <v>LU38</v>
      </c>
      <c r="C20" s="15" t="str">
        <f>'BLM STATS'!F23</f>
        <v>MM113  I84</v>
      </c>
      <c r="D20" s="501" t="str">
        <f>'BLM STATS'!I23</f>
        <v>H</v>
      </c>
      <c r="E20" s="501" t="str">
        <f>'BLM STATS'!J23</f>
        <v>5S 9E 31</v>
      </c>
      <c r="F20" s="501" t="str">
        <f>'BLM STATS'!K23</f>
        <v>42 57 10</v>
      </c>
      <c r="G20" s="501" t="str">
        <f>'BLM STATS'!L23</f>
        <v>115 26 18</v>
      </c>
      <c r="H20" s="508" t="str">
        <f>'BLM STATS'!C23</f>
        <v>BOD</v>
      </c>
      <c r="I20" s="201">
        <f t="shared" si="1"/>
        <v>3</v>
      </c>
      <c r="J20" s="15">
        <f>'BLM STATS'!P23</f>
        <v>3</v>
      </c>
      <c r="K20" s="16">
        <f>'BLM STATS'!Q23</f>
        <v>0</v>
      </c>
      <c r="L20" s="17">
        <f>'BLM STATS'!R23</f>
        <v>0</v>
      </c>
      <c r="M20" s="876">
        <f>'BLM STATS'!S23</f>
        <v>0</v>
      </c>
      <c r="N20" s="18">
        <f>'BLM STATS'!T23</f>
        <v>0</v>
      </c>
      <c r="O20" s="19">
        <f>'BLM STATS'!U23</f>
        <v>0</v>
      </c>
      <c r="P20" s="41">
        <f>'BLM STATS'!V23</f>
        <v>0</v>
      </c>
      <c r="Q20" s="187">
        <f>'BLM STATS'!W23</f>
        <v>0</v>
      </c>
      <c r="R20" s="76">
        <f>'BLM STATS'!X20</f>
        <v>0</v>
      </c>
      <c r="S20" s="503"/>
      <c r="T20" s="17"/>
      <c r="U20" s="501"/>
      <c r="V20" s="187"/>
      <c r="W20" s="82">
        <f>'BLM STATS'!Y23</f>
        <v>0</v>
      </c>
      <c r="X20" s="82">
        <f>'BLM STATS'!Z23</f>
        <v>0</v>
      </c>
    </row>
    <row r="21" spans="1:24" x14ac:dyDescent="0.25">
      <c r="A21" s="68">
        <f>'BLM STATS'!A24</f>
        <v>43259</v>
      </c>
      <c r="B21" s="507" t="str">
        <f>'BLM STATS'!B24</f>
        <v>LU4R</v>
      </c>
      <c r="C21" s="15" t="str">
        <f>'BLM STATS'!F24</f>
        <v>MM66 I84</v>
      </c>
      <c r="D21" s="501" t="str">
        <f>'BLM STATS'!I24</f>
        <v>H</v>
      </c>
      <c r="E21" s="501" t="str">
        <f>'BLM STATS'!J24</f>
        <v>1N 3E 11</v>
      </c>
      <c r="F21" s="501" t="str">
        <f>'BLM STATS'!K24</f>
        <v>43 26 28</v>
      </c>
      <c r="G21" s="501" t="str">
        <f>'BLM STATS'!L24</f>
        <v>116 04 06</v>
      </c>
      <c r="H21" s="508" t="str">
        <f>'BLM STATS'!C24</f>
        <v>1AX</v>
      </c>
      <c r="I21" s="201">
        <f t="shared" si="1"/>
        <v>1</v>
      </c>
      <c r="J21" s="15">
        <f>'BLM STATS'!P24</f>
        <v>0</v>
      </c>
      <c r="K21" s="16">
        <f>'BLM STATS'!Q24</f>
        <v>0</v>
      </c>
      <c r="L21" s="17">
        <f>'BLM STATS'!R24</f>
        <v>0</v>
      </c>
      <c r="M21" s="502">
        <f>'BLM STATS'!S24</f>
        <v>1</v>
      </c>
      <c r="N21" s="18">
        <f>'BLM STATS'!T24</f>
        <v>0</v>
      </c>
      <c r="O21" s="19">
        <f>'BLM STATS'!U24</f>
        <v>0</v>
      </c>
      <c r="P21" s="41">
        <f>'BLM STATS'!V24</f>
        <v>0</v>
      </c>
      <c r="Q21" s="187">
        <f>'BLM STATS'!W24</f>
        <v>0</v>
      </c>
      <c r="R21" s="76">
        <f>'BLM STATS'!X21</f>
        <v>0</v>
      </c>
      <c r="S21" s="503"/>
      <c r="T21" s="17"/>
      <c r="U21" s="501"/>
      <c r="V21" s="187"/>
      <c r="W21" s="82">
        <f>'BLM STATS'!Y24</f>
        <v>0</v>
      </c>
      <c r="X21" s="82">
        <f>'BLM STATS'!Z24</f>
        <v>0</v>
      </c>
    </row>
    <row r="22" spans="1:24" x14ac:dyDescent="0.25">
      <c r="A22" s="68">
        <f>'BLM STATS'!A25</f>
        <v>43259</v>
      </c>
      <c r="B22" s="507" t="str">
        <f>'BLM STATS'!B25</f>
        <v>LU4W</v>
      </c>
      <c r="C22" s="84" t="str">
        <f>'BLM STATS'!F25</f>
        <v>RA 1 ELMORE CO</v>
      </c>
      <c r="D22" s="501" t="str">
        <f>'BLM STATS'!I25</f>
        <v>RFD</v>
      </c>
      <c r="E22" s="501" t="str">
        <f>'BLM STATS'!J25</f>
        <v>5S 9E 29</v>
      </c>
      <c r="F22" s="501" t="str">
        <f>'BLM STATS'!K25</f>
        <v>42 57 43</v>
      </c>
      <c r="G22" s="501" t="str">
        <f>'BLM STATS'!L25</f>
        <v>115 24 53</v>
      </c>
      <c r="H22" s="508" t="str">
        <f>'BLM STATS'!C25</f>
        <v>ELX</v>
      </c>
      <c r="I22" s="201">
        <f t="shared" si="1"/>
        <v>0.5</v>
      </c>
      <c r="J22" s="15">
        <f>'BLM STATS'!P25</f>
        <v>0</v>
      </c>
      <c r="K22" s="16">
        <f>'BLM STATS'!Q25</f>
        <v>0</v>
      </c>
      <c r="L22" s="17">
        <f>'BLM STATS'!R25</f>
        <v>0</v>
      </c>
      <c r="M22" s="502">
        <f>'BLM STATS'!S25</f>
        <v>0</v>
      </c>
      <c r="N22" s="18">
        <f>'BLM STATS'!T25</f>
        <v>0</v>
      </c>
      <c r="O22" s="19">
        <f>'BLM STATS'!U25</f>
        <v>0</v>
      </c>
      <c r="P22" s="41">
        <f>'BLM STATS'!V25</f>
        <v>0</v>
      </c>
      <c r="Q22" s="187">
        <f>'BLM STATS'!W25</f>
        <v>0</v>
      </c>
      <c r="R22" s="76">
        <f>'BLM STATS'!X22</f>
        <v>0</v>
      </c>
      <c r="S22" s="503"/>
      <c r="T22" s="17"/>
      <c r="U22" s="501"/>
      <c r="V22" s="187"/>
      <c r="W22" s="82">
        <f>'BLM STATS'!Y25</f>
        <v>0.5</v>
      </c>
      <c r="X22" s="82">
        <f>'BLM STATS'!Z25</f>
        <v>0</v>
      </c>
    </row>
    <row r="23" spans="1:24" x14ac:dyDescent="0.25">
      <c r="A23" s="68">
        <f>'BLM STATS'!A26</f>
        <v>43259</v>
      </c>
      <c r="B23" s="507" t="str">
        <f>'BLM STATS'!B26</f>
        <v>LU4S</v>
      </c>
      <c r="C23" s="15" t="str">
        <f>'BLM STATS'!F26</f>
        <v>CHRISTMAS</v>
      </c>
      <c r="D23" s="501" t="str">
        <f>'BLM STATS'!I26</f>
        <v>H</v>
      </c>
      <c r="E23" s="501" t="str">
        <f>'BLM STATS'!J26</f>
        <v xml:space="preserve">1S 2E 22 </v>
      </c>
      <c r="F23" s="501" t="str">
        <f>'BLM STATS'!K26</f>
        <v>43 18 53</v>
      </c>
      <c r="G23" s="501" t="str">
        <f>'BLM STATS'!L26</f>
        <v>116 12 24</v>
      </c>
      <c r="H23" s="508" t="str">
        <f>'BLM STATS'!C26</f>
        <v>BOD</v>
      </c>
      <c r="I23" s="201">
        <f t="shared" si="1"/>
        <v>40</v>
      </c>
      <c r="J23" s="15">
        <f>'BLM STATS'!P26</f>
        <v>40</v>
      </c>
      <c r="K23" s="16">
        <f>'BLM STATS'!Q26</f>
        <v>0</v>
      </c>
      <c r="L23" s="17">
        <f>'BLM STATS'!R26</f>
        <v>0</v>
      </c>
      <c r="M23" s="502">
        <f>'BLM STATS'!S26</f>
        <v>0</v>
      </c>
      <c r="N23" s="18">
        <f>'BLM STATS'!T26</f>
        <v>0</v>
      </c>
      <c r="O23" s="19">
        <f>'BLM STATS'!U26</f>
        <v>0</v>
      </c>
      <c r="P23" s="41">
        <f>'BLM STATS'!V26</f>
        <v>0</v>
      </c>
      <c r="Q23" s="187">
        <f>'BLM STATS'!W26</f>
        <v>0</v>
      </c>
      <c r="R23" s="76">
        <f>'BLM STATS'!X23</f>
        <v>0</v>
      </c>
      <c r="S23" s="503"/>
      <c r="T23" s="17"/>
      <c r="U23" s="501"/>
      <c r="V23" s="187"/>
      <c r="W23" s="82">
        <f>'BLM STATS'!Y26</f>
        <v>0</v>
      </c>
      <c r="X23" s="82">
        <f>'BLM STATS'!Z26</f>
        <v>0</v>
      </c>
    </row>
    <row r="24" spans="1:24" x14ac:dyDescent="0.25">
      <c r="A24" s="68">
        <f>'BLM STATS'!A27</f>
        <v>43259</v>
      </c>
      <c r="B24" s="507" t="str">
        <f>'BLM STATS'!B27</f>
        <v>LU4Z</v>
      </c>
      <c r="C24" s="15" t="str">
        <f>'BLM STATS'!F27</f>
        <v>CHRISTMAS 2</v>
      </c>
      <c r="D24" s="501" t="str">
        <f>'BLM STATS'!I27</f>
        <v>H</v>
      </c>
      <c r="E24" s="501" t="str">
        <f>'BLM STATS'!J27</f>
        <v>1S 2E 22</v>
      </c>
      <c r="F24" s="501" t="str">
        <f>'BLM STATS'!K27</f>
        <v>43 18 53</v>
      </c>
      <c r="G24" s="501" t="str">
        <f>'BLM STATS'!L27</f>
        <v>116 12 27</v>
      </c>
      <c r="H24" s="508" t="str">
        <f>'BLM STATS'!C27</f>
        <v>BOD</v>
      </c>
      <c r="I24" s="201">
        <f t="shared" si="1"/>
        <v>24</v>
      </c>
      <c r="J24" s="15">
        <f>'BLM STATS'!P27</f>
        <v>24</v>
      </c>
      <c r="K24" s="16">
        <f>'BLM STATS'!Q27</f>
        <v>0</v>
      </c>
      <c r="L24" s="17">
        <f>'BLM STATS'!R27</f>
        <v>0</v>
      </c>
      <c r="M24" s="502">
        <f>'BLM STATS'!S27</f>
        <v>0</v>
      </c>
      <c r="N24" s="18">
        <f>'BLM STATS'!T27</f>
        <v>0</v>
      </c>
      <c r="O24" s="19">
        <f>'BLM STATS'!U27</f>
        <v>0</v>
      </c>
      <c r="P24" s="41">
        <f>'BLM STATS'!V27</f>
        <v>0</v>
      </c>
      <c r="Q24" s="187">
        <f>'BLM STATS'!W27</f>
        <v>0</v>
      </c>
      <c r="R24" s="76">
        <f>'BLM STATS'!X24</f>
        <v>0</v>
      </c>
      <c r="S24" s="503"/>
      <c r="T24" s="17"/>
      <c r="U24" s="501"/>
      <c r="V24" s="187"/>
      <c r="W24" s="82">
        <f>'BLM STATS'!Y27</f>
        <v>0</v>
      </c>
      <c r="X24" s="82">
        <f>'BLM STATS'!Z27</f>
        <v>0</v>
      </c>
    </row>
    <row r="25" spans="1:24" x14ac:dyDescent="0.25">
      <c r="A25" s="68">
        <f>'BLM STATS'!A28</f>
        <v>43263</v>
      </c>
      <c r="B25" s="507" t="str">
        <f>'BLM STATS'!B28</f>
        <v>LVG2</v>
      </c>
      <c r="C25" s="15" t="str">
        <f>'BLM STATS'!F28</f>
        <v>WEST SIM</v>
      </c>
      <c r="D25" s="877" t="str">
        <f>'BLM STATS'!I28</f>
        <v>H</v>
      </c>
      <c r="E25" s="877" t="str">
        <f>'BLM STATS'!J28</f>
        <v>3S 4E 28</v>
      </c>
      <c r="F25" s="877" t="str">
        <f>'BLM STATS'!K28</f>
        <v>43 08 25</v>
      </c>
      <c r="G25" s="877" t="str">
        <f>'BLM STATS'!L28</f>
        <v>115 58 50</v>
      </c>
      <c r="H25" s="508" t="str">
        <f>'BLM STATS'!C28</f>
        <v>BOD</v>
      </c>
      <c r="I25" s="201">
        <f t="shared" ref="I25:I30" si="2">SUM(J25:X25)</f>
        <v>5</v>
      </c>
      <c r="J25" s="15">
        <f>'BLM STATS'!P28</f>
        <v>5</v>
      </c>
      <c r="K25" s="16">
        <f>'BLM STATS'!Q28</f>
        <v>0</v>
      </c>
      <c r="L25" s="17">
        <f>'BLM STATS'!R28</f>
        <v>0</v>
      </c>
      <c r="M25" s="876">
        <f>'BLM STATS'!S28</f>
        <v>0</v>
      </c>
      <c r="N25" s="18">
        <f>'BLM STATS'!T28</f>
        <v>0</v>
      </c>
      <c r="O25" s="19">
        <f>'BLM STATS'!U28</f>
        <v>0</v>
      </c>
      <c r="P25" s="41">
        <f>'BLM STATS'!V28</f>
        <v>0</v>
      </c>
      <c r="Q25" s="187">
        <f>'BLM STATS'!W28</f>
        <v>0</v>
      </c>
      <c r="R25" s="76">
        <f>'BLM STATS'!X25</f>
        <v>0</v>
      </c>
      <c r="S25" s="878"/>
      <c r="T25" s="17"/>
      <c r="U25" s="877"/>
      <c r="V25" s="187"/>
      <c r="W25" s="82">
        <f>'BLM STATS'!Y28</f>
        <v>0</v>
      </c>
      <c r="X25" s="82">
        <f>'BLM STATS'!Z28</f>
        <v>0</v>
      </c>
    </row>
    <row r="26" spans="1:24" x14ac:dyDescent="0.25">
      <c r="A26" s="68">
        <f>'BLM STATS'!A29</f>
        <v>43264</v>
      </c>
      <c r="B26" s="507" t="str">
        <f>'BLM STATS'!B29</f>
        <v>LVN1</v>
      </c>
      <c r="C26" s="15" t="str">
        <f>'BLM STATS'!F29</f>
        <v>FA 5 BOD</v>
      </c>
      <c r="D26" s="877" t="str">
        <f>'BLM STATS'!I29</f>
        <v>FA</v>
      </c>
      <c r="E26" s="877" t="str">
        <f>'BLM STATS'!J29</f>
        <v>0N 3E 27</v>
      </c>
      <c r="F26" s="877" t="str">
        <f>'BLM STATS'!K29</f>
        <v>43 28 56</v>
      </c>
      <c r="G26" s="877" t="str">
        <f>'BLM STATS'!L29</f>
        <v>116 05 00</v>
      </c>
      <c r="H26" s="508" t="str">
        <f>'BLM STATS'!C29</f>
        <v>BOD</v>
      </c>
      <c r="I26" s="201">
        <f t="shared" si="2"/>
        <v>0</v>
      </c>
      <c r="J26" s="15">
        <f>'BLM STATS'!P29</f>
        <v>0</v>
      </c>
      <c r="K26" s="16">
        <f>'BLM STATS'!Q29</f>
        <v>0</v>
      </c>
      <c r="L26" s="17">
        <f>'BLM STATS'!R29</f>
        <v>0</v>
      </c>
      <c r="M26" s="876">
        <f>'BLM STATS'!S29</f>
        <v>0</v>
      </c>
      <c r="N26" s="18">
        <f>'BLM STATS'!T29</f>
        <v>0</v>
      </c>
      <c r="O26" s="19">
        <f>'BLM STATS'!U29</f>
        <v>0</v>
      </c>
      <c r="P26" s="41">
        <f>'BLM STATS'!V29</f>
        <v>0</v>
      </c>
      <c r="Q26" s="187">
        <f>'BLM STATS'!W29</f>
        <v>0</v>
      </c>
      <c r="R26" s="76">
        <f>'BLM STATS'!X26</f>
        <v>0</v>
      </c>
      <c r="S26" s="878"/>
      <c r="T26" s="17"/>
      <c r="U26" s="877"/>
      <c r="V26" s="187"/>
      <c r="W26" s="82">
        <f>'BLM STATS'!Y29</f>
        <v>0</v>
      </c>
      <c r="X26" s="82">
        <f>'BLM STATS'!Z29</f>
        <v>0</v>
      </c>
    </row>
    <row r="27" spans="1:24" x14ac:dyDescent="0.25">
      <c r="A27" s="68">
        <f>'BLM STATS'!A30</f>
        <v>43265</v>
      </c>
      <c r="B27" s="507" t="str">
        <f>'BLM STATS'!B30</f>
        <v>LVS3</v>
      </c>
      <c r="C27" s="15" t="str">
        <f>'BLM STATS'!F30</f>
        <v>MEDBURY</v>
      </c>
      <c r="D27" s="877" t="str">
        <f>'BLM STATS'!I30</f>
        <v>H</v>
      </c>
      <c r="E27" s="877" t="str">
        <f>'BLM STATS'!J30</f>
        <v>5S 8E 29</v>
      </c>
      <c r="F27" s="877" t="str">
        <f>'BLM STATS'!K30</f>
        <v>42 57 39</v>
      </c>
      <c r="G27" s="877" t="str">
        <f>'BLM STATS'!L30</f>
        <v>115 32 05</v>
      </c>
      <c r="H27" s="508" t="str">
        <f>'BLM STATS'!C30</f>
        <v>BOD</v>
      </c>
      <c r="I27" s="201">
        <f t="shared" si="2"/>
        <v>10</v>
      </c>
      <c r="J27" s="15">
        <f>'BLM STATS'!P30</f>
        <v>9</v>
      </c>
      <c r="K27" s="16">
        <f>'BLM STATS'!Q30</f>
        <v>0</v>
      </c>
      <c r="L27" s="17">
        <f>'BLM STATS'!R30</f>
        <v>0</v>
      </c>
      <c r="M27" s="876">
        <f>'BLM STATS'!S30</f>
        <v>1</v>
      </c>
      <c r="N27" s="18">
        <f>'BLM STATS'!T30</f>
        <v>0</v>
      </c>
      <c r="O27" s="19">
        <f>'BLM STATS'!U30</f>
        <v>0</v>
      </c>
      <c r="P27" s="41">
        <f>'BLM STATS'!V30</f>
        <v>0</v>
      </c>
      <c r="Q27" s="187">
        <f>'BLM STATS'!W30</f>
        <v>0</v>
      </c>
      <c r="R27" s="76">
        <f>'BLM STATS'!X27</f>
        <v>0</v>
      </c>
      <c r="S27" s="878"/>
      <c r="T27" s="17"/>
      <c r="U27" s="877"/>
      <c r="V27" s="187"/>
      <c r="W27" s="82">
        <f>'BLM STATS'!Y30</f>
        <v>0</v>
      </c>
      <c r="X27" s="82">
        <f>'BLM STATS'!Z30</f>
        <v>0</v>
      </c>
    </row>
    <row r="28" spans="1:24" x14ac:dyDescent="0.25">
      <c r="A28" s="68">
        <f>'BLM STATS'!A31</f>
        <v>43271</v>
      </c>
      <c r="B28" s="507" t="str">
        <f>'BLM STATS'!B31</f>
        <v>LWD1</v>
      </c>
      <c r="C28" s="84" t="str">
        <f>'BLM STATS'!F31</f>
        <v>RA 2 ELMORE CO</v>
      </c>
      <c r="D28" s="877" t="str">
        <f>'BLM STATS'!I31</f>
        <v>RFD</v>
      </c>
      <c r="E28" s="877" t="str">
        <f>'BLM STATS'!J31</f>
        <v>5S 8E 325</v>
      </c>
      <c r="F28" s="877" t="str">
        <f>'BLM STATS'!K31</f>
        <v>42 57 31</v>
      </c>
      <c r="G28" s="877" t="str">
        <f>'BLM STATS'!L31</f>
        <v>115 27 33</v>
      </c>
      <c r="H28" s="508" t="str">
        <f>'BLM STATS'!C31</f>
        <v>ELX</v>
      </c>
      <c r="I28" s="201">
        <f t="shared" si="2"/>
        <v>0.1</v>
      </c>
      <c r="J28" s="15">
        <f>'BLM STATS'!P31</f>
        <v>0</v>
      </c>
      <c r="K28" s="16">
        <f>'BLM STATS'!Q31</f>
        <v>0</v>
      </c>
      <c r="L28" s="17">
        <f>'BLM STATS'!R31</f>
        <v>0</v>
      </c>
      <c r="M28" s="876">
        <f>'BLM STATS'!S31</f>
        <v>0</v>
      </c>
      <c r="N28" s="18">
        <f>'BLM STATS'!T31</f>
        <v>0</v>
      </c>
      <c r="O28" s="19">
        <f>'BLM STATS'!U31</f>
        <v>0</v>
      </c>
      <c r="P28" s="41">
        <f>'BLM STATS'!V31</f>
        <v>0</v>
      </c>
      <c r="Q28" s="187">
        <f>'BLM STATS'!W31</f>
        <v>0</v>
      </c>
      <c r="R28" s="76">
        <f>'BLM STATS'!X28</f>
        <v>0</v>
      </c>
      <c r="S28" s="878"/>
      <c r="T28" s="17"/>
      <c r="U28" s="877"/>
      <c r="V28" s="187"/>
      <c r="W28" s="82">
        <f>'BLM STATS'!Y31</f>
        <v>0.1</v>
      </c>
      <c r="X28" s="82">
        <f>'BLM STATS'!Z31</f>
        <v>0</v>
      </c>
    </row>
    <row r="29" spans="1:24" x14ac:dyDescent="0.25">
      <c r="A29" s="68">
        <f>'BLM STATS'!A32</f>
        <v>43271</v>
      </c>
      <c r="B29" s="507" t="str">
        <f>'BLM STATS'!B32</f>
        <v>LWC4</v>
      </c>
      <c r="C29" s="15" t="str">
        <f>'BLM STATS'!F32</f>
        <v>BLACKS</v>
      </c>
      <c r="D29" s="877" t="str">
        <f>'BLM STATS'!I32</f>
        <v>L</v>
      </c>
      <c r="E29" s="877" t="str">
        <f>'BLM STATS'!J32</f>
        <v>1N 3E 04</v>
      </c>
      <c r="F29" s="877" t="str">
        <f>'BLM STATS'!K32</f>
        <v>43 27 17</v>
      </c>
      <c r="G29" s="877" t="str">
        <f>'BLM STATS'!L32</f>
        <v>116 06 48</v>
      </c>
      <c r="H29" s="508" t="str">
        <f>'BLM STATS'!C32</f>
        <v>1AX</v>
      </c>
      <c r="I29" s="201">
        <f t="shared" si="2"/>
        <v>1.7</v>
      </c>
      <c r="J29" s="15">
        <f>'BLM STATS'!P32</f>
        <v>0</v>
      </c>
      <c r="K29" s="16">
        <f>'BLM STATS'!Q32</f>
        <v>0</v>
      </c>
      <c r="L29" s="17">
        <f>'BLM STATS'!R32</f>
        <v>0</v>
      </c>
      <c r="M29" s="876">
        <f>'BLM STATS'!S32</f>
        <v>1.7</v>
      </c>
      <c r="N29" s="18">
        <f>'BLM STATS'!T32</f>
        <v>0</v>
      </c>
      <c r="O29" s="19">
        <f>'BLM STATS'!U32</f>
        <v>0</v>
      </c>
      <c r="P29" s="41">
        <f>'BLM STATS'!V32</f>
        <v>0</v>
      </c>
      <c r="Q29" s="187">
        <f>'BLM STATS'!W32</f>
        <v>0</v>
      </c>
      <c r="R29" s="76">
        <f>'BLM STATS'!X29</f>
        <v>0</v>
      </c>
      <c r="S29" s="878"/>
      <c r="T29" s="17"/>
      <c r="U29" s="877"/>
      <c r="V29" s="187"/>
      <c r="W29" s="82">
        <f>'BLM STATS'!Y32</f>
        <v>0</v>
      </c>
      <c r="X29" s="82">
        <f>'BLM STATS'!Z32</f>
        <v>0</v>
      </c>
    </row>
    <row r="30" spans="1:24" x14ac:dyDescent="0.25">
      <c r="A30" s="68">
        <f>'BLM STATS'!A33</f>
        <v>43273</v>
      </c>
      <c r="B30" s="507" t="str">
        <f>'BLM STATS'!B33</f>
        <v>LWQ8</v>
      </c>
      <c r="C30" s="879" t="str">
        <f>'BLM STATS'!F33</f>
        <v>FA 6 BOD</v>
      </c>
      <c r="D30" s="877" t="str">
        <f>'BLM STATS'!I33</f>
        <v>FA</v>
      </c>
      <c r="E30" s="877" t="str">
        <f>'BLM STATS'!J33</f>
        <v>5S 10E 29</v>
      </c>
      <c r="F30" s="877" t="str">
        <f>'BLM STATS'!K33</f>
        <v xml:space="preserve">42 57 52 </v>
      </c>
      <c r="G30" s="877" t="str">
        <f>'BLM STATS'!L33</f>
        <v>115 17 45</v>
      </c>
      <c r="H30" s="508" t="str">
        <f>'BLM STATS'!C33</f>
        <v>BOD</v>
      </c>
      <c r="I30" s="201">
        <f t="shared" si="2"/>
        <v>0</v>
      </c>
      <c r="J30" s="15">
        <f>'BLM STATS'!P33</f>
        <v>0</v>
      </c>
      <c r="K30" s="16">
        <f>'BLM STATS'!Q33</f>
        <v>0</v>
      </c>
      <c r="L30" s="17">
        <f>'BLM STATS'!R33</f>
        <v>0</v>
      </c>
      <c r="M30" s="876">
        <f>'BLM STATS'!S33</f>
        <v>0</v>
      </c>
      <c r="N30" s="18">
        <f>'BLM STATS'!T33</f>
        <v>0</v>
      </c>
      <c r="O30" s="19">
        <f>'BLM STATS'!U33</f>
        <v>0</v>
      </c>
      <c r="P30" s="41">
        <f>'BLM STATS'!V33</f>
        <v>0</v>
      </c>
      <c r="Q30" s="187">
        <f>'BLM STATS'!W33</f>
        <v>0</v>
      </c>
      <c r="R30" s="76">
        <f>'BLM STATS'!X30</f>
        <v>0</v>
      </c>
      <c r="S30" s="878"/>
      <c r="T30" s="17"/>
      <c r="U30" s="877"/>
      <c r="V30" s="187"/>
      <c r="W30" s="82">
        <f>'BLM STATS'!Y33</f>
        <v>0</v>
      </c>
      <c r="X30" s="82">
        <f>'BLM STATS'!Z33</f>
        <v>0</v>
      </c>
    </row>
    <row r="31" spans="1:24" x14ac:dyDescent="0.25">
      <c r="A31" s="68">
        <f>'BLM STATS'!A34</f>
        <v>43278</v>
      </c>
      <c r="B31" s="507" t="str">
        <f>'BLM STATS'!B34</f>
        <v>LW89</v>
      </c>
      <c r="C31" s="882" t="str">
        <f>'BLM STATS'!F34</f>
        <v xml:space="preserve">FA 7 BOD </v>
      </c>
      <c r="D31" s="501" t="str">
        <f>'BLM STATS'!I34</f>
        <v>FA</v>
      </c>
      <c r="E31" s="501" t="str">
        <f>'BLM STATS'!J34</f>
        <v>2N 3E 30</v>
      </c>
      <c r="F31" s="501" t="str">
        <f>'BLM STATS'!K34</f>
        <v>43 28 39</v>
      </c>
      <c r="G31" s="501" t="str">
        <f>'BLM STATS'!L34</f>
        <v>116 08 14</v>
      </c>
      <c r="H31" s="508" t="str">
        <f>'BLM STATS'!C34</f>
        <v>1AX</v>
      </c>
      <c r="I31" s="201">
        <f t="shared" si="1"/>
        <v>0</v>
      </c>
      <c r="J31" s="15">
        <f>'BLM STATS'!P34</f>
        <v>0</v>
      </c>
      <c r="K31" s="16">
        <f>'BLM STATS'!Q34</f>
        <v>0</v>
      </c>
      <c r="L31" s="17">
        <f>'BLM STATS'!R34</f>
        <v>0</v>
      </c>
      <c r="M31" s="502">
        <f>'BLM STATS'!S34</f>
        <v>0</v>
      </c>
      <c r="N31" s="18">
        <f>'BLM STATS'!T34</f>
        <v>0</v>
      </c>
      <c r="O31" s="19">
        <f>'BLM STATS'!U34</f>
        <v>0</v>
      </c>
      <c r="P31" s="41">
        <f>'BLM STATS'!V34</f>
        <v>0</v>
      </c>
      <c r="Q31" s="187">
        <f>'BLM STATS'!W34</f>
        <v>0</v>
      </c>
      <c r="R31" s="76">
        <f>'BLM STATS'!X31</f>
        <v>0</v>
      </c>
      <c r="S31" s="503"/>
      <c r="T31" s="17"/>
      <c r="U31" s="501"/>
      <c r="V31" s="187"/>
      <c r="W31" s="82">
        <f>'BLM STATS'!Y34</f>
        <v>0</v>
      </c>
      <c r="X31" s="82">
        <f>'BLM STATS'!Z34</f>
        <v>0</v>
      </c>
    </row>
    <row r="32" spans="1:24" x14ac:dyDescent="0.25">
      <c r="A32" s="68">
        <f>'BLM STATS'!A35</f>
        <v>43279</v>
      </c>
      <c r="B32" s="507" t="str">
        <f>'BLM STATS'!B35</f>
        <v>LXA5</v>
      </c>
      <c r="C32" s="882" t="str">
        <f>'BLM STATS'!F35</f>
        <v>FA 8 BOD</v>
      </c>
      <c r="D32" s="501" t="str">
        <f>'BLM STATS'!I35</f>
        <v>FA</v>
      </c>
      <c r="E32" s="501" t="str">
        <f>'BLM STATS'!J35</f>
        <v xml:space="preserve">2N 2E 20 </v>
      </c>
      <c r="F32" s="501" t="str">
        <f>'BLM STATS'!K35</f>
        <v>43 29 18</v>
      </c>
      <c r="G32" s="501" t="str">
        <f>'BLM STATS'!L35</f>
        <v>116 14 13</v>
      </c>
      <c r="H32" s="508" t="str">
        <f>'BLM STATS'!C35</f>
        <v>BOD</v>
      </c>
      <c r="I32" s="201">
        <f t="shared" si="1"/>
        <v>0</v>
      </c>
      <c r="J32" s="15">
        <f>'BLM STATS'!P35</f>
        <v>0</v>
      </c>
      <c r="K32" s="16">
        <f>'BLM STATS'!Q35</f>
        <v>0</v>
      </c>
      <c r="L32" s="17">
        <f>'BLM STATS'!R35</f>
        <v>0</v>
      </c>
      <c r="M32" s="502">
        <f>'BLM STATS'!S35</f>
        <v>0</v>
      </c>
      <c r="N32" s="18">
        <f>'BLM STATS'!T35</f>
        <v>0</v>
      </c>
      <c r="O32" s="19">
        <f>'BLM STATS'!U35</f>
        <v>0</v>
      </c>
      <c r="P32" s="41">
        <f>'BLM STATS'!V35</f>
        <v>0</v>
      </c>
      <c r="Q32" s="187">
        <f>'BLM STATS'!W35</f>
        <v>0</v>
      </c>
      <c r="R32" s="76">
        <f>'BLM STATS'!X32</f>
        <v>0</v>
      </c>
      <c r="S32" s="503"/>
      <c r="T32" s="17"/>
      <c r="U32" s="501"/>
      <c r="V32" s="187"/>
      <c r="W32" s="82">
        <f>'BLM STATS'!Y35</f>
        <v>0</v>
      </c>
      <c r="X32" s="82">
        <f>'BLM STATS'!Z35</f>
        <v>0</v>
      </c>
    </row>
    <row r="33" spans="1:24" x14ac:dyDescent="0.25">
      <c r="A33" s="68">
        <f>'BLM STATS'!A36</f>
        <v>43280</v>
      </c>
      <c r="B33" s="507" t="str">
        <f>'BLM STATS'!B36</f>
        <v xml:space="preserve"> LXF1</v>
      </c>
      <c r="C33" s="84" t="str">
        <f>'BLM STATS'!F36</f>
        <v>RA 3 ADA CO</v>
      </c>
      <c r="D33" s="501" t="str">
        <f>'BLM STATS'!I36</f>
        <v>RFD</v>
      </c>
      <c r="E33" s="501" t="str">
        <f>'BLM STATS'!J36</f>
        <v>2N 1E 26</v>
      </c>
      <c r="F33" s="501" t="str">
        <f>'BLM STATS'!K36</f>
        <v xml:space="preserve">43 28 50 </v>
      </c>
      <c r="G33" s="501" t="str">
        <f>'BLM STATS'!L36</f>
        <v>116 17 45</v>
      </c>
      <c r="H33" s="508" t="str">
        <f>'BLM STATS'!C36</f>
        <v>1AX</v>
      </c>
      <c r="I33" s="201">
        <f t="shared" si="1"/>
        <v>1</v>
      </c>
      <c r="J33" s="15">
        <f>'BLM STATS'!P36</f>
        <v>0</v>
      </c>
      <c r="K33" s="16">
        <f>'BLM STATS'!Q36</f>
        <v>0</v>
      </c>
      <c r="L33" s="17">
        <f>'BLM STATS'!R36</f>
        <v>0</v>
      </c>
      <c r="M33" s="502">
        <f>'BLM STATS'!S36</f>
        <v>0</v>
      </c>
      <c r="N33" s="18">
        <f>'BLM STATS'!T36</f>
        <v>0</v>
      </c>
      <c r="O33" s="19">
        <f>'BLM STATS'!U36</f>
        <v>0</v>
      </c>
      <c r="P33" s="41">
        <f>'BLM STATS'!V36</f>
        <v>0</v>
      </c>
      <c r="Q33" s="187">
        <f>'BLM STATS'!W36</f>
        <v>0</v>
      </c>
      <c r="R33" s="76">
        <f>'BLM STATS'!X33</f>
        <v>0</v>
      </c>
      <c r="S33" s="503"/>
      <c r="T33" s="17"/>
      <c r="U33" s="501"/>
      <c r="V33" s="187"/>
      <c r="W33" s="82">
        <f>'BLM STATS'!Y36</f>
        <v>1</v>
      </c>
      <c r="X33" s="82">
        <f>'BLM STATS'!Z36</f>
        <v>0</v>
      </c>
    </row>
    <row r="34" spans="1:24" x14ac:dyDescent="0.25">
      <c r="A34" s="68">
        <f>'BLM STATS'!A37</f>
        <v>43280</v>
      </c>
      <c r="B34" s="507" t="str">
        <f>'BLM STATS'!B37</f>
        <v>LXM1</v>
      </c>
      <c r="C34" s="15" t="str">
        <f>'BLM STATS'!F37</f>
        <v>JENNY</v>
      </c>
      <c r="D34" s="501" t="str">
        <f>'BLM STATS'!I37</f>
        <v>H</v>
      </c>
      <c r="E34" s="501" t="str">
        <f>'BLM STATS'!J37</f>
        <v>6N 2W 19</v>
      </c>
      <c r="F34" s="501" t="str">
        <f>'BLM STATS'!K37</f>
        <v>43 50 18</v>
      </c>
      <c r="G34" s="501" t="str">
        <f>'BLM STATS'!L37</f>
        <v>116 36 48</v>
      </c>
      <c r="H34" s="508" t="str">
        <f>'BLM STATS'!C37</f>
        <v>BOD</v>
      </c>
      <c r="I34" s="201">
        <f t="shared" si="1"/>
        <v>1.1000000000000001</v>
      </c>
      <c r="J34" s="15">
        <f>'BLM STATS'!P37</f>
        <v>1.1000000000000001</v>
      </c>
      <c r="K34" s="16">
        <f>'BLM STATS'!Q37</f>
        <v>0</v>
      </c>
      <c r="L34" s="17">
        <f>'BLM STATS'!R37</f>
        <v>0</v>
      </c>
      <c r="M34" s="502">
        <f>'BLM STATS'!S37</f>
        <v>0</v>
      </c>
      <c r="N34" s="18">
        <f>'BLM STATS'!T37</f>
        <v>0</v>
      </c>
      <c r="O34" s="19">
        <f>'BLM STATS'!U37</f>
        <v>0</v>
      </c>
      <c r="P34" s="41">
        <f>'BLM STATS'!V37</f>
        <v>0</v>
      </c>
      <c r="Q34" s="187">
        <f>'BLM STATS'!W37</f>
        <v>0</v>
      </c>
      <c r="R34" s="76">
        <f>'BLM STATS'!X34</f>
        <v>0</v>
      </c>
      <c r="S34" s="503"/>
      <c r="T34" s="17"/>
      <c r="U34" s="501"/>
      <c r="V34" s="187"/>
      <c r="W34" s="82">
        <f>'BLM STATS'!Y37</f>
        <v>0</v>
      </c>
      <c r="X34" s="82">
        <f>'BLM STATS'!Z37</f>
        <v>0</v>
      </c>
    </row>
    <row r="35" spans="1:24" x14ac:dyDescent="0.25">
      <c r="A35" s="68">
        <f>'BLM STATS'!A38</f>
        <v>43281</v>
      </c>
      <c r="B35" s="507" t="str">
        <f>'BLM STATS'!B38</f>
        <v>LXQ2</v>
      </c>
      <c r="C35" s="15" t="str">
        <f>'BLM STATS'!F38</f>
        <v>MM72 I84</v>
      </c>
      <c r="D35" s="501" t="str">
        <f>'BLM STATS'!I38</f>
        <v>H</v>
      </c>
      <c r="E35" s="501" t="str">
        <f>'BLM STATS'!J38</f>
        <v>1S 4E 03</v>
      </c>
      <c r="F35" s="501" t="str">
        <f>'BLM STATS'!K38</f>
        <v>43 21 56</v>
      </c>
      <c r="G35" s="501" t="str">
        <f>'BLM STATS'!L38</f>
        <v>115 58 30</v>
      </c>
      <c r="H35" s="508" t="str">
        <f>'BLM STATS'!C38</f>
        <v>BOD</v>
      </c>
      <c r="I35" s="201">
        <f t="shared" si="1"/>
        <v>24</v>
      </c>
      <c r="J35" s="15">
        <f>'BLM STATS'!P38</f>
        <v>5</v>
      </c>
      <c r="K35" s="16">
        <f>'BLM STATS'!Q38</f>
        <v>0</v>
      </c>
      <c r="L35" s="17">
        <f>'BLM STATS'!R38</f>
        <v>0</v>
      </c>
      <c r="M35" s="502">
        <f>'BLM STATS'!S38</f>
        <v>19</v>
      </c>
      <c r="N35" s="18">
        <f>'BLM STATS'!T38</f>
        <v>0</v>
      </c>
      <c r="O35" s="19">
        <f>'BLM STATS'!U38</f>
        <v>0</v>
      </c>
      <c r="P35" s="41">
        <f>'BLM STATS'!V38</f>
        <v>0</v>
      </c>
      <c r="Q35" s="187">
        <f>'BLM STATS'!W38</f>
        <v>0</v>
      </c>
      <c r="R35" s="76">
        <f>'BLM STATS'!X35</f>
        <v>0</v>
      </c>
      <c r="S35" s="503"/>
      <c r="T35" s="17"/>
      <c r="U35" s="501"/>
      <c r="V35" s="187"/>
      <c r="W35" s="82">
        <f>'BLM STATS'!Y38</f>
        <v>0</v>
      </c>
      <c r="X35" s="82">
        <f>'BLM STATS'!Z38</f>
        <v>0</v>
      </c>
    </row>
    <row r="36" spans="1:24" x14ac:dyDescent="0.25">
      <c r="A36" s="68">
        <f>'BLM STATS'!A39</f>
        <v>43281</v>
      </c>
      <c r="B36" s="507" t="str">
        <f>'BLM STATS'!B39</f>
        <v>LXR7</v>
      </c>
      <c r="C36" s="15" t="str">
        <f>'BLM STATS'!F39</f>
        <v xml:space="preserve">CINDER </v>
      </c>
      <c r="D36" s="501" t="str">
        <f>'BLM STATS'!I39</f>
        <v>H</v>
      </c>
      <c r="E36" s="501" t="str">
        <f>'BLM STATS'!J39</f>
        <v>3S 7E 22</v>
      </c>
      <c r="F36" s="501" t="str">
        <f>'BLM STATS'!K39</f>
        <v>43 09 08</v>
      </c>
      <c r="G36" s="501" t="str">
        <f>'BLM STATS'!L39</f>
        <v>115 36 03</v>
      </c>
      <c r="H36" s="508" t="str">
        <f>'BLM STATS'!C39</f>
        <v>BOD</v>
      </c>
      <c r="I36" s="201">
        <f t="shared" si="1"/>
        <v>2.7</v>
      </c>
      <c r="J36" s="15">
        <f>'BLM STATS'!P39</f>
        <v>2.7</v>
      </c>
      <c r="K36" s="16">
        <f>'BLM STATS'!Q39</f>
        <v>0</v>
      </c>
      <c r="L36" s="17">
        <f>'BLM STATS'!R39</f>
        <v>0</v>
      </c>
      <c r="M36" s="502">
        <f>'BLM STATS'!S39</f>
        <v>0</v>
      </c>
      <c r="N36" s="18">
        <f>'BLM STATS'!T39</f>
        <v>0</v>
      </c>
      <c r="O36" s="19">
        <f>'BLM STATS'!U39</f>
        <v>0</v>
      </c>
      <c r="P36" s="41">
        <f>'BLM STATS'!V39</f>
        <v>0</v>
      </c>
      <c r="Q36" s="187">
        <f>'BLM STATS'!W39</f>
        <v>0</v>
      </c>
      <c r="R36" s="76">
        <f>'BLM STATS'!X36</f>
        <v>0</v>
      </c>
      <c r="S36" s="503"/>
      <c r="T36" s="17"/>
      <c r="U36" s="501"/>
      <c r="V36" s="187"/>
      <c r="W36" s="82">
        <f>'BLM STATS'!Y39</f>
        <v>0</v>
      </c>
      <c r="X36" s="82">
        <f>'BLM STATS'!Z39</f>
        <v>0</v>
      </c>
    </row>
    <row r="37" spans="1:24" x14ac:dyDescent="0.25">
      <c r="A37" s="68">
        <f>'BLM STATS'!A40</f>
        <v>43281</v>
      </c>
      <c r="B37" s="507" t="str">
        <f>'BLM STATS'!B40</f>
        <v>LXU5</v>
      </c>
      <c r="C37" s="15" t="str">
        <f>'BLM STATS'!F40</f>
        <v>MM81 I84</v>
      </c>
      <c r="D37" s="501" t="str">
        <f>'BLM STATS'!I40</f>
        <v>H</v>
      </c>
      <c r="E37" s="501" t="str">
        <f>'BLM STATS'!J40</f>
        <v>2S 5E 09</v>
      </c>
      <c r="F37" s="501" t="str">
        <f>'BLM STATS'!K40</f>
        <v>43 16 12</v>
      </c>
      <c r="G37" s="501" t="str">
        <f>'BLM STATS'!L40</f>
        <v>115 52 20</v>
      </c>
      <c r="H37" s="508" t="str">
        <f>'BLM STATS'!C40</f>
        <v>ELX</v>
      </c>
      <c r="I37" s="201">
        <f t="shared" si="1"/>
        <v>0.1</v>
      </c>
      <c r="J37" s="15">
        <f>'BLM STATS'!P40</f>
        <v>0</v>
      </c>
      <c r="K37" s="16">
        <f>'BLM STATS'!Q40</f>
        <v>0</v>
      </c>
      <c r="L37" s="17">
        <f>'BLM STATS'!R40</f>
        <v>0</v>
      </c>
      <c r="M37" s="502">
        <f>'BLM STATS'!S40</f>
        <v>0.1</v>
      </c>
      <c r="N37" s="18">
        <f>'BLM STATS'!T40</f>
        <v>0</v>
      </c>
      <c r="O37" s="19">
        <f>'BLM STATS'!U40</f>
        <v>0</v>
      </c>
      <c r="P37" s="41">
        <f>'BLM STATS'!V40</f>
        <v>0</v>
      </c>
      <c r="Q37" s="187">
        <f>'BLM STATS'!W40</f>
        <v>0</v>
      </c>
      <c r="R37" s="76">
        <f>'BLM STATS'!X37</f>
        <v>0</v>
      </c>
      <c r="S37" s="503"/>
      <c r="T37" s="17"/>
      <c r="U37" s="501"/>
      <c r="V37" s="187"/>
      <c r="W37" s="82">
        <f>'BLM STATS'!Y40</f>
        <v>0</v>
      </c>
      <c r="X37" s="82">
        <f>'BLM STATS'!Z40</f>
        <v>0</v>
      </c>
    </row>
    <row r="38" spans="1:24" x14ac:dyDescent="0.25">
      <c r="A38" s="68">
        <f>'BLM STATS'!A41</f>
        <v>43281</v>
      </c>
      <c r="B38" s="507" t="str">
        <f>'BLM STATS'!B41</f>
        <v>LXU8</v>
      </c>
      <c r="C38" s="468" t="str">
        <f>'BLM STATS'!F41</f>
        <v>RA 4 PAYETTE CO</v>
      </c>
      <c r="D38" s="501" t="str">
        <f>'BLM STATS'!I41</f>
        <v>RFD</v>
      </c>
      <c r="E38" s="501" t="str">
        <f>'BLM STATS'!J41</f>
        <v>7N 4W 28</v>
      </c>
      <c r="F38" s="501" t="str">
        <f>'BLM STATS'!K41</f>
        <v>43 54 33</v>
      </c>
      <c r="G38" s="501" t="str">
        <f>'BLM STATS'!L41</f>
        <v>116 49 05</v>
      </c>
      <c r="H38" s="508" t="str">
        <f>'BLM STATS'!C41</f>
        <v>1PX</v>
      </c>
      <c r="I38" s="201">
        <f t="shared" si="1"/>
        <v>0.1</v>
      </c>
      <c r="J38" s="15">
        <f>'BLM STATS'!P41</f>
        <v>0</v>
      </c>
      <c r="K38" s="16">
        <f>'BLM STATS'!Q41</f>
        <v>0</v>
      </c>
      <c r="L38" s="17">
        <f>'BLM STATS'!R41</f>
        <v>0</v>
      </c>
      <c r="M38" s="502">
        <f>'BLM STATS'!S41</f>
        <v>0</v>
      </c>
      <c r="N38" s="18">
        <f>'BLM STATS'!T41</f>
        <v>0</v>
      </c>
      <c r="O38" s="19">
        <f>'BLM STATS'!U41</f>
        <v>0</v>
      </c>
      <c r="P38" s="41">
        <f>'BLM STATS'!V41</f>
        <v>0</v>
      </c>
      <c r="Q38" s="187">
        <f>'BLM STATS'!W41</f>
        <v>0</v>
      </c>
      <c r="R38" s="76">
        <f>'BLM STATS'!X38</f>
        <v>0</v>
      </c>
      <c r="S38" s="503"/>
      <c r="T38" s="17"/>
      <c r="U38" s="501"/>
      <c r="V38" s="187"/>
      <c r="W38" s="82">
        <f>'BLM STATS'!Y41</f>
        <v>0.1</v>
      </c>
      <c r="X38" s="82">
        <f>'BLM STATS'!Z41</f>
        <v>0</v>
      </c>
    </row>
    <row r="39" spans="1:24" x14ac:dyDescent="0.25">
      <c r="A39" s="68">
        <f>'BLM STATS'!A42</f>
        <v>43282</v>
      </c>
      <c r="B39" s="507" t="str">
        <f>'BLM STATS'!B42</f>
        <v>LXX7</v>
      </c>
      <c r="C39" s="130" t="str">
        <f>'BLM STATS'!F42</f>
        <v>PV</v>
      </c>
      <c r="D39" s="501" t="str">
        <f>'BLM STATS'!I42</f>
        <v>H</v>
      </c>
      <c r="E39" s="501" t="str">
        <f>'BLM STATS'!J42</f>
        <v>1S 2E 08</v>
      </c>
      <c r="F39" s="501" t="str">
        <f>'BLM STATS'!K42</f>
        <v>43 21 05</v>
      </c>
      <c r="G39" s="501" t="str">
        <f>'BLM STATS'!L42</f>
        <v>116 14 13</v>
      </c>
      <c r="H39" s="508" t="str">
        <f>'BLM STATS'!C42</f>
        <v>BOD</v>
      </c>
      <c r="I39" s="201">
        <f t="shared" si="1"/>
        <v>0.5</v>
      </c>
      <c r="J39" s="15">
        <f>'BLM STATS'!P42</f>
        <v>0.5</v>
      </c>
      <c r="K39" s="16">
        <f>'BLM STATS'!Q42</f>
        <v>0</v>
      </c>
      <c r="L39" s="17">
        <f>'BLM STATS'!R42</f>
        <v>0</v>
      </c>
      <c r="M39" s="502">
        <f>'BLM STATS'!S42</f>
        <v>0</v>
      </c>
      <c r="N39" s="18">
        <f>'BLM STATS'!T42</f>
        <v>0</v>
      </c>
      <c r="O39" s="19">
        <f>'BLM STATS'!U42</f>
        <v>0</v>
      </c>
      <c r="P39" s="41">
        <f>'BLM STATS'!V42</f>
        <v>0</v>
      </c>
      <c r="Q39" s="187">
        <f>'BLM STATS'!W42</f>
        <v>0</v>
      </c>
      <c r="R39" s="76">
        <f>'BLM STATS'!X39</f>
        <v>0</v>
      </c>
      <c r="S39" s="503"/>
      <c r="T39" s="17"/>
      <c r="U39" s="501"/>
      <c r="V39" s="187"/>
      <c r="W39" s="82">
        <f>'BLM STATS'!Y42</f>
        <v>0</v>
      </c>
      <c r="X39" s="82">
        <f>'BLM STATS'!Z42</f>
        <v>0</v>
      </c>
    </row>
    <row r="40" spans="1:24" x14ac:dyDescent="0.25">
      <c r="A40" s="68">
        <f>'BLM STATS'!A43</f>
        <v>43282</v>
      </c>
      <c r="B40" s="507" t="str">
        <f>'BLM STATS'!B43</f>
        <v>LX0B</v>
      </c>
      <c r="C40" s="15" t="str">
        <f>'BLM STATS'!F43</f>
        <v xml:space="preserve">GUSTY </v>
      </c>
      <c r="D40" s="501" t="str">
        <f>'BLM STATS'!I43</f>
        <v>H</v>
      </c>
      <c r="E40" s="501" t="str">
        <f>'BLM STATS'!J43</f>
        <v>1S 2E 05</v>
      </c>
      <c r="F40" s="501" t="str">
        <f>'BLM STATS'!K43</f>
        <v>43 22 16</v>
      </c>
      <c r="G40" s="501" t="str">
        <f>'BLM STATS'!L43</f>
        <v>116 15 02</v>
      </c>
      <c r="H40" s="508" t="str">
        <f>'BLM STATS'!C43</f>
        <v>BOD</v>
      </c>
      <c r="I40" s="201">
        <f t="shared" si="1"/>
        <v>0.1</v>
      </c>
      <c r="J40" s="15">
        <f>'BLM STATS'!P43</f>
        <v>0.1</v>
      </c>
      <c r="K40" s="16">
        <f>'BLM STATS'!Q43</f>
        <v>0</v>
      </c>
      <c r="L40" s="17">
        <f>'BLM STATS'!R43</f>
        <v>0</v>
      </c>
      <c r="M40" s="502">
        <f>'BLM STATS'!S43</f>
        <v>0</v>
      </c>
      <c r="N40" s="18">
        <f>'BLM STATS'!T43</f>
        <v>0</v>
      </c>
      <c r="O40" s="19">
        <f>'BLM STATS'!U43</f>
        <v>0</v>
      </c>
      <c r="P40" s="41">
        <f>'BLM STATS'!V43</f>
        <v>0</v>
      </c>
      <c r="Q40" s="187">
        <f>'BLM STATS'!W43</f>
        <v>0</v>
      </c>
      <c r="R40" s="76">
        <f>'BLM STATS'!X40</f>
        <v>0</v>
      </c>
      <c r="S40" s="503"/>
      <c r="T40" s="17"/>
      <c r="U40" s="501"/>
      <c r="V40" s="187"/>
      <c r="W40" s="82">
        <f>'BLM STATS'!Y43</f>
        <v>0</v>
      </c>
      <c r="X40" s="82">
        <f>'BLM STATS'!Z43</f>
        <v>0</v>
      </c>
    </row>
    <row r="41" spans="1:24" x14ac:dyDescent="0.25">
      <c r="A41" s="68">
        <f>'BLM STATS'!A44</f>
        <v>43283</v>
      </c>
      <c r="B41" s="507" t="str">
        <f>'BLM STATS'!B44</f>
        <v>LX08</v>
      </c>
      <c r="C41" s="15" t="str">
        <f>'BLM STATS'!F44</f>
        <v xml:space="preserve">PICKLE </v>
      </c>
      <c r="D41" s="501" t="str">
        <f>'BLM STATS'!I44</f>
        <v>H</v>
      </c>
      <c r="E41" s="501" t="str">
        <f>'BLM STATS'!J44</f>
        <v>2N 3W 27</v>
      </c>
      <c r="F41" s="501" t="str">
        <f>'BLM STATS'!K44</f>
        <v>43 28 34</v>
      </c>
      <c r="G41" s="501" t="str">
        <f>'BLM STATS'!L44</f>
        <v>116 41 09</v>
      </c>
      <c r="H41" s="508" t="str">
        <f>'BLM STATS'!C44</f>
        <v>BOD</v>
      </c>
      <c r="I41" s="201">
        <f t="shared" si="1"/>
        <v>6.4</v>
      </c>
      <c r="J41" s="15">
        <f>'BLM STATS'!P44</f>
        <v>6.4</v>
      </c>
      <c r="K41" s="16">
        <f>'BLM STATS'!Q44</f>
        <v>0</v>
      </c>
      <c r="L41" s="17">
        <f>'BLM STATS'!R44</f>
        <v>0</v>
      </c>
      <c r="M41" s="502">
        <f>'BLM STATS'!S44</f>
        <v>0</v>
      </c>
      <c r="N41" s="18">
        <f>'BLM STATS'!T44</f>
        <v>0</v>
      </c>
      <c r="O41" s="19">
        <f>'BLM STATS'!U44</f>
        <v>0</v>
      </c>
      <c r="P41" s="41">
        <f>'BLM STATS'!V44</f>
        <v>0</v>
      </c>
      <c r="Q41" s="187">
        <f>'BLM STATS'!W44</f>
        <v>0</v>
      </c>
      <c r="R41" s="76">
        <f>'BLM STATS'!X41</f>
        <v>0</v>
      </c>
      <c r="S41" s="503"/>
      <c r="T41" s="17"/>
      <c r="U41" s="501"/>
      <c r="V41" s="187"/>
      <c r="W41" s="82">
        <f>'BLM STATS'!Y44</f>
        <v>0</v>
      </c>
      <c r="X41" s="82">
        <f>'BLM STATS'!Z44</f>
        <v>0</v>
      </c>
    </row>
    <row r="42" spans="1:24" x14ac:dyDescent="0.25">
      <c r="A42" s="68">
        <f>'BLM STATS'!A45</f>
        <v>43283</v>
      </c>
      <c r="B42" s="507" t="str">
        <f>'BLM STATS'!B45</f>
        <v>LX23</v>
      </c>
      <c r="C42" s="84" t="str">
        <f>'BLM STATS'!F45</f>
        <v>RA 5 CANYON CO</v>
      </c>
      <c r="D42" s="501" t="str">
        <f>'BLM STATS'!I45</f>
        <v>RFD</v>
      </c>
      <c r="E42" s="501" t="str">
        <f>'BLM STATS'!J45</f>
        <v>2N 3W 12</v>
      </c>
      <c r="F42" s="501" t="str">
        <f>'BLM STATS'!K45</f>
        <v>43 31 46</v>
      </c>
      <c r="G42" s="501" t="str">
        <f>'BLM STATS'!L45</f>
        <v>116 39 00</v>
      </c>
      <c r="H42" s="508" t="str">
        <f>'BLM STATS'!C45</f>
        <v>2CX</v>
      </c>
      <c r="I42" s="201">
        <f t="shared" si="1"/>
        <v>0.25</v>
      </c>
      <c r="J42" s="15">
        <f>'BLM STATS'!P45</f>
        <v>0</v>
      </c>
      <c r="K42" s="16">
        <f>'BLM STATS'!Q45</f>
        <v>0</v>
      </c>
      <c r="L42" s="17">
        <f>'BLM STATS'!R45</f>
        <v>0</v>
      </c>
      <c r="M42" s="502">
        <f>'BLM STATS'!S45</f>
        <v>0</v>
      </c>
      <c r="N42" s="18">
        <f>'BLM STATS'!T45</f>
        <v>0</v>
      </c>
      <c r="O42" s="19">
        <f>'BLM STATS'!U45</f>
        <v>0</v>
      </c>
      <c r="P42" s="41">
        <f>'BLM STATS'!V45</f>
        <v>0</v>
      </c>
      <c r="Q42" s="187">
        <f>'BLM STATS'!W45</f>
        <v>0</v>
      </c>
      <c r="R42" s="76">
        <f>'BLM STATS'!X42</f>
        <v>0</v>
      </c>
      <c r="S42" s="503"/>
      <c r="T42" s="17"/>
      <c r="U42" s="501"/>
      <c r="V42" s="187"/>
      <c r="W42" s="82">
        <f>'BLM STATS'!Y45</f>
        <v>0.25</v>
      </c>
      <c r="X42" s="82">
        <f>'BLM STATS'!Z45</f>
        <v>0</v>
      </c>
    </row>
    <row r="43" spans="1:24" x14ac:dyDescent="0.25">
      <c r="A43" s="68">
        <f>'BLM STATS'!A46</f>
        <v>43283</v>
      </c>
      <c r="B43" s="507" t="str">
        <f>'BLM STATS'!B46</f>
        <v>LX28</v>
      </c>
      <c r="C43" s="15" t="str">
        <f>'BLM STATS'!F46</f>
        <v>SHORTCUT</v>
      </c>
      <c r="D43" s="501" t="str">
        <f>'BLM STATS'!I46</f>
        <v>H</v>
      </c>
      <c r="E43" s="501" t="str">
        <f>'BLM STATS'!J46</f>
        <v>8N 1W 31</v>
      </c>
      <c r="F43" s="501" t="str">
        <f>'BLM STATS'!K46</f>
        <v>43 59 05</v>
      </c>
      <c r="G43" s="501" t="str">
        <f>'BLM STATS'!L46</f>
        <v>116 29 41</v>
      </c>
      <c r="H43" s="508" t="str">
        <f>'BLM STATS'!C46</f>
        <v>SWS</v>
      </c>
      <c r="I43" s="201">
        <f t="shared" si="1"/>
        <v>402</v>
      </c>
      <c r="J43" s="15">
        <f>'BLM STATS'!P46</f>
        <v>301.5</v>
      </c>
      <c r="K43" s="16">
        <f>'BLM STATS'!Q46</f>
        <v>0</v>
      </c>
      <c r="L43" s="17">
        <f>'BLM STATS'!R46</f>
        <v>7.5</v>
      </c>
      <c r="M43" s="502">
        <f>'BLM STATS'!S46</f>
        <v>93</v>
      </c>
      <c r="N43" s="18">
        <f>'BLM STATS'!T46</f>
        <v>0</v>
      </c>
      <c r="O43" s="19">
        <f>'BLM STATS'!U46</f>
        <v>0</v>
      </c>
      <c r="P43" s="41">
        <f>'BLM STATS'!V46</f>
        <v>0</v>
      </c>
      <c r="Q43" s="187">
        <f>'BLM STATS'!W46</f>
        <v>0</v>
      </c>
      <c r="R43" s="76">
        <f>'BLM STATS'!X43</f>
        <v>0</v>
      </c>
      <c r="S43" s="503"/>
      <c r="T43" s="17"/>
      <c r="U43" s="501"/>
      <c r="V43" s="187"/>
      <c r="W43" s="82">
        <f>'BLM STATS'!Y46</f>
        <v>0</v>
      </c>
      <c r="X43" s="82">
        <f>'BLM STATS'!Z46</f>
        <v>0</v>
      </c>
    </row>
    <row r="44" spans="1:24" x14ac:dyDescent="0.25">
      <c r="A44" s="68">
        <f>'BLM STATS'!A48</f>
        <v>43285</v>
      </c>
      <c r="B44" s="507" t="str">
        <f>'BLM STATS'!B48</f>
        <v>LX8Q</v>
      </c>
      <c r="C44" s="15" t="str">
        <f>'BLM STATS'!F48</f>
        <v>NICOLSEN</v>
      </c>
      <c r="D44" s="501" t="str">
        <f>'BLM STATS'!I48</f>
        <v>H</v>
      </c>
      <c r="E44" s="501" t="str">
        <f>'BLM STATS'!J48</f>
        <v>1N 1E 22</v>
      </c>
      <c r="F44" s="501" t="str">
        <f>'BLM STATS'!K48</f>
        <v>43 24 25</v>
      </c>
      <c r="G44" s="501" t="str">
        <f>'BLM STATS'!L48</f>
        <v>116 19 51</v>
      </c>
      <c r="H44" s="508" t="str">
        <f>'BLM STATS'!C48</f>
        <v>BOD</v>
      </c>
      <c r="I44" s="201">
        <f t="shared" si="1"/>
        <v>3.1</v>
      </c>
      <c r="J44" s="15">
        <f>'BLM STATS'!P48</f>
        <v>3.1</v>
      </c>
      <c r="K44" s="16">
        <f>'BLM STATS'!Q48</f>
        <v>0</v>
      </c>
      <c r="L44" s="17">
        <f>'BLM STATS'!R48</f>
        <v>0</v>
      </c>
      <c r="M44" s="502">
        <f>'BLM STATS'!S48</f>
        <v>0</v>
      </c>
      <c r="N44" s="18">
        <f>'BLM STATS'!T48</f>
        <v>0</v>
      </c>
      <c r="O44" s="19">
        <f>'BLM STATS'!U48</f>
        <v>0</v>
      </c>
      <c r="P44" s="41">
        <f>'BLM STATS'!V48</f>
        <v>0</v>
      </c>
      <c r="Q44" s="187">
        <f>'BLM STATS'!W48</f>
        <v>0</v>
      </c>
      <c r="R44" s="76">
        <f>'BLM STATS'!X44</f>
        <v>0</v>
      </c>
      <c r="S44" s="503"/>
      <c r="T44" s="17"/>
      <c r="U44" s="501"/>
      <c r="V44" s="187"/>
      <c r="W44" s="82">
        <f>'BLM STATS'!Y48</f>
        <v>0</v>
      </c>
      <c r="X44" s="82">
        <f>'BLM STATS'!Z48</f>
        <v>0</v>
      </c>
    </row>
    <row r="45" spans="1:24" x14ac:dyDescent="0.25">
      <c r="A45" s="68">
        <f>'BLM STATS'!A49</f>
        <v>43285</v>
      </c>
      <c r="B45" s="507" t="str">
        <f>'BLM STATS'!B49</f>
        <v>LX8R</v>
      </c>
      <c r="C45" s="15" t="str">
        <f>'BLM STATS'!F49</f>
        <v>DEWEY</v>
      </c>
      <c r="D45" s="501" t="str">
        <f>'BLM STATS'!I49</f>
        <v>H</v>
      </c>
      <c r="E45" s="501" t="str">
        <f>'BLM STATS'!J49</f>
        <v>6N 3W 08</v>
      </c>
      <c r="F45" s="501" t="str">
        <f>'BLM STATS'!K49</f>
        <v>43 52 20</v>
      </c>
      <c r="G45" s="501" t="str">
        <f>'BLM STATS'!L49</f>
        <v>116 42 48</v>
      </c>
      <c r="H45" s="508" t="str">
        <f>'BLM STATS'!C49</f>
        <v>BOD</v>
      </c>
      <c r="I45" s="201">
        <f t="shared" si="1"/>
        <v>9</v>
      </c>
      <c r="J45" s="15">
        <f>'BLM STATS'!P49</f>
        <v>9</v>
      </c>
      <c r="K45" s="16">
        <f>'BLM STATS'!Q49</f>
        <v>0</v>
      </c>
      <c r="L45" s="17">
        <f>'BLM STATS'!R49</f>
        <v>0</v>
      </c>
      <c r="M45" s="502">
        <f>'BLM STATS'!S49</f>
        <v>0</v>
      </c>
      <c r="N45" s="18">
        <f>'BLM STATS'!T49</f>
        <v>0</v>
      </c>
      <c r="O45" s="19">
        <f>'BLM STATS'!U49</f>
        <v>0</v>
      </c>
      <c r="P45" s="41">
        <f>'BLM STATS'!V49</f>
        <v>0</v>
      </c>
      <c r="Q45" s="187">
        <f>'BLM STATS'!W49</f>
        <v>0</v>
      </c>
      <c r="R45" s="76">
        <f>'BLM STATS'!X45</f>
        <v>0</v>
      </c>
      <c r="S45" s="503"/>
      <c r="T45" s="17"/>
      <c r="U45" s="501"/>
      <c r="V45" s="187"/>
      <c r="W45" s="82">
        <f>'BLM STATS'!Y49</f>
        <v>0</v>
      </c>
      <c r="X45" s="82">
        <f>'BLM STATS'!Z49</f>
        <v>0</v>
      </c>
    </row>
    <row r="46" spans="1:24" x14ac:dyDescent="0.25">
      <c r="A46" s="68">
        <f>'BLM STATS'!A50</f>
        <v>43285</v>
      </c>
      <c r="B46" s="507" t="str">
        <f>'BLM STATS'!B50</f>
        <v>LX82</v>
      </c>
      <c r="C46" s="15" t="str">
        <f>'BLM STATS'!F50</f>
        <v xml:space="preserve">CHARCOAL </v>
      </c>
      <c r="D46" s="501" t="str">
        <f>'BLM STATS'!I50</f>
        <v>H</v>
      </c>
      <c r="E46" s="501" t="str">
        <f>'BLM STATS'!J50</f>
        <v>2N 4E 05</v>
      </c>
      <c r="F46" s="501" t="str">
        <f>'BLM STATS'!K50</f>
        <v>43 32 25</v>
      </c>
      <c r="G46" s="501" t="str">
        <f>'BLM STATS'!L50</f>
        <v>116 00 02</v>
      </c>
      <c r="H46" s="508" t="str">
        <f>'BLM STATS'!C50</f>
        <v>LPE</v>
      </c>
      <c r="I46" s="201">
        <f t="shared" si="1"/>
        <v>43</v>
      </c>
      <c r="J46" s="15">
        <f>'BLM STATS'!P50</f>
        <v>0</v>
      </c>
      <c r="K46" s="16">
        <f>'BLM STATS'!Q50</f>
        <v>0</v>
      </c>
      <c r="L46" s="17">
        <f>'BLM STATS'!R50</f>
        <v>16</v>
      </c>
      <c r="M46" s="502">
        <f>'BLM STATS'!S50</f>
        <v>0</v>
      </c>
      <c r="N46" s="18">
        <f>'BLM STATS'!T50</f>
        <v>0</v>
      </c>
      <c r="O46" s="19">
        <f>'BLM STATS'!U50</f>
        <v>0</v>
      </c>
      <c r="P46" s="41">
        <f>'BLM STATS'!V50</f>
        <v>27</v>
      </c>
      <c r="Q46" s="187">
        <f>'BLM STATS'!W50</f>
        <v>0</v>
      </c>
      <c r="R46" s="76">
        <f>'BLM STATS'!X46</f>
        <v>0</v>
      </c>
      <c r="S46" s="503"/>
      <c r="T46" s="17"/>
      <c r="U46" s="501"/>
      <c r="V46" s="187"/>
      <c r="W46" s="82">
        <f>'BLM STATS'!Y50</f>
        <v>0</v>
      </c>
      <c r="X46" s="82">
        <f>'BLM STATS'!Z50</f>
        <v>0</v>
      </c>
    </row>
    <row r="47" spans="1:24" x14ac:dyDescent="0.25">
      <c r="A47" s="68">
        <f>'BLM STATS'!A51</f>
        <v>43285</v>
      </c>
      <c r="B47" s="507" t="str">
        <f>'BLM STATS'!B51</f>
        <v>LX9M</v>
      </c>
      <c r="C47" s="15" t="str">
        <f>'BLM STATS'!F51</f>
        <v xml:space="preserve">FIVE CENT </v>
      </c>
      <c r="D47" s="501" t="str">
        <f>'BLM STATS'!I51</f>
        <v>H</v>
      </c>
      <c r="E47" s="501" t="str">
        <f>'BLM STATS'!J51</f>
        <v>5S 5E 06</v>
      </c>
      <c r="F47" s="501" t="str">
        <f>'BLM STATS'!K51</f>
        <v>43 01 34</v>
      </c>
      <c r="G47" s="501" t="str">
        <f>'BLM STATS'!L51</f>
        <v>115 54 29</v>
      </c>
      <c r="H47" s="508" t="str">
        <f>'BLM STATS'!C51</f>
        <v>BOD</v>
      </c>
      <c r="I47" s="201">
        <f t="shared" si="1"/>
        <v>2642</v>
      </c>
      <c r="J47" s="15">
        <f>'BLM STATS'!P51</f>
        <v>2461</v>
      </c>
      <c r="K47" s="16">
        <f>'BLM STATS'!Q51</f>
        <v>0</v>
      </c>
      <c r="L47" s="17">
        <f>'BLM STATS'!R51</f>
        <v>7</v>
      </c>
      <c r="M47" s="502">
        <f>'BLM STATS'!S51</f>
        <v>151</v>
      </c>
      <c r="N47" s="18">
        <f>'BLM STATS'!T51</f>
        <v>0</v>
      </c>
      <c r="O47" s="19">
        <f>'BLM STATS'!U51</f>
        <v>5</v>
      </c>
      <c r="P47" s="41">
        <f>'BLM STATS'!V51</f>
        <v>0</v>
      </c>
      <c r="Q47" s="187">
        <f>'BLM STATS'!W51</f>
        <v>18</v>
      </c>
      <c r="R47" s="76">
        <f>'BLM STATS'!X47</f>
        <v>0</v>
      </c>
      <c r="S47" s="503"/>
      <c r="T47" s="17"/>
      <c r="U47" s="501"/>
      <c r="V47" s="187"/>
      <c r="W47" s="82">
        <f>'BLM STATS'!Y51</f>
        <v>0</v>
      </c>
      <c r="X47" s="82">
        <f>'BLM STATS'!Z51</f>
        <v>0</v>
      </c>
    </row>
    <row r="48" spans="1:24" x14ac:dyDescent="0.25">
      <c r="A48" s="68">
        <f>'BLM STATS'!A52</f>
        <v>43285</v>
      </c>
      <c r="B48" s="507" t="str">
        <f>'BLM STATS'!B52</f>
        <v>LYA1</v>
      </c>
      <c r="C48" s="15" t="str">
        <f>'BLM STATS'!F52</f>
        <v>COVEREC</v>
      </c>
      <c r="D48" s="501" t="str">
        <f>'BLM STATS'!I52</f>
        <v>H</v>
      </c>
      <c r="E48" s="501" t="str">
        <f>'BLM STATS'!J52</f>
        <v>6S 4E 02</v>
      </c>
      <c r="F48" s="501" t="str">
        <f>'BLM STATS'!K52</f>
        <v>42 55 57</v>
      </c>
      <c r="G48" s="501" t="str">
        <f>'BLM STATS'!L52</f>
        <v>115 56 59</v>
      </c>
      <c r="H48" s="508" t="str">
        <f>'BLM STATS'!C52</f>
        <v>BOD</v>
      </c>
      <c r="I48" s="201">
        <f t="shared" si="1"/>
        <v>0.1</v>
      </c>
      <c r="J48" s="15">
        <f>'BLM STATS'!P52</f>
        <v>0.1</v>
      </c>
      <c r="K48" s="16">
        <f>'BLM STATS'!Q52</f>
        <v>0</v>
      </c>
      <c r="L48" s="17">
        <f>'BLM STATS'!R52</f>
        <v>0</v>
      </c>
      <c r="M48" s="502">
        <f>'BLM STATS'!S52</f>
        <v>0</v>
      </c>
      <c r="N48" s="18">
        <f>'BLM STATS'!T52</f>
        <v>0</v>
      </c>
      <c r="O48" s="19">
        <f>'BLM STATS'!U52</f>
        <v>0</v>
      </c>
      <c r="P48" s="41">
        <f>'BLM STATS'!V52</f>
        <v>0</v>
      </c>
      <c r="Q48" s="187">
        <f>'BLM STATS'!W52</f>
        <v>0</v>
      </c>
      <c r="R48" s="76">
        <f>'BLM STATS'!X48</f>
        <v>0</v>
      </c>
      <c r="S48" s="503"/>
      <c r="T48" s="17"/>
      <c r="U48" s="501"/>
      <c r="V48" s="187"/>
      <c r="W48" s="82">
        <f>'BLM STATS'!Y52</f>
        <v>0</v>
      </c>
      <c r="X48" s="82">
        <f>'BLM STATS'!Z52</f>
        <v>0</v>
      </c>
    </row>
    <row r="49" spans="1:24" x14ac:dyDescent="0.25">
      <c r="A49" s="68">
        <f>'BLM STATS'!A53</f>
        <v>43286</v>
      </c>
      <c r="B49" s="507" t="str">
        <f>'BLM STATS'!B53</f>
        <v>LYS2</v>
      </c>
      <c r="C49" s="84" t="str">
        <f>'BLM STATS'!F53</f>
        <v>RA 6 ELMORE CO</v>
      </c>
      <c r="D49" s="501" t="str">
        <f>'BLM STATS'!I53</f>
        <v>RFD</v>
      </c>
      <c r="E49" s="501" t="str">
        <f>'BLM STATS'!J53</f>
        <v>5S 10E 28</v>
      </c>
      <c r="F49" s="501" t="str">
        <f>'BLM STATS'!K53</f>
        <v>42 57 37</v>
      </c>
      <c r="G49" s="501" t="str">
        <f>'BLM STATS'!L53</f>
        <v>115 16 55</v>
      </c>
      <c r="H49" s="508" t="str">
        <f>'BLM STATS'!C53</f>
        <v>ELX</v>
      </c>
      <c r="I49" s="201">
        <f t="shared" si="1"/>
        <v>4</v>
      </c>
      <c r="J49" s="15">
        <f>'BLM STATS'!P53</f>
        <v>0</v>
      </c>
      <c r="K49" s="16">
        <f>'BLM STATS'!Q53</f>
        <v>0</v>
      </c>
      <c r="L49" s="17">
        <f>'BLM STATS'!R53</f>
        <v>0</v>
      </c>
      <c r="M49" s="502">
        <f>'BLM STATS'!S53</f>
        <v>0</v>
      </c>
      <c r="N49" s="18">
        <f>'BLM STATS'!T53</f>
        <v>0</v>
      </c>
      <c r="O49" s="19">
        <f>'BLM STATS'!U53</f>
        <v>0</v>
      </c>
      <c r="P49" s="41">
        <f>'BLM STATS'!V53</f>
        <v>0</v>
      </c>
      <c r="Q49" s="187">
        <f>'BLM STATS'!W53</f>
        <v>0</v>
      </c>
      <c r="R49" s="76">
        <f>'BLM STATS'!X49</f>
        <v>0</v>
      </c>
      <c r="S49" s="503"/>
      <c r="T49" s="17"/>
      <c r="U49" s="501"/>
      <c r="V49" s="187"/>
      <c r="W49" s="82">
        <f>'BLM STATS'!Y53</f>
        <v>4</v>
      </c>
      <c r="X49" s="82">
        <f>'BLM STATS'!Z53</f>
        <v>0</v>
      </c>
    </row>
    <row r="50" spans="1:24" x14ac:dyDescent="0.25">
      <c r="A50" s="68">
        <f>'BLM STATS'!A55</f>
        <v>43289</v>
      </c>
      <c r="B50" s="507" t="str">
        <f>'BLM STATS'!B55</f>
        <v>LY68</v>
      </c>
      <c r="C50" s="15" t="str">
        <f>'BLM STATS'!F55</f>
        <v>DUZI</v>
      </c>
      <c r="D50" s="501" t="str">
        <f>'BLM STATS'!I55</f>
        <v>H</v>
      </c>
      <c r="E50" s="501" t="str">
        <f>'BLM STATS'!J55</f>
        <v>7N 1W 05</v>
      </c>
      <c r="F50" s="501" t="str">
        <f>'BLM STATS'!K55</f>
        <v>43 58 09</v>
      </c>
      <c r="G50" s="501" t="str">
        <f>'BLM STATS'!L55</f>
        <v>116 29 17</v>
      </c>
      <c r="H50" s="508" t="str">
        <f>'BLM STATS'!C55</f>
        <v>BOD</v>
      </c>
      <c r="I50" s="201">
        <f t="shared" si="1"/>
        <v>5</v>
      </c>
      <c r="J50" s="15">
        <f>'BLM STATS'!P55</f>
        <v>5</v>
      </c>
      <c r="K50" s="16">
        <f>'BLM STATS'!Q55</f>
        <v>0</v>
      </c>
      <c r="L50" s="17">
        <f>'BLM STATS'!R55</f>
        <v>0</v>
      </c>
      <c r="M50" s="502">
        <f>'BLM STATS'!S55</f>
        <v>0</v>
      </c>
      <c r="N50" s="18">
        <f>'BLM STATS'!T55</f>
        <v>0</v>
      </c>
      <c r="O50" s="19">
        <f>'BLM STATS'!U55</f>
        <v>0</v>
      </c>
      <c r="P50" s="41">
        <f>'BLM STATS'!V55</f>
        <v>0</v>
      </c>
      <c r="Q50" s="187">
        <f>'BLM STATS'!W55</f>
        <v>0</v>
      </c>
      <c r="R50" s="76">
        <f>'BLM STATS'!X50</f>
        <v>0</v>
      </c>
      <c r="S50" s="503"/>
      <c r="T50" s="17"/>
      <c r="U50" s="501"/>
      <c r="V50" s="187"/>
      <c r="W50" s="82">
        <f>'BLM STATS'!Y55</f>
        <v>0</v>
      </c>
      <c r="X50" s="82">
        <f>'BLM STATS'!Z55</f>
        <v>0</v>
      </c>
    </row>
    <row r="51" spans="1:24" x14ac:dyDescent="0.25">
      <c r="A51" s="68">
        <f>'BLM STATS'!A56</f>
        <v>43289</v>
      </c>
      <c r="B51" s="507" t="str">
        <f>'BLM STATS'!B56</f>
        <v>LY7F</v>
      </c>
      <c r="C51" s="84" t="str">
        <f>'BLM STATS'!F56</f>
        <v xml:space="preserve">RA 7 ADA CO </v>
      </c>
      <c r="D51" s="501" t="str">
        <f>'BLM STATS'!I56</f>
        <v>RFD</v>
      </c>
      <c r="E51" s="501" t="str">
        <f>'BLM STATS'!J56</f>
        <v>5N 1E 24</v>
      </c>
      <c r="F51" s="501" t="str">
        <f>'BLM STATS'!K56</f>
        <v>43 45 21</v>
      </c>
      <c r="G51" s="501" t="str">
        <f>'BLM STATS'!L56</f>
        <v>116 17 08</v>
      </c>
      <c r="H51" s="508" t="str">
        <f>'BLM STATS'!C56</f>
        <v>1AX</v>
      </c>
      <c r="I51" s="201">
        <f t="shared" si="1"/>
        <v>276</v>
      </c>
      <c r="J51" s="15">
        <f>'BLM STATS'!P56</f>
        <v>0</v>
      </c>
      <c r="K51" s="16">
        <f>'BLM STATS'!Q56</f>
        <v>0</v>
      </c>
      <c r="L51" s="17">
        <f>'BLM STATS'!R56</f>
        <v>0</v>
      </c>
      <c r="M51" s="502">
        <f>'BLM STATS'!S56</f>
        <v>0</v>
      </c>
      <c r="N51" s="18">
        <f>'BLM STATS'!T56</f>
        <v>0</v>
      </c>
      <c r="O51" s="19">
        <f>'BLM STATS'!U56</f>
        <v>0</v>
      </c>
      <c r="P51" s="41">
        <f>'BLM STATS'!V56</f>
        <v>0</v>
      </c>
      <c r="Q51" s="187">
        <f>'BLM STATS'!W56</f>
        <v>0</v>
      </c>
      <c r="R51" s="76">
        <f>'BLM STATS'!X51</f>
        <v>0</v>
      </c>
      <c r="S51" s="503"/>
      <c r="T51" s="17"/>
      <c r="U51" s="501"/>
      <c r="V51" s="187"/>
      <c r="W51" s="82">
        <f>'BLM STATS'!Y56</f>
        <v>276</v>
      </c>
      <c r="X51" s="82">
        <f>'BLM STATS'!Z56</f>
        <v>0</v>
      </c>
    </row>
    <row r="52" spans="1:24" x14ac:dyDescent="0.25">
      <c r="A52" s="68">
        <f>'BLM STATS'!A57</f>
        <v>43291</v>
      </c>
      <c r="B52" s="507" t="str">
        <f>'BLM STATS'!B57</f>
        <v>LZU7</v>
      </c>
      <c r="C52" s="15" t="str">
        <f>'BLM STATS'!F57</f>
        <v>MM115 I84</v>
      </c>
      <c r="D52" s="501" t="str">
        <f>'BLM STATS'!I57</f>
        <v>H</v>
      </c>
      <c r="E52" s="501" t="str">
        <f>'BLM STATS'!J57</f>
        <v>5S 9E 32</v>
      </c>
      <c r="F52" s="501" t="str">
        <f>'BLM STATS'!K57</f>
        <v>42 56 44</v>
      </c>
      <c r="G52" s="501" t="str">
        <f>'BLM STATS'!L57</f>
        <v>115 24 39</v>
      </c>
      <c r="H52" s="508" t="str">
        <f>'BLM STATS'!C57</f>
        <v>ELX</v>
      </c>
      <c r="I52" s="201">
        <f t="shared" si="1"/>
        <v>1.7</v>
      </c>
      <c r="J52" s="15">
        <f>'BLM STATS'!P57</f>
        <v>0</v>
      </c>
      <c r="K52" s="16">
        <f>'BLM STATS'!Q57</f>
        <v>0</v>
      </c>
      <c r="L52" s="17">
        <f>'BLM STATS'!R57</f>
        <v>0</v>
      </c>
      <c r="M52" s="502">
        <f>'BLM STATS'!S57</f>
        <v>1.7</v>
      </c>
      <c r="N52" s="18">
        <f>'BLM STATS'!T57</f>
        <v>0</v>
      </c>
      <c r="O52" s="19">
        <f>'BLM STATS'!U57</f>
        <v>0</v>
      </c>
      <c r="P52" s="41">
        <f>'BLM STATS'!V57</f>
        <v>0</v>
      </c>
      <c r="Q52" s="187">
        <f>'BLM STATS'!W57</f>
        <v>0</v>
      </c>
      <c r="R52" s="76">
        <f>'BLM STATS'!X52</f>
        <v>0</v>
      </c>
      <c r="S52" s="503"/>
      <c r="T52" s="17"/>
      <c r="U52" s="501"/>
      <c r="V52" s="187"/>
      <c r="W52" s="82">
        <f>'BLM STATS'!Y57</f>
        <v>0</v>
      </c>
      <c r="X52" s="82">
        <f>'BLM STATS'!Z57</f>
        <v>0</v>
      </c>
    </row>
    <row r="53" spans="1:24" x14ac:dyDescent="0.25">
      <c r="A53" s="68">
        <f>'BLM STATS'!A60</f>
        <v>43292</v>
      </c>
      <c r="B53" s="507" t="str">
        <f>'BLM STATS'!B60</f>
        <v>LZ3T</v>
      </c>
      <c r="C53" s="896" t="str">
        <f>'BLM STATS'!F60</f>
        <v>FA 9 BOD</v>
      </c>
      <c r="D53" s="571" t="str">
        <f>'BLM STATS'!I60</f>
        <v>FA</v>
      </c>
      <c r="E53" s="571" t="str">
        <f>'BLM STATS'!J60</f>
        <v>4S 5E 22</v>
      </c>
      <c r="F53" s="571" t="str">
        <f>'BLM STATS'!K60</f>
        <v>43 04 09</v>
      </c>
      <c r="G53" s="571" t="str">
        <f>'BLM STATS'!L60</f>
        <v>115 50 02</v>
      </c>
      <c r="H53" s="508" t="str">
        <f>'BLM STATS'!C60</f>
        <v>BOD</v>
      </c>
      <c r="I53" s="201">
        <f>SUM(J53:X53)</f>
        <v>0</v>
      </c>
      <c r="J53" s="15">
        <f>'BLM STATS'!P60</f>
        <v>0</v>
      </c>
      <c r="K53" s="16">
        <f>'BLM STATS'!Q60</f>
        <v>0</v>
      </c>
      <c r="L53" s="17">
        <f>'BLM STATS'!R60</f>
        <v>0</v>
      </c>
      <c r="M53" s="572">
        <f>'BLM STATS'!S60</f>
        <v>0</v>
      </c>
      <c r="N53" s="18">
        <f>'BLM STATS'!T60</f>
        <v>0</v>
      </c>
      <c r="O53" s="19">
        <f>'BLM STATS'!U60</f>
        <v>0</v>
      </c>
      <c r="P53" s="41">
        <f>'BLM STATS'!V60</f>
        <v>0</v>
      </c>
      <c r="Q53" s="187">
        <f>'BLM STATS'!W60</f>
        <v>0</v>
      </c>
      <c r="R53" s="76">
        <f>'BLM STATS'!X53</f>
        <v>0</v>
      </c>
      <c r="S53" s="573"/>
      <c r="T53" s="17"/>
      <c r="U53" s="571"/>
      <c r="V53" s="187"/>
      <c r="W53" s="82">
        <f>'BLM STATS'!Y60</f>
        <v>0</v>
      </c>
      <c r="X53" s="82">
        <f>'BLM STATS'!Z60</f>
        <v>0</v>
      </c>
    </row>
    <row r="54" spans="1:24" x14ac:dyDescent="0.25">
      <c r="A54" s="68">
        <f>'BLM STATS'!A61</f>
        <v>43295</v>
      </c>
      <c r="B54" s="507" t="str">
        <f>'BLM STATS'!B61</f>
        <v>L0EK</v>
      </c>
      <c r="C54" s="15" t="str">
        <f>'BLM STATS'!F61</f>
        <v>MM99 I84</v>
      </c>
      <c r="D54" s="501" t="str">
        <f>'BLM STATS'!I61</f>
        <v>H</v>
      </c>
      <c r="E54" s="501" t="str">
        <f>'BLM STATS'!J61</f>
        <v>4S 7E 15</v>
      </c>
      <c r="F54" s="501" t="str">
        <f>'BLM STATS'!K61</f>
        <v>43 04 45</v>
      </c>
      <c r="G54" s="501" t="str">
        <f>'BLM STATS'!L61</f>
        <v>115 35 59</v>
      </c>
      <c r="H54" s="508" t="str">
        <f>'BLM STATS'!C61</f>
        <v>BOD</v>
      </c>
      <c r="I54" s="201">
        <f t="shared" si="1"/>
        <v>0.5</v>
      </c>
      <c r="J54" s="15">
        <f>'BLM STATS'!P61</f>
        <v>0.5</v>
      </c>
      <c r="K54" s="16">
        <f>'BLM STATS'!Q61</f>
        <v>0</v>
      </c>
      <c r="L54" s="17">
        <f>'BLM STATS'!R61</f>
        <v>0</v>
      </c>
      <c r="M54" s="502">
        <f>'BLM STATS'!S61</f>
        <v>0</v>
      </c>
      <c r="N54" s="18">
        <f>'BLM STATS'!T61</f>
        <v>0</v>
      </c>
      <c r="O54" s="19">
        <f>'BLM STATS'!U61</f>
        <v>0</v>
      </c>
      <c r="P54" s="41">
        <f>'BLM STATS'!V61</f>
        <v>0</v>
      </c>
      <c r="Q54" s="187">
        <f>'BLM STATS'!W61</f>
        <v>0</v>
      </c>
      <c r="R54" s="76">
        <f>'BLM STATS'!X54</f>
        <v>0</v>
      </c>
      <c r="S54" s="503"/>
      <c r="T54" s="17"/>
      <c r="U54" s="501"/>
      <c r="V54" s="187"/>
      <c r="W54" s="82">
        <f>'BLM STATS'!Y61</f>
        <v>0</v>
      </c>
      <c r="X54" s="82">
        <f>'BLM STATS'!Z61</f>
        <v>0</v>
      </c>
    </row>
    <row r="55" spans="1:24" x14ac:dyDescent="0.25">
      <c r="A55" s="68">
        <f>'BLM STATS'!A62</f>
        <v>43295</v>
      </c>
      <c r="B55" s="507" t="str">
        <f>'BLM STATS'!B62</f>
        <v>L0EJ</v>
      </c>
      <c r="C55" s="15" t="str">
        <f>'BLM STATS'!F62</f>
        <v>MM79 HWY51</v>
      </c>
      <c r="D55" s="501" t="str">
        <f>'BLM STATS'!I62</f>
        <v>H</v>
      </c>
      <c r="E55" s="501" t="str">
        <f>'BLM STATS'!J62</f>
        <v>5S 6E 29</v>
      </c>
      <c r="F55" s="501" t="str">
        <f>'BLM STATS'!K62</f>
        <v>42 57 31</v>
      </c>
      <c r="G55" s="501" t="str">
        <f>'BLM STATS'!L62</f>
        <v>115 45 56</v>
      </c>
      <c r="H55" s="508" t="str">
        <f>'BLM STATS'!C62</f>
        <v>SRL</v>
      </c>
      <c r="I55" s="201">
        <f t="shared" si="1"/>
        <v>49</v>
      </c>
      <c r="J55" s="15">
        <f>'BLM STATS'!P62</f>
        <v>0</v>
      </c>
      <c r="K55" s="16">
        <f>'BLM STATS'!Q62</f>
        <v>0</v>
      </c>
      <c r="L55" s="17">
        <f>'BLM STATS'!R62</f>
        <v>0</v>
      </c>
      <c r="M55" s="502">
        <f>'BLM STATS'!S62</f>
        <v>11</v>
      </c>
      <c r="N55" s="18">
        <f>'BLM STATS'!T62</f>
        <v>0</v>
      </c>
      <c r="O55" s="19">
        <f>'BLM STATS'!U62</f>
        <v>0</v>
      </c>
      <c r="P55" s="41">
        <f>'BLM STATS'!V62</f>
        <v>0</v>
      </c>
      <c r="Q55" s="187">
        <f>'BLM STATS'!W62</f>
        <v>38</v>
      </c>
      <c r="R55" s="76">
        <f>'BLM STATS'!X55</f>
        <v>0</v>
      </c>
      <c r="S55" s="503"/>
      <c r="T55" s="17"/>
      <c r="U55" s="501"/>
      <c r="V55" s="187"/>
      <c r="W55" s="82">
        <f>'BLM STATS'!Y62</f>
        <v>0</v>
      </c>
      <c r="X55" s="82">
        <f>'BLM STATS'!Z62</f>
        <v>0</v>
      </c>
    </row>
    <row r="56" spans="1:24" x14ac:dyDescent="0.25">
      <c r="A56" s="68">
        <f>'BLM STATS'!A64</f>
        <v>43296</v>
      </c>
      <c r="B56" s="507" t="str">
        <f>'BLM STATS'!B64</f>
        <v>L0HR</v>
      </c>
      <c r="C56" s="15" t="str">
        <f>'BLM STATS'!F64</f>
        <v>EAST BEN</v>
      </c>
      <c r="D56" s="501" t="str">
        <f>'BLM STATS'!I64</f>
        <v>H</v>
      </c>
      <c r="E56" s="501" t="str">
        <f>'BLM STATS'!J64</f>
        <v>5S 8E 26</v>
      </c>
      <c r="F56" s="501" t="str">
        <f>'BLM STATS'!K64</f>
        <v>42 57 45</v>
      </c>
      <c r="G56" s="501" t="str">
        <f>'BLM STATS'!L64</f>
        <v>115 27 59</v>
      </c>
      <c r="H56" s="508" t="str">
        <f>'BLM STATS'!C64</f>
        <v>BOD</v>
      </c>
      <c r="I56" s="201">
        <f t="shared" si="1"/>
        <v>1.25</v>
      </c>
      <c r="J56" s="15">
        <f>'BLM STATS'!P64</f>
        <v>1.25</v>
      </c>
      <c r="K56" s="16">
        <f>'BLM STATS'!Q64</f>
        <v>0</v>
      </c>
      <c r="L56" s="17">
        <f>'BLM STATS'!R64</f>
        <v>0</v>
      </c>
      <c r="M56" s="502">
        <f>'BLM STATS'!S64</f>
        <v>0</v>
      </c>
      <c r="N56" s="18">
        <f>'BLM STATS'!T64</f>
        <v>0</v>
      </c>
      <c r="O56" s="19">
        <f>'BLM STATS'!U64</f>
        <v>0</v>
      </c>
      <c r="P56" s="41">
        <f>'BLM STATS'!V64</f>
        <v>0</v>
      </c>
      <c r="Q56" s="187">
        <f>'BLM STATS'!W64</f>
        <v>0</v>
      </c>
      <c r="R56" s="76">
        <f>'BLM STATS'!X56</f>
        <v>0</v>
      </c>
      <c r="S56" s="503"/>
      <c r="T56" s="17"/>
      <c r="U56" s="501"/>
      <c r="V56" s="187"/>
      <c r="W56" s="82">
        <f>'BLM STATS'!Y64</f>
        <v>0</v>
      </c>
      <c r="X56" s="82">
        <f>'BLM STATS'!Z64</f>
        <v>0</v>
      </c>
    </row>
    <row r="57" spans="1:24" x14ac:dyDescent="0.25">
      <c r="A57" s="68">
        <f>'BLM STATS'!A65</f>
        <v>43297</v>
      </c>
      <c r="B57" s="507" t="str">
        <f>'BLM STATS'!B65</f>
        <v>L0K2</v>
      </c>
      <c r="C57" s="15" t="str">
        <f>'BLM STATS'!F65</f>
        <v>EAST WHITE</v>
      </c>
      <c r="D57" s="501" t="str">
        <f>'BLM STATS'!I65</f>
        <v>L</v>
      </c>
      <c r="E57" s="501" t="str">
        <f>'BLM STATS'!J65</f>
        <v>10S 7E 34</v>
      </c>
      <c r="F57" s="501" t="str">
        <f>'BLM STATS'!K65</f>
        <v>42 31 06</v>
      </c>
      <c r="G57" s="501" t="str">
        <f>'BLM STATS'!L65</f>
        <v>115 37 03</v>
      </c>
      <c r="H57" s="508" t="str">
        <f>'BLM STATS'!C65</f>
        <v>BOD</v>
      </c>
      <c r="I57" s="201">
        <f t="shared" si="1"/>
        <v>3245</v>
      </c>
      <c r="J57" s="15">
        <f>'BLM STATS'!P65</f>
        <v>2722</v>
      </c>
      <c r="K57" s="16">
        <f>'BLM STATS'!Q65</f>
        <v>0</v>
      </c>
      <c r="L57" s="17">
        <f>'BLM STATS'!R65</f>
        <v>523</v>
      </c>
      <c r="M57" s="502">
        <f>'BLM STATS'!S65</f>
        <v>0</v>
      </c>
      <c r="N57" s="18">
        <f>'BLM STATS'!T65</f>
        <v>0</v>
      </c>
      <c r="O57" s="19">
        <f>'BLM STATS'!U65</f>
        <v>0</v>
      </c>
      <c r="P57" s="41">
        <f>'BLM STATS'!V65</f>
        <v>0</v>
      </c>
      <c r="Q57" s="187">
        <f>'BLM STATS'!W65</f>
        <v>0</v>
      </c>
      <c r="R57" s="76">
        <f>'BLM STATS'!X57</f>
        <v>0</v>
      </c>
      <c r="S57" s="503"/>
      <c r="T57" s="17"/>
      <c r="U57" s="501"/>
      <c r="V57" s="187"/>
      <c r="W57" s="82">
        <f>'BLM STATS'!Y65</f>
        <v>0</v>
      </c>
      <c r="X57" s="82">
        <f>'BLM STATS'!Z65</f>
        <v>0</v>
      </c>
    </row>
    <row r="58" spans="1:24" x14ac:dyDescent="0.25">
      <c r="A58" s="68">
        <f>'BLM STATS'!A66</f>
        <v>43297</v>
      </c>
      <c r="B58" s="507" t="str">
        <f>'BLM STATS'!B66</f>
        <v>L0LT</v>
      </c>
      <c r="C58" s="15" t="str">
        <f>'BLM STATS'!F66</f>
        <v>GARAT</v>
      </c>
      <c r="D58" s="501" t="str">
        <f>'BLM STATS'!I66</f>
        <v>L</v>
      </c>
      <c r="E58" s="501" t="str">
        <f>'BLM STATS'!J66</f>
        <v>14S 1W 20</v>
      </c>
      <c r="F58" s="501" t="str">
        <f>'BLM STATS'!K66</f>
        <v>42 11 29</v>
      </c>
      <c r="G58" s="501" t="str">
        <f>'BLM STATS'!L66</f>
        <v>116 29 25</v>
      </c>
      <c r="H58" s="508" t="str">
        <f>'BLM STATS'!C66</f>
        <v>BOD</v>
      </c>
      <c r="I58" s="201">
        <f t="shared" si="1"/>
        <v>9490</v>
      </c>
      <c r="J58" s="15">
        <f>'BLM STATS'!P66</f>
        <v>9331</v>
      </c>
      <c r="K58" s="16">
        <f>'BLM STATS'!Q66</f>
        <v>0</v>
      </c>
      <c r="L58" s="17">
        <f>'BLM STATS'!R66</f>
        <v>0</v>
      </c>
      <c r="M58" s="502">
        <f>'BLM STATS'!S66</f>
        <v>0</v>
      </c>
      <c r="N58" s="18">
        <f>'BLM STATS'!T66</f>
        <v>0</v>
      </c>
      <c r="O58" s="19">
        <f>'BLM STATS'!U66</f>
        <v>0</v>
      </c>
      <c r="P58" s="41">
        <f>'BLM STATS'!V66</f>
        <v>0</v>
      </c>
      <c r="Q58" s="187">
        <f>'BLM STATS'!W66</f>
        <v>0</v>
      </c>
      <c r="R58" s="76">
        <f>'BLM STATS'!X66</f>
        <v>159</v>
      </c>
      <c r="S58" s="503"/>
      <c r="T58" s="17"/>
      <c r="U58" s="501"/>
      <c r="V58" s="187"/>
      <c r="W58" s="82">
        <f>'BLM STATS'!Y66</f>
        <v>0</v>
      </c>
      <c r="X58" s="82">
        <f>'BLM STATS'!Z66</f>
        <v>0</v>
      </c>
    </row>
    <row r="59" spans="1:24" x14ac:dyDescent="0.25">
      <c r="A59" s="68">
        <f>'BLM STATS'!A67</f>
        <v>43297</v>
      </c>
      <c r="B59" s="507" t="str">
        <f>'BLM STATS'!B67</f>
        <v>L0K9</v>
      </c>
      <c r="C59" s="15" t="str">
        <f>'BLM STATS'!F67</f>
        <v xml:space="preserve">SUB </v>
      </c>
      <c r="D59" s="501" t="str">
        <f>'BLM STATS'!I67</f>
        <v>L</v>
      </c>
      <c r="E59" s="501" t="str">
        <f>'BLM STATS'!J67</f>
        <v>6S 5E 20</v>
      </c>
      <c r="F59" s="501" t="str">
        <f>'BLM STATS'!K67</f>
        <v>42 53 32</v>
      </c>
      <c r="G59" s="501" t="str">
        <f>'BLM STATS'!L67</f>
        <v>115 53 32</v>
      </c>
      <c r="H59" s="508" t="str">
        <f>'BLM STATS'!C67</f>
        <v>BOD</v>
      </c>
      <c r="I59" s="201">
        <f t="shared" si="1"/>
        <v>42</v>
      </c>
      <c r="J59" s="15">
        <f>'BLM STATS'!P67</f>
        <v>42</v>
      </c>
      <c r="K59" s="16">
        <f>'BLM STATS'!Q67</f>
        <v>0</v>
      </c>
      <c r="L59" s="17">
        <f>'BLM STATS'!R67</f>
        <v>0</v>
      </c>
      <c r="M59" s="502">
        <f>'BLM STATS'!S67</f>
        <v>0</v>
      </c>
      <c r="N59" s="18">
        <f>'BLM STATS'!T67</f>
        <v>0</v>
      </c>
      <c r="O59" s="19">
        <f>'BLM STATS'!U67</f>
        <v>0</v>
      </c>
      <c r="P59" s="41">
        <f>'BLM STATS'!V67</f>
        <v>0</v>
      </c>
      <c r="Q59" s="187">
        <f>'BLM STATS'!W67</f>
        <v>0</v>
      </c>
      <c r="R59" s="76">
        <f>'BLM STATS'!X67</f>
        <v>0</v>
      </c>
      <c r="S59" s="503"/>
      <c r="T59" s="17"/>
      <c r="U59" s="501"/>
      <c r="V59" s="187"/>
      <c r="W59" s="82">
        <f>'BLM STATS'!Y67</f>
        <v>0</v>
      </c>
      <c r="X59" s="82">
        <f>'BLM STATS'!Z67</f>
        <v>0</v>
      </c>
    </row>
    <row r="60" spans="1:24" x14ac:dyDescent="0.25">
      <c r="A60" s="68">
        <f>'BLM STATS'!A68</f>
        <v>43297</v>
      </c>
      <c r="B60" s="507" t="str">
        <f>'BLM STATS'!B68</f>
        <v>L0LR</v>
      </c>
      <c r="C60" s="15" t="str">
        <f>'BLM STATS'!F68</f>
        <v xml:space="preserve">MM106 I84 </v>
      </c>
      <c r="D60" s="501" t="str">
        <f>'BLM STATS'!I68</f>
        <v>L</v>
      </c>
      <c r="E60" s="501" t="str">
        <f>'BLM STATS'!J68</f>
        <v>5S 8E 08</v>
      </c>
      <c r="F60" s="501" t="str">
        <f>'BLM STATS'!K68</f>
        <v>43 00 20</v>
      </c>
      <c r="G60" s="501" t="str">
        <f>'BLM STATS'!L68</f>
        <v>115 31 48</v>
      </c>
      <c r="H60" s="508" t="str">
        <f>'BLM STATS'!C68</f>
        <v>BOD</v>
      </c>
      <c r="I60" s="201">
        <f t="shared" si="1"/>
        <v>91</v>
      </c>
      <c r="J60" s="15">
        <f>'BLM STATS'!P68</f>
        <v>91</v>
      </c>
      <c r="K60" s="16">
        <f>'BLM STATS'!Q68</f>
        <v>0</v>
      </c>
      <c r="L60" s="17">
        <f>'BLM STATS'!R68</f>
        <v>0</v>
      </c>
      <c r="M60" s="502">
        <f>'BLM STATS'!S68</f>
        <v>0</v>
      </c>
      <c r="N60" s="18">
        <f>'BLM STATS'!T68</f>
        <v>0</v>
      </c>
      <c r="O60" s="19">
        <f>'BLM STATS'!U68</f>
        <v>0</v>
      </c>
      <c r="P60" s="41">
        <f>'BLM STATS'!V68</f>
        <v>0</v>
      </c>
      <c r="Q60" s="187">
        <f>'BLM STATS'!W68</f>
        <v>0</v>
      </c>
      <c r="R60" s="76">
        <f>'BLM STATS'!X68</f>
        <v>0</v>
      </c>
      <c r="S60" s="503"/>
      <c r="T60" s="17"/>
      <c r="U60" s="501"/>
      <c r="V60" s="187"/>
      <c r="W60" s="82">
        <f>'BLM STATS'!Y68</f>
        <v>0</v>
      </c>
      <c r="X60" s="82">
        <f>'BLM STATS'!Z68</f>
        <v>0</v>
      </c>
    </row>
    <row r="61" spans="1:24" x14ac:dyDescent="0.25">
      <c r="A61" s="68">
        <f>'BLM STATS'!A69</f>
        <v>43297</v>
      </c>
      <c r="B61" s="507">
        <f>'BLM STATS'!B69</f>
        <v>0</v>
      </c>
      <c r="C61" s="902" t="str">
        <f>'BLM STATS'!F69</f>
        <v xml:space="preserve">FA 10 BOD </v>
      </c>
      <c r="D61" s="501" t="str">
        <f>'BLM STATS'!I69</f>
        <v>FA</v>
      </c>
      <c r="E61" s="501">
        <f>'BLM STATS'!J69</f>
        <v>0</v>
      </c>
      <c r="F61" s="501">
        <f>'BLM STATS'!K69</f>
        <v>0</v>
      </c>
      <c r="G61" s="501">
        <f>'BLM STATS'!L69</f>
        <v>0</v>
      </c>
      <c r="H61" s="508" t="str">
        <f>'BLM STATS'!C69</f>
        <v>MHQ</v>
      </c>
      <c r="I61" s="201">
        <f t="shared" si="1"/>
        <v>0</v>
      </c>
      <c r="J61" s="15">
        <f>'BLM STATS'!P69</f>
        <v>0</v>
      </c>
      <c r="K61" s="16">
        <f>'BLM STATS'!Q69</f>
        <v>0</v>
      </c>
      <c r="L61" s="17">
        <f>'BLM STATS'!R69</f>
        <v>0</v>
      </c>
      <c r="M61" s="502">
        <f>'BLM STATS'!S69</f>
        <v>0</v>
      </c>
      <c r="N61" s="18">
        <f>'BLM STATS'!T69</f>
        <v>0</v>
      </c>
      <c r="O61" s="19">
        <f>'BLM STATS'!U69</f>
        <v>0</v>
      </c>
      <c r="P61" s="41">
        <f>'BLM STATS'!V69</f>
        <v>0</v>
      </c>
      <c r="Q61" s="187">
        <f>'BLM STATS'!W69</f>
        <v>0</v>
      </c>
      <c r="R61" s="76">
        <f>'BLM STATS'!X69</f>
        <v>0</v>
      </c>
      <c r="S61" s="503"/>
      <c r="T61" s="17"/>
      <c r="U61" s="501"/>
      <c r="V61" s="187"/>
      <c r="W61" s="82">
        <f>'BLM STATS'!Y69</f>
        <v>0</v>
      </c>
      <c r="X61" s="82">
        <f>'BLM STATS'!Z69</f>
        <v>0</v>
      </c>
    </row>
    <row r="62" spans="1:24" x14ac:dyDescent="0.25">
      <c r="A62" s="68">
        <f>'BLM STATS'!A70</f>
        <v>43297</v>
      </c>
      <c r="B62" s="507" t="str">
        <f>'BLM STATS'!B70</f>
        <v>L0LW</v>
      </c>
      <c r="C62" s="15" t="str">
        <f>'BLM STATS'!F70</f>
        <v xml:space="preserve">WEST DUCK </v>
      </c>
      <c r="D62" s="501" t="str">
        <f>'BLM STATS'!I70</f>
        <v>L</v>
      </c>
      <c r="E62" s="501" t="str">
        <f>'BLM STATS'!J70</f>
        <v>16S 1E 18</v>
      </c>
      <c r="F62" s="501" t="str">
        <f>'BLM STATS'!K70</f>
        <v>42 02 04</v>
      </c>
      <c r="G62" s="501" t="str">
        <f>'BLM STATS'!L70</f>
        <v>116 23 30</v>
      </c>
      <c r="H62" s="508" t="str">
        <f>'BLM STATS'!C70</f>
        <v>BOD</v>
      </c>
      <c r="I62" s="201">
        <f t="shared" si="1"/>
        <v>11194</v>
      </c>
      <c r="J62" s="15">
        <f>'BLM STATS'!P70</f>
        <v>2812</v>
      </c>
      <c r="K62" s="16">
        <f>'BLM STATS'!Q70</f>
        <v>0</v>
      </c>
      <c r="L62" s="17">
        <f>'BLM STATS'!R70</f>
        <v>0</v>
      </c>
      <c r="M62" s="502">
        <f>'BLM STATS'!S70</f>
        <v>0</v>
      </c>
      <c r="N62" s="18">
        <f>'BLM STATS'!T70</f>
        <v>0</v>
      </c>
      <c r="O62" s="19">
        <f>'BLM STATS'!U70</f>
        <v>0</v>
      </c>
      <c r="P62" s="41">
        <f>'BLM STATS'!V70</f>
        <v>0</v>
      </c>
      <c r="Q62" s="187">
        <f>'BLM STATS'!W70</f>
        <v>0</v>
      </c>
      <c r="R62" s="76">
        <f>'BLM STATS'!X70</f>
        <v>8382</v>
      </c>
      <c r="S62" s="503"/>
      <c r="T62" s="17"/>
      <c r="U62" s="501"/>
      <c r="V62" s="187"/>
      <c r="W62" s="82">
        <f>'BLM STATS'!Y70</f>
        <v>0</v>
      </c>
      <c r="X62" s="82">
        <f>'BLM STATS'!Z70</f>
        <v>0</v>
      </c>
    </row>
    <row r="63" spans="1:24" x14ac:dyDescent="0.25">
      <c r="A63" s="68">
        <f>'BLM STATS'!A71</f>
        <v>43297</v>
      </c>
      <c r="B63" s="507" t="str">
        <f>'BLM STATS'!B71</f>
        <v>L0MM</v>
      </c>
      <c r="C63" s="15" t="str">
        <f>'BLM STATS'!F71</f>
        <v>OTTER</v>
      </c>
      <c r="D63" s="501" t="str">
        <f>'BLM STATS'!I71</f>
        <v>L</v>
      </c>
      <c r="E63" s="501" t="str">
        <f>'BLM STATS'!J71</f>
        <v>14S 4E 32</v>
      </c>
      <c r="F63" s="501" t="str">
        <f>'BLM STATS'!K71</f>
        <v>42 09 52</v>
      </c>
      <c r="G63" s="501" t="str">
        <f>'BLM STATS'!L71</f>
        <v>116 01 04</v>
      </c>
      <c r="H63" s="508" t="str">
        <f>'BLM STATS'!C71</f>
        <v>BOD</v>
      </c>
      <c r="I63" s="201">
        <f t="shared" si="1"/>
        <v>2374</v>
      </c>
      <c r="J63" s="15">
        <f>'BLM STATS'!P71</f>
        <v>1891</v>
      </c>
      <c r="K63" s="16">
        <f>'BLM STATS'!Q71</f>
        <v>0</v>
      </c>
      <c r="L63" s="17">
        <f>'BLM STATS'!R71</f>
        <v>0</v>
      </c>
      <c r="M63" s="502">
        <f>'BLM STATS'!S71</f>
        <v>186</v>
      </c>
      <c r="N63" s="18">
        <f>'BLM STATS'!T71</f>
        <v>0</v>
      </c>
      <c r="O63" s="19">
        <f>'BLM STATS'!U71</f>
        <v>0</v>
      </c>
      <c r="P63" s="41">
        <f>'BLM STATS'!V71</f>
        <v>0</v>
      </c>
      <c r="Q63" s="187">
        <f>'BLM STATS'!W71</f>
        <v>0</v>
      </c>
      <c r="R63" s="76">
        <f>'BLM STATS'!X71</f>
        <v>297</v>
      </c>
      <c r="S63" s="503"/>
      <c r="T63" s="17"/>
      <c r="U63" s="501"/>
      <c r="V63" s="187"/>
      <c r="W63" s="82">
        <f>'BLM STATS'!Y71</f>
        <v>0</v>
      </c>
      <c r="X63" s="82">
        <f>'BLM STATS'!Z71</f>
        <v>0</v>
      </c>
    </row>
    <row r="64" spans="1:24" x14ac:dyDescent="0.25">
      <c r="A64" s="68">
        <f>'BLM STATS'!A72</f>
        <v>43297</v>
      </c>
      <c r="B64" s="507" t="str">
        <f>'BLM STATS'!B72</f>
        <v>L0MT</v>
      </c>
      <c r="C64" s="15" t="str">
        <f>'BLM STATS'!F72</f>
        <v>RED BASIN</v>
      </c>
      <c r="D64" s="501" t="str">
        <f>'BLM STATS'!I72</f>
        <v>L</v>
      </c>
      <c r="E64" s="501" t="str">
        <f>'BLM STATS'!J72</f>
        <v>13S 4W 02</v>
      </c>
      <c r="F64" s="501" t="str">
        <f>'BLM STATS'!K72</f>
        <v>42 18 59</v>
      </c>
      <c r="G64" s="501" t="str">
        <f>'BLM STATS'!L72</f>
        <v>116 46 43</v>
      </c>
      <c r="H64" s="508" t="str">
        <f>'BLM STATS'!C72</f>
        <v>BOD</v>
      </c>
      <c r="I64" s="201">
        <f t="shared" si="1"/>
        <v>205</v>
      </c>
      <c r="J64" s="15">
        <f>'BLM STATS'!P72</f>
        <v>205</v>
      </c>
      <c r="K64" s="16">
        <f>'BLM STATS'!Q72</f>
        <v>0</v>
      </c>
      <c r="L64" s="17">
        <f>'BLM STATS'!R72</f>
        <v>0</v>
      </c>
      <c r="M64" s="502">
        <f>'BLM STATS'!S72</f>
        <v>0</v>
      </c>
      <c r="N64" s="18">
        <f>'BLM STATS'!T72</f>
        <v>0</v>
      </c>
      <c r="O64" s="19">
        <f>'BLM STATS'!U72</f>
        <v>0</v>
      </c>
      <c r="P64" s="41">
        <f>'BLM STATS'!V72</f>
        <v>0</v>
      </c>
      <c r="Q64" s="187">
        <f>'BLM STATS'!W72</f>
        <v>0</v>
      </c>
      <c r="R64" s="76">
        <f>'BLM STATS'!X72</f>
        <v>0</v>
      </c>
      <c r="S64" s="503"/>
      <c r="T64" s="17"/>
      <c r="U64" s="501"/>
      <c r="V64" s="187"/>
      <c r="W64" s="82">
        <f>'BLM STATS'!Y72</f>
        <v>0</v>
      </c>
      <c r="X64" s="82">
        <f>'BLM STATS'!Z72</f>
        <v>0</v>
      </c>
    </row>
    <row r="65" spans="1:24" x14ac:dyDescent="0.25">
      <c r="A65" s="68">
        <f>'BLM STATS'!A73</f>
        <v>43297</v>
      </c>
      <c r="B65" s="507" t="str">
        <f>'BLM STATS'!B73</f>
        <v>L0NX</v>
      </c>
      <c r="C65" s="15" t="str">
        <f>'BLM STATS'!F73</f>
        <v>FLAT</v>
      </c>
      <c r="D65" s="501" t="str">
        <f>'BLM STATS'!I73</f>
        <v>L</v>
      </c>
      <c r="E65" s="501" t="str">
        <f>'BLM STATS'!J73</f>
        <v>13S 2E 4</v>
      </c>
      <c r="F65" s="501" t="str">
        <f>'BLM STATS'!K73</f>
        <v>42 19 50</v>
      </c>
      <c r="G65" s="501" t="str">
        <f>'BLM STATS'!L73</f>
        <v>116 13 34</v>
      </c>
      <c r="H65" s="508" t="str">
        <f>'BLM STATS'!C73</f>
        <v>BOD</v>
      </c>
      <c r="I65" s="201">
        <f t="shared" si="1"/>
        <v>133</v>
      </c>
      <c r="J65" s="15">
        <f>'BLM STATS'!P73</f>
        <v>133</v>
      </c>
      <c r="K65" s="16">
        <f>'BLM STATS'!Q73</f>
        <v>0</v>
      </c>
      <c r="L65" s="17">
        <f>'BLM STATS'!R73</f>
        <v>0</v>
      </c>
      <c r="M65" s="502">
        <f>'BLM STATS'!S73</f>
        <v>0</v>
      </c>
      <c r="N65" s="18">
        <f>'BLM STATS'!T73</f>
        <v>0</v>
      </c>
      <c r="O65" s="19">
        <f>'BLM STATS'!U73</f>
        <v>0</v>
      </c>
      <c r="P65" s="41">
        <f>'BLM STATS'!V73</f>
        <v>0</v>
      </c>
      <c r="Q65" s="187">
        <f>'BLM STATS'!W73</f>
        <v>0</v>
      </c>
      <c r="R65" s="76">
        <f>'BLM STATS'!X73</f>
        <v>0</v>
      </c>
      <c r="S65" s="503"/>
      <c r="T65" s="17"/>
      <c r="U65" s="501"/>
      <c r="V65" s="187"/>
      <c r="W65" s="82">
        <f>'BLM STATS'!Y73</f>
        <v>0</v>
      </c>
      <c r="X65" s="82">
        <f>'BLM STATS'!Z73</f>
        <v>0</v>
      </c>
    </row>
    <row r="66" spans="1:24" x14ac:dyDescent="0.25">
      <c r="A66" s="68">
        <f>'BLM STATS'!A74</f>
        <v>43297</v>
      </c>
      <c r="B66" s="507" t="str">
        <f>'BLM STATS'!B74</f>
        <v>L0PZ</v>
      </c>
      <c r="C66" s="15" t="str">
        <f>'BLM STATS'!F74</f>
        <v>MM73 I84</v>
      </c>
      <c r="D66" s="501" t="str">
        <f>'BLM STATS'!I74</f>
        <v>L</v>
      </c>
      <c r="E66" s="501" t="str">
        <f>'BLM STATS'!J74</f>
        <v>1S 4E 10</v>
      </c>
      <c r="F66" s="501" t="str">
        <f>'BLM STATS'!K74</f>
        <v>43 21 28</v>
      </c>
      <c r="G66" s="501" t="str">
        <f>'BLM STATS'!L74</f>
        <v>115 58 06</v>
      </c>
      <c r="H66" s="508" t="str">
        <f>'BLM STATS'!C74</f>
        <v>ELX</v>
      </c>
      <c r="I66" s="201">
        <f t="shared" si="1"/>
        <v>36</v>
      </c>
      <c r="J66" s="15">
        <f>'BLM STATS'!P74</f>
        <v>0</v>
      </c>
      <c r="K66" s="16">
        <f>'BLM STATS'!Q74</f>
        <v>0</v>
      </c>
      <c r="L66" s="17">
        <f>'BLM STATS'!R74</f>
        <v>0</v>
      </c>
      <c r="M66" s="502">
        <f>'BLM STATS'!S74</f>
        <v>36</v>
      </c>
      <c r="N66" s="18">
        <f>'BLM STATS'!T74</f>
        <v>0</v>
      </c>
      <c r="O66" s="19">
        <f>'BLM STATS'!U74</f>
        <v>0</v>
      </c>
      <c r="P66" s="41">
        <f>'BLM STATS'!V74</f>
        <v>0</v>
      </c>
      <c r="Q66" s="187">
        <f>'BLM STATS'!W74</f>
        <v>0</v>
      </c>
      <c r="R66" s="76">
        <f>'BLM STATS'!X74</f>
        <v>0</v>
      </c>
      <c r="S66" s="503"/>
      <c r="T66" s="17"/>
      <c r="U66" s="501"/>
      <c r="V66" s="187"/>
      <c r="W66" s="82">
        <f>'BLM STATS'!Y74</f>
        <v>0</v>
      </c>
      <c r="X66" s="82">
        <f>'BLM STATS'!Z74</f>
        <v>0</v>
      </c>
    </row>
    <row r="67" spans="1:24" x14ac:dyDescent="0.25">
      <c r="A67" s="68">
        <f>'BLM STATS'!A75</f>
        <v>43299</v>
      </c>
      <c r="B67" s="507" t="str">
        <f>'BLM STATS'!B75</f>
        <v>L0UT</v>
      </c>
      <c r="C67" s="15" t="str">
        <f>'BLM STATS'!F75</f>
        <v>BOWN</v>
      </c>
      <c r="D67" s="501" t="str">
        <f>'BLM STATS'!I75</f>
        <v>H</v>
      </c>
      <c r="E67" s="501" t="str">
        <f>'BLM STATS'!J75</f>
        <v>1S 4E 26</v>
      </c>
      <c r="F67" s="501" t="str">
        <f>'BLM STATS'!K75</f>
        <v>43 18 22</v>
      </c>
      <c r="G67" s="501" t="str">
        <f>'BLM STATS'!L75</f>
        <v>115 57 17</v>
      </c>
      <c r="H67" s="508" t="str">
        <f>'BLM STATS'!C75</f>
        <v>ELX</v>
      </c>
      <c r="I67" s="201">
        <f t="shared" si="1"/>
        <v>176</v>
      </c>
      <c r="J67" s="15">
        <f>'BLM STATS'!P75</f>
        <v>8</v>
      </c>
      <c r="K67" s="16">
        <f>'BLM STATS'!Q75</f>
        <v>0</v>
      </c>
      <c r="L67" s="17">
        <f>'BLM STATS'!R75</f>
        <v>0</v>
      </c>
      <c r="M67" s="502">
        <f>'BLM STATS'!S75</f>
        <v>168</v>
      </c>
      <c r="N67" s="18">
        <f>'BLM STATS'!T75</f>
        <v>0</v>
      </c>
      <c r="O67" s="19">
        <f>'BLM STATS'!U75</f>
        <v>0</v>
      </c>
      <c r="P67" s="41">
        <f>'BLM STATS'!V75</f>
        <v>0</v>
      </c>
      <c r="Q67" s="187">
        <f>'BLM STATS'!W75</f>
        <v>0</v>
      </c>
      <c r="R67" s="76">
        <f>'BLM STATS'!X75</f>
        <v>0</v>
      </c>
      <c r="S67" s="503"/>
      <c r="T67" s="17"/>
      <c r="U67" s="501"/>
      <c r="V67" s="187"/>
      <c r="W67" s="82">
        <f>'BLM STATS'!Y75</f>
        <v>0</v>
      </c>
      <c r="X67" s="82">
        <f>'BLM STATS'!Z75</f>
        <v>0</v>
      </c>
    </row>
    <row r="68" spans="1:24" x14ac:dyDescent="0.25">
      <c r="A68" s="68">
        <f>'BLM STATS'!A76</f>
        <v>43301</v>
      </c>
      <c r="B68" s="507" t="str">
        <f>'BLM STATS'!B76</f>
        <v>L00J</v>
      </c>
      <c r="C68" s="15" t="str">
        <f>'BLM STATS'!F76</f>
        <v>MM74 I84</v>
      </c>
      <c r="D68" s="501" t="str">
        <f>'BLM STATS'!I76</f>
        <v>H</v>
      </c>
      <c r="E68" s="501" t="str">
        <f>'BLM STATS'!J76</f>
        <v>1S 4E 14</v>
      </c>
      <c r="F68" s="501" t="str">
        <f>'BLM STATS'!K76</f>
        <v>43 20 16</v>
      </c>
      <c r="G68" s="501" t="str">
        <f>'BLM STATS'!L76</f>
        <v>115 56 41</v>
      </c>
      <c r="H68" s="508" t="str">
        <f>'BLM STATS'!C76</f>
        <v>BOD</v>
      </c>
      <c r="I68" s="201">
        <f t="shared" si="1"/>
        <v>1</v>
      </c>
      <c r="J68" s="15">
        <f>'BLM STATS'!P76</f>
        <v>1</v>
      </c>
      <c r="K68" s="16">
        <f>'BLM STATS'!Q76</f>
        <v>0</v>
      </c>
      <c r="L68" s="17">
        <f>'BLM STATS'!R76</f>
        <v>0</v>
      </c>
      <c r="M68" s="502">
        <f>'BLM STATS'!S76</f>
        <v>0</v>
      </c>
      <c r="N68" s="18">
        <f>'BLM STATS'!T76</f>
        <v>0</v>
      </c>
      <c r="O68" s="19">
        <f>'BLM STATS'!U76</f>
        <v>0</v>
      </c>
      <c r="P68" s="41">
        <f>'BLM STATS'!V76</f>
        <v>0</v>
      </c>
      <c r="Q68" s="187">
        <f>'BLM STATS'!W76</f>
        <v>0</v>
      </c>
      <c r="R68" s="76">
        <f>'BLM STATS'!X76</f>
        <v>0</v>
      </c>
      <c r="S68" s="503"/>
      <c r="T68" s="17"/>
      <c r="U68" s="501"/>
      <c r="V68" s="187"/>
      <c r="W68" s="82">
        <f>'BLM STATS'!Y76</f>
        <v>0</v>
      </c>
      <c r="X68" s="82">
        <f>'BLM STATS'!Z76</f>
        <v>0</v>
      </c>
    </row>
    <row r="69" spans="1:24" x14ac:dyDescent="0.25">
      <c r="A69" s="68">
        <f>'BLM STATS'!A77</f>
        <v>43301</v>
      </c>
      <c r="B69" s="507" t="str">
        <f>'BLM STATS'!B77</f>
        <v>L00K</v>
      </c>
      <c r="C69" s="84" t="str">
        <f>'BLM STATS'!F77</f>
        <v>RA 9 ADA CO</v>
      </c>
      <c r="D69" s="501" t="str">
        <f>'BLM STATS'!I77</f>
        <v>RFD</v>
      </c>
      <c r="E69" s="501" t="str">
        <f>'BLM STATS'!J77</f>
        <v>4N 2E 27</v>
      </c>
      <c r="F69" s="501" t="str">
        <f>'BLM STATS'!K77</f>
        <v>43 39 41</v>
      </c>
      <c r="G69" s="501" t="str">
        <f>'BLM STATS'!L77</f>
        <v>116 11 49</v>
      </c>
      <c r="H69" s="508" t="str">
        <f>'BLM STATS'!C77</f>
        <v>1AX</v>
      </c>
      <c r="I69" s="201">
        <f t="shared" ref="I69:I92" si="3">SUM(J69:X69)</f>
        <v>20</v>
      </c>
      <c r="J69" s="15">
        <f>'BLM STATS'!P77</f>
        <v>0</v>
      </c>
      <c r="K69" s="16">
        <f>'BLM STATS'!Q77</f>
        <v>0</v>
      </c>
      <c r="L69" s="17">
        <f>'BLM STATS'!R77</f>
        <v>0</v>
      </c>
      <c r="M69" s="502">
        <f>'BLM STATS'!S77</f>
        <v>0</v>
      </c>
      <c r="N69" s="18">
        <f>'BLM STATS'!T77</f>
        <v>0</v>
      </c>
      <c r="O69" s="19">
        <f>'BLM STATS'!U77</f>
        <v>0</v>
      </c>
      <c r="P69" s="41">
        <f>'BLM STATS'!V77</f>
        <v>0</v>
      </c>
      <c r="Q69" s="187">
        <f>'BLM STATS'!W77</f>
        <v>0</v>
      </c>
      <c r="R69" s="76">
        <f>'BLM STATS'!X77</f>
        <v>0</v>
      </c>
      <c r="S69" s="503"/>
      <c r="T69" s="17"/>
      <c r="U69" s="501"/>
      <c r="V69" s="187"/>
      <c r="W69" s="82">
        <f>'BLM STATS'!Y77</f>
        <v>20</v>
      </c>
      <c r="X69" s="82">
        <f>'BLM STATS'!Z77</f>
        <v>0</v>
      </c>
    </row>
    <row r="70" spans="1:24" x14ac:dyDescent="0.25">
      <c r="A70" s="68">
        <f>'BLM STATS'!A78</f>
        <v>43302</v>
      </c>
      <c r="B70" s="507" t="str">
        <f>'BLM STATS'!B78</f>
        <v>L025</v>
      </c>
      <c r="C70" s="15" t="str">
        <f>'BLM STATS'!F78</f>
        <v>TOTEM</v>
      </c>
      <c r="D70" s="501" t="str">
        <f>'BLM STATS'!I78</f>
        <v>H</v>
      </c>
      <c r="E70" s="501" t="str">
        <f>'BLM STATS'!J78</f>
        <v>4N 3E 30</v>
      </c>
      <c r="F70" s="501" t="str">
        <f>'BLM STATS'!K78</f>
        <v>43 39 12</v>
      </c>
      <c r="G70" s="501" t="str">
        <f>'BLM STATS'!L78</f>
        <v>116 08 15</v>
      </c>
      <c r="H70" s="508" t="str">
        <f>'BLM STATS'!C78</f>
        <v>BOD</v>
      </c>
      <c r="I70" s="201">
        <f t="shared" si="3"/>
        <v>0.1</v>
      </c>
      <c r="J70" s="15">
        <f>'BLM STATS'!P78</f>
        <v>0.1</v>
      </c>
      <c r="K70" s="16">
        <f>'BLM STATS'!Q78</f>
        <v>0</v>
      </c>
      <c r="L70" s="17">
        <f>'BLM STATS'!R78</f>
        <v>0</v>
      </c>
      <c r="M70" s="502">
        <f>'BLM STATS'!S78</f>
        <v>0</v>
      </c>
      <c r="N70" s="18">
        <f>'BLM STATS'!T78</f>
        <v>0</v>
      </c>
      <c r="O70" s="19">
        <f>'BLM STATS'!U78</f>
        <v>0</v>
      </c>
      <c r="P70" s="41">
        <f>'BLM STATS'!V78</f>
        <v>0</v>
      </c>
      <c r="Q70" s="187">
        <f>'BLM STATS'!W78</f>
        <v>0</v>
      </c>
      <c r="R70" s="76">
        <f>'BLM STATS'!X78</f>
        <v>0</v>
      </c>
      <c r="S70" s="503"/>
      <c r="T70" s="17"/>
      <c r="U70" s="501"/>
      <c r="V70" s="187"/>
      <c r="W70" s="82">
        <f>'BLM STATS'!Y78</f>
        <v>0</v>
      </c>
      <c r="X70" s="82">
        <f>'BLM STATS'!Z78</f>
        <v>0</v>
      </c>
    </row>
    <row r="71" spans="1:24" x14ac:dyDescent="0.25">
      <c r="A71" s="68">
        <f>'BLM STATS'!A80</f>
        <v>43303</v>
      </c>
      <c r="B71" s="507" t="str">
        <f>'BLM STATS'!B80</f>
        <v>L082</v>
      </c>
      <c r="C71" s="15" t="str">
        <f>'BLM STATS'!F80</f>
        <v>LEONE</v>
      </c>
      <c r="D71" s="501" t="str">
        <f>'BLM STATS'!I80</f>
        <v>H</v>
      </c>
      <c r="E71" s="501" t="str">
        <f>'BLM STATS'!J80</f>
        <v>1N 3E 06</v>
      </c>
      <c r="F71" s="501" t="str">
        <f>'BLM STATS'!K80</f>
        <v>43 26 55</v>
      </c>
      <c r="G71" s="501" t="str">
        <f>'BLM STATS'!L80</f>
        <v>116 08 52</v>
      </c>
      <c r="H71" s="508" t="str">
        <f>'BLM STATS'!C80</f>
        <v>BOD</v>
      </c>
      <c r="I71" s="201">
        <f t="shared" si="3"/>
        <v>1638</v>
      </c>
      <c r="J71" s="15">
        <f>'BLM STATS'!P80</f>
        <v>1076</v>
      </c>
      <c r="K71" s="16">
        <f>'BLM STATS'!Q80</f>
        <v>0</v>
      </c>
      <c r="L71" s="17">
        <f>'BLM STATS'!R80</f>
        <v>537</v>
      </c>
      <c r="M71" s="502">
        <f>'BLM STATS'!S80</f>
        <v>25</v>
      </c>
      <c r="N71" s="18">
        <f>'BLM STATS'!T80</f>
        <v>0</v>
      </c>
      <c r="O71" s="19">
        <f>'BLM STATS'!U80</f>
        <v>0</v>
      </c>
      <c r="P71" s="41">
        <f>'BLM STATS'!V80</f>
        <v>0</v>
      </c>
      <c r="Q71" s="187">
        <f>'BLM STATS'!W80</f>
        <v>0</v>
      </c>
      <c r="R71" s="76">
        <f>'BLM STATS'!X79</f>
        <v>0</v>
      </c>
      <c r="S71" s="503"/>
      <c r="T71" s="17"/>
      <c r="U71" s="501"/>
      <c r="V71" s="187"/>
      <c r="W71" s="82">
        <f>'BLM STATS'!Y80</f>
        <v>0</v>
      </c>
      <c r="X71" s="82">
        <f>'BLM STATS'!Z80</f>
        <v>0</v>
      </c>
    </row>
    <row r="72" spans="1:24" x14ac:dyDescent="0.25">
      <c r="A72" s="68">
        <f>'BLM STATS'!A81</f>
        <v>43297</v>
      </c>
      <c r="B72" s="507" t="str">
        <f>'BLM STATS'!B81</f>
        <v>L0P9</v>
      </c>
      <c r="C72" s="76" t="str">
        <f>'BLM STATS'!F81</f>
        <v>INDIAN HEAD (ID-PAF PROTECTION)</v>
      </c>
      <c r="D72" s="501" t="str">
        <f>'BLM STATS'!I81</f>
        <v>O</v>
      </c>
      <c r="E72" s="501" t="str">
        <f>'BLM STATS'!J81</f>
        <v>11N 7W 23</v>
      </c>
      <c r="F72" s="501" t="str">
        <f>'BLM STATS'!K81</f>
        <v>44 16 26</v>
      </c>
      <c r="G72" s="501" t="str">
        <f>'BLM STATS'!L81</f>
        <v>117 09 02</v>
      </c>
      <c r="H72" s="508" t="str">
        <f>'BLM STATS'!C81</f>
        <v>BOD</v>
      </c>
      <c r="I72" s="201">
        <f t="shared" si="3"/>
        <v>1081</v>
      </c>
      <c r="J72" s="15">
        <f>'BLM STATS'!P81</f>
        <v>1081</v>
      </c>
      <c r="K72" s="16">
        <f>'BLM STATS'!Q81</f>
        <v>0</v>
      </c>
      <c r="L72" s="17">
        <f>'BLM STATS'!R81</f>
        <v>0</v>
      </c>
      <c r="M72" s="502">
        <f>'BLM STATS'!S81</f>
        <v>0</v>
      </c>
      <c r="N72" s="18">
        <f>'BLM STATS'!T81</f>
        <v>0</v>
      </c>
      <c r="O72" s="19">
        <f>'BLM STATS'!U81</f>
        <v>0</v>
      </c>
      <c r="P72" s="41">
        <f>'BLM STATS'!V81</f>
        <v>0</v>
      </c>
      <c r="Q72" s="187">
        <f>'BLM STATS'!W81</f>
        <v>0</v>
      </c>
      <c r="R72" s="76">
        <f>'BLM STATS'!X80</f>
        <v>0</v>
      </c>
      <c r="S72" s="503"/>
      <c r="T72" s="17"/>
      <c r="U72" s="501"/>
      <c r="V72" s="187"/>
      <c r="W72" s="82">
        <f>'BLM STATS'!Y81</f>
        <v>0</v>
      </c>
      <c r="X72" s="82">
        <f>'BLM STATS'!Z81</f>
        <v>0</v>
      </c>
    </row>
    <row r="73" spans="1:24" x14ac:dyDescent="0.25">
      <c r="A73" s="68">
        <f>'BLM STATS'!A82</f>
        <v>43305</v>
      </c>
      <c r="B73" s="507" t="str">
        <f>'BLM STATS'!B82</f>
        <v>L1DA</v>
      </c>
      <c r="C73" s="15" t="str">
        <f>'BLM STATS'!F82</f>
        <v xml:space="preserve">ANIMAL </v>
      </c>
      <c r="D73" s="501" t="str">
        <f>'BLM STATS'!I82</f>
        <v>H</v>
      </c>
      <c r="E73" s="501" t="str">
        <f>'BLM STATS'!J82</f>
        <v>1N 2E 15</v>
      </c>
      <c r="F73" s="501" t="str">
        <f>'BLM STATS'!K82</f>
        <v>43 25 22</v>
      </c>
      <c r="G73" s="501" t="str">
        <f>'BLM STATS'!L82</f>
        <v>116 11 42</v>
      </c>
      <c r="H73" s="508" t="str">
        <f>'BLM STATS'!C82</f>
        <v>1AX</v>
      </c>
      <c r="I73" s="201">
        <f t="shared" si="3"/>
        <v>0.2</v>
      </c>
      <c r="J73" s="15">
        <f>'BLM STATS'!P82</f>
        <v>0</v>
      </c>
      <c r="K73" s="16">
        <f>'BLM STATS'!Q82</f>
        <v>0</v>
      </c>
      <c r="L73" s="17">
        <f>'BLM STATS'!R82</f>
        <v>0</v>
      </c>
      <c r="M73" s="502">
        <f>'BLM STATS'!S82</f>
        <v>0.2</v>
      </c>
      <c r="N73" s="18">
        <f>'BLM STATS'!T82</f>
        <v>0</v>
      </c>
      <c r="O73" s="19">
        <f>'BLM STATS'!U82</f>
        <v>0</v>
      </c>
      <c r="P73" s="41">
        <f>'BLM STATS'!V82</f>
        <v>0</v>
      </c>
      <c r="Q73" s="187">
        <f>'BLM STATS'!W82</f>
        <v>0</v>
      </c>
      <c r="R73" s="76">
        <f>'BLM STATS'!X81</f>
        <v>0</v>
      </c>
      <c r="S73" s="503"/>
      <c r="T73" s="17"/>
      <c r="U73" s="501"/>
      <c r="V73" s="187"/>
      <c r="W73" s="82">
        <f>'BLM STATS'!Y82</f>
        <v>0</v>
      </c>
      <c r="X73" s="82">
        <f>'BLM STATS'!Z82</f>
        <v>0</v>
      </c>
    </row>
    <row r="74" spans="1:24" x14ac:dyDescent="0.25">
      <c r="A74" s="68">
        <f>'BLM STATS'!A83</f>
        <v>43305</v>
      </c>
      <c r="B74" s="507" t="str">
        <f>'BLM STATS'!B83</f>
        <v>L1FY</v>
      </c>
      <c r="C74" s="15" t="str">
        <f>'BLM STATS'!F83</f>
        <v>BEAV</v>
      </c>
      <c r="D74" s="501" t="str">
        <f>'BLM STATS'!I83</f>
        <v>L</v>
      </c>
      <c r="E74" s="501" t="str">
        <f>'BLM STATS'!J83</f>
        <v>12S 3W 09</v>
      </c>
      <c r="F74" s="501" t="str">
        <f>'BLM STATS'!K83</f>
        <v>42 23 11</v>
      </c>
      <c r="G74" s="501" t="str">
        <f>'BLM STATS'!L83</f>
        <v>116 41 37</v>
      </c>
      <c r="H74" s="508" t="str">
        <f>'BLM STATS'!C83</f>
        <v>BOD</v>
      </c>
      <c r="I74" s="201">
        <f t="shared" si="3"/>
        <v>545</v>
      </c>
      <c r="J74" s="15">
        <f>'BLM STATS'!P83</f>
        <v>216</v>
      </c>
      <c r="K74" s="16">
        <f>'BLM STATS'!Q83</f>
        <v>0</v>
      </c>
      <c r="L74" s="17">
        <f>'BLM STATS'!R83</f>
        <v>304</v>
      </c>
      <c r="M74" s="502">
        <f>'BLM STATS'!S83</f>
        <v>25</v>
      </c>
      <c r="N74" s="18">
        <f>'BLM STATS'!T83</f>
        <v>0</v>
      </c>
      <c r="O74" s="19">
        <f>'BLM STATS'!U83</f>
        <v>0</v>
      </c>
      <c r="P74" s="41">
        <f>'BLM STATS'!V83</f>
        <v>0</v>
      </c>
      <c r="Q74" s="187">
        <f>'BLM STATS'!W83</f>
        <v>0</v>
      </c>
      <c r="R74" s="76">
        <f>'BLM STATS'!X82</f>
        <v>0</v>
      </c>
      <c r="S74" s="503"/>
      <c r="T74" s="17"/>
      <c r="U74" s="501"/>
      <c r="V74" s="187"/>
      <c r="W74" s="82">
        <f>'BLM STATS'!Y83</f>
        <v>0</v>
      </c>
      <c r="X74" s="82">
        <f>'BLM STATS'!Z83</f>
        <v>0</v>
      </c>
    </row>
    <row r="75" spans="1:24" x14ac:dyDescent="0.25">
      <c r="A75" s="68">
        <f>'BLM STATS'!A84</f>
        <v>43305</v>
      </c>
      <c r="B75" s="507" t="str">
        <f>'BLM STATS'!B84</f>
        <v>L1F0</v>
      </c>
      <c r="C75" s="130" t="str">
        <f>'BLM STATS'!F84</f>
        <v>NIPNTUCK</v>
      </c>
      <c r="D75" s="501" t="str">
        <f>'BLM STATS'!I84</f>
        <v>L</v>
      </c>
      <c r="E75" s="501" t="str">
        <f>'BLM STATS'!J84</f>
        <v>9S 3W 26</v>
      </c>
      <c r="F75" s="501" t="str">
        <f>'BLM STATS'!K84</f>
        <v>42 36 53</v>
      </c>
      <c r="G75" s="501" t="str">
        <f>'BLM STATS'!L84</f>
        <v>116 39 40</v>
      </c>
      <c r="H75" s="508" t="str">
        <f>'BLM STATS'!C84</f>
        <v>OWX</v>
      </c>
      <c r="I75" s="201">
        <f t="shared" si="3"/>
        <v>0.1</v>
      </c>
      <c r="J75" s="15">
        <f>'BLM STATS'!P84</f>
        <v>0</v>
      </c>
      <c r="K75" s="16">
        <f>'BLM STATS'!Q84</f>
        <v>0</v>
      </c>
      <c r="L75" s="17">
        <f>'BLM STATS'!R84</f>
        <v>0</v>
      </c>
      <c r="M75" s="502">
        <f>'BLM STATS'!S84</f>
        <v>0.1</v>
      </c>
      <c r="N75" s="18">
        <f>'BLM STATS'!T84</f>
        <v>0</v>
      </c>
      <c r="O75" s="19">
        <f>'BLM STATS'!U84</f>
        <v>0</v>
      </c>
      <c r="P75" s="41">
        <f>'BLM STATS'!V84</f>
        <v>0</v>
      </c>
      <c r="Q75" s="187">
        <f>'BLM STATS'!W84</f>
        <v>0</v>
      </c>
      <c r="R75" s="76">
        <f>'BLM STATS'!X83</f>
        <v>0</v>
      </c>
      <c r="S75" s="503"/>
      <c r="T75" s="17"/>
      <c r="U75" s="501"/>
      <c r="V75" s="187"/>
      <c r="W75" s="82">
        <f>'BLM STATS'!Y84</f>
        <v>0</v>
      </c>
      <c r="X75" s="82">
        <f>'BLM STATS'!Z84</f>
        <v>0</v>
      </c>
    </row>
    <row r="76" spans="1:24" x14ac:dyDescent="0.25">
      <c r="A76" s="68">
        <f>'BLM STATS'!A85</f>
        <v>43305</v>
      </c>
      <c r="B76" s="507" t="str">
        <f>'BLM STATS'!B85</f>
        <v>L1GB</v>
      </c>
      <c r="C76" s="15" t="str">
        <f>'BLM STATS'!F85</f>
        <v>CAT</v>
      </c>
      <c r="D76" s="501" t="str">
        <f>'BLM STATS'!I85</f>
        <v>L</v>
      </c>
      <c r="E76" s="501" t="str">
        <f>'BLM STATS'!J85</f>
        <v>15S 6E 21</v>
      </c>
      <c r="F76" s="501" t="str">
        <f>'BLM STATS'!K85</f>
        <v>42 06 15</v>
      </c>
      <c r="G76" s="501" t="str">
        <f>'BLM STATS'!L85</f>
        <v>115 45 37</v>
      </c>
      <c r="H76" s="508" t="str">
        <f>'BLM STATS'!C85</f>
        <v>BOD</v>
      </c>
      <c r="I76" s="201">
        <f t="shared" si="3"/>
        <v>26605</v>
      </c>
      <c r="J76" s="15">
        <f>'BLM STATS'!P85</f>
        <v>23869</v>
      </c>
      <c r="K76" s="16">
        <f>'BLM STATS'!Q85</f>
        <v>0</v>
      </c>
      <c r="L76" s="17">
        <f>'BLM STATS'!R85</f>
        <v>1530</v>
      </c>
      <c r="M76" s="502">
        <f>'BLM STATS'!S85</f>
        <v>1205</v>
      </c>
      <c r="N76" s="18">
        <f>'BLM STATS'!T85</f>
        <v>0</v>
      </c>
      <c r="O76" s="19">
        <f>'BLM STATS'!U85</f>
        <v>1</v>
      </c>
      <c r="P76" s="41">
        <f>'BLM STATS'!V85</f>
        <v>0</v>
      </c>
      <c r="Q76" s="187">
        <f>'BLM STATS'!W85</f>
        <v>0</v>
      </c>
      <c r="R76" s="76">
        <f>'BLM STATS'!X84</f>
        <v>0</v>
      </c>
      <c r="S76" s="503"/>
      <c r="T76" s="17"/>
      <c r="U76" s="501"/>
      <c r="V76" s="187"/>
      <c r="W76" s="82">
        <f>'BLM STATS'!Y85</f>
        <v>0</v>
      </c>
      <c r="X76" s="82">
        <f>'BLM STATS'!Z85</f>
        <v>0</v>
      </c>
    </row>
    <row r="77" spans="1:24" x14ac:dyDescent="0.25">
      <c r="A77" s="68">
        <f>'BLM STATS'!A87</f>
        <v>43306</v>
      </c>
      <c r="B77" s="507" t="str">
        <f>'BLM STATS'!B87</f>
        <v>L1JE</v>
      </c>
      <c r="C77" s="76" t="str">
        <f>'BLM STATS'!F87</f>
        <v>ROCK CREEK (ID-PAF PROTECTION)</v>
      </c>
      <c r="D77" s="501" t="str">
        <f>'BLM STATS'!I87</f>
        <v>O</v>
      </c>
      <c r="E77" s="501">
        <f>'BLM STATS'!J87</f>
        <v>0</v>
      </c>
      <c r="F77" s="501">
        <f>'BLM STATS'!K87</f>
        <v>0</v>
      </c>
      <c r="G77" s="501">
        <f>'BLM STATS'!L87</f>
        <v>0</v>
      </c>
      <c r="H77" s="508">
        <f>'BLM STATS'!C87</f>
        <v>0</v>
      </c>
      <c r="I77" s="201">
        <f t="shared" si="3"/>
        <v>454</v>
      </c>
      <c r="J77" s="15">
        <f>'BLM STATS'!P87</f>
        <v>454</v>
      </c>
      <c r="K77" s="16">
        <f>'BLM STATS'!Q87</f>
        <v>0</v>
      </c>
      <c r="L77" s="17">
        <f>'BLM STATS'!R87</f>
        <v>0</v>
      </c>
      <c r="M77" s="502">
        <f>'BLM STATS'!S87</f>
        <v>0</v>
      </c>
      <c r="N77" s="18">
        <f>'BLM STATS'!T87</f>
        <v>0</v>
      </c>
      <c r="O77" s="19">
        <f>'BLM STATS'!U87</f>
        <v>0</v>
      </c>
      <c r="P77" s="41">
        <f>'BLM STATS'!V87</f>
        <v>0</v>
      </c>
      <c r="Q77" s="187">
        <f>'BLM STATS'!W87</f>
        <v>0</v>
      </c>
      <c r="R77" s="76">
        <f>'BLM STATS'!X85</f>
        <v>0</v>
      </c>
      <c r="S77" s="503"/>
      <c r="T77" s="17"/>
      <c r="U77" s="501"/>
      <c r="V77" s="187"/>
      <c r="W77" s="82">
        <f>'BLM STATS'!Y87</f>
        <v>0</v>
      </c>
      <c r="X77" s="82">
        <f>'BLM STATS'!Z87</f>
        <v>0</v>
      </c>
    </row>
    <row r="78" spans="1:24" x14ac:dyDescent="0.25">
      <c r="A78" s="68">
        <f>'BLM STATS'!A88</f>
        <v>43306</v>
      </c>
      <c r="B78" s="507" t="str">
        <f>'BLM STATS'!B88</f>
        <v>L1NG</v>
      </c>
      <c r="C78" s="76" t="str">
        <f>'BLM STATS'!F88</f>
        <v>KEITHLY (ID-PAF PROTECTION)</v>
      </c>
      <c r="D78" s="501" t="str">
        <f>'BLM STATS'!I88</f>
        <v>O</v>
      </c>
      <c r="E78" s="501">
        <f>'BLM STATS'!J88</f>
        <v>0</v>
      </c>
      <c r="F78" s="501">
        <f>'BLM STATS'!K88</f>
        <v>0</v>
      </c>
      <c r="G78" s="501">
        <f>'BLM STATS'!L88</f>
        <v>0</v>
      </c>
      <c r="H78" s="508">
        <f>'BLM STATS'!C88</f>
        <v>0</v>
      </c>
      <c r="I78" s="201">
        <f t="shared" si="3"/>
        <v>11213</v>
      </c>
      <c r="J78" s="15">
        <f>'BLM STATS'!P88</f>
        <v>11213</v>
      </c>
      <c r="K78" s="16">
        <f>'BLM STATS'!Q88</f>
        <v>0</v>
      </c>
      <c r="L78" s="17">
        <f>'BLM STATS'!R88</f>
        <v>0</v>
      </c>
      <c r="M78" s="502">
        <f>'BLM STATS'!S88</f>
        <v>0</v>
      </c>
      <c r="N78" s="18">
        <f>'BLM STATS'!T88</f>
        <v>0</v>
      </c>
      <c r="O78" s="19">
        <f>'BLM STATS'!U88</f>
        <v>0</v>
      </c>
      <c r="P78" s="41">
        <f>'BLM STATS'!V88</f>
        <v>0</v>
      </c>
      <c r="Q78" s="187">
        <f>'BLM STATS'!W88</f>
        <v>0</v>
      </c>
      <c r="R78" s="76">
        <f>'BLM STATS'!X86</f>
        <v>0</v>
      </c>
      <c r="S78" s="503"/>
      <c r="T78" s="17"/>
      <c r="U78" s="501"/>
      <c r="V78" s="187"/>
      <c r="W78" s="82">
        <f>'BLM STATS'!Y88</f>
        <v>0</v>
      </c>
      <c r="X78" s="82">
        <f>'BLM STATS'!Z88</f>
        <v>0</v>
      </c>
    </row>
    <row r="79" spans="1:24" x14ac:dyDescent="0.25">
      <c r="A79" s="68">
        <f>'BLM STATS'!A90</f>
        <v>43306</v>
      </c>
      <c r="B79" s="507" t="str">
        <f>'BLM STATS'!B90</f>
        <v>L1M5</v>
      </c>
      <c r="C79" s="15" t="str">
        <f>'BLM STATS'!F90</f>
        <v>BIG POINT</v>
      </c>
      <c r="D79" s="501" t="str">
        <f>'BLM STATS'!I90</f>
        <v>L</v>
      </c>
      <c r="E79" s="501" t="str">
        <f>'BLM STATS'!J90</f>
        <v>12S 3W 13</v>
      </c>
      <c r="F79" s="501" t="str">
        <f>'BLM STATS'!K90</f>
        <v>42 23 08</v>
      </c>
      <c r="G79" s="501" t="str">
        <f>'BLM STATS'!L90</f>
        <v>116 38 37</v>
      </c>
      <c r="H79" s="508" t="str">
        <f>'BLM STATS'!C90</f>
        <v>BOD</v>
      </c>
      <c r="I79" s="201">
        <f t="shared" si="3"/>
        <v>9</v>
      </c>
      <c r="J79" s="15">
        <f>'BLM STATS'!P90</f>
        <v>9</v>
      </c>
      <c r="K79" s="16">
        <f>'BLM STATS'!Q90</f>
        <v>0</v>
      </c>
      <c r="L79" s="17">
        <f>'BLM STATS'!R90</f>
        <v>0</v>
      </c>
      <c r="M79" s="502">
        <f>'BLM STATS'!S90</f>
        <v>0</v>
      </c>
      <c r="N79" s="18">
        <f>'BLM STATS'!T90</f>
        <v>0</v>
      </c>
      <c r="O79" s="19">
        <f>'BLM STATS'!U90</f>
        <v>0</v>
      </c>
      <c r="P79" s="41">
        <f>'BLM STATS'!V90</f>
        <v>0</v>
      </c>
      <c r="Q79" s="187">
        <f>'BLM STATS'!W90</f>
        <v>0</v>
      </c>
      <c r="R79" s="76">
        <f>'BLM STATS'!X80</f>
        <v>0</v>
      </c>
      <c r="S79" s="503"/>
      <c r="T79" s="17"/>
      <c r="U79" s="501"/>
      <c r="V79" s="187"/>
      <c r="W79" s="82">
        <f>'BLM STATS'!Y90</f>
        <v>0</v>
      </c>
      <c r="X79" s="82">
        <f>'BLM STATS'!Z90</f>
        <v>0</v>
      </c>
    </row>
    <row r="80" spans="1:24" x14ac:dyDescent="0.25">
      <c r="A80" s="68">
        <f>'BLM STATS'!A91</f>
        <v>43306</v>
      </c>
      <c r="B80" s="507" t="str">
        <f>'BLM STATS'!B91</f>
        <v>L1RE</v>
      </c>
      <c r="C80" s="76" t="str">
        <f>'BLM STATS'!F91</f>
        <v>POLE CREEK (OR-VAD PROTECTION)</v>
      </c>
      <c r="D80" s="501" t="str">
        <f>'BLM STATS'!I91</f>
        <v>O</v>
      </c>
      <c r="E80" s="501" t="str">
        <f>'BLM STATS'!J91</f>
        <v>35S 46E 23</v>
      </c>
      <c r="F80" s="501" t="str">
        <f>'BLM STATS'!K91</f>
        <v>42 29 06</v>
      </c>
      <c r="G80" s="501" t="str">
        <f>'BLM STATS'!L91</f>
        <v>117 01 53</v>
      </c>
      <c r="H80" s="508">
        <f>'BLM STATS'!C91</f>
        <v>0</v>
      </c>
      <c r="I80" s="201">
        <f t="shared" si="3"/>
        <v>664</v>
      </c>
      <c r="J80" s="15">
        <f>'BLM STATS'!P91</f>
        <v>664</v>
      </c>
      <c r="K80" s="16">
        <f>'BLM STATS'!Q91</f>
        <v>0</v>
      </c>
      <c r="L80" s="17">
        <f>'BLM STATS'!R91</f>
        <v>0</v>
      </c>
      <c r="M80" s="502">
        <f>'BLM STATS'!S91</f>
        <v>0</v>
      </c>
      <c r="N80" s="18">
        <f>'BLM STATS'!T91</f>
        <v>0</v>
      </c>
      <c r="O80" s="19">
        <f>'BLM STATS'!U91</f>
        <v>0</v>
      </c>
      <c r="P80" s="41">
        <f>'BLM STATS'!V91</f>
        <v>0</v>
      </c>
      <c r="Q80" s="187">
        <f>'BLM STATS'!W91</f>
        <v>0</v>
      </c>
      <c r="R80" s="76">
        <f>'BLM STATS'!X81</f>
        <v>0</v>
      </c>
      <c r="S80" s="503"/>
      <c r="T80" s="17"/>
      <c r="U80" s="501"/>
      <c r="V80" s="187"/>
      <c r="W80" s="82">
        <f>'BLM STATS'!Y91</f>
        <v>0</v>
      </c>
      <c r="X80" s="82">
        <f>'BLM STATS'!Z91</f>
        <v>0</v>
      </c>
    </row>
    <row r="81" spans="1:24" x14ac:dyDescent="0.25">
      <c r="A81" s="68">
        <f>'BLM STATS'!A94</f>
        <v>43317</v>
      </c>
      <c r="B81" s="507" t="str">
        <f>'BLM STATS'!B94</f>
        <v>L2P6</v>
      </c>
      <c r="C81" s="15" t="str">
        <f>'BLM STATS'!F94</f>
        <v>CORRECT</v>
      </c>
      <c r="D81" s="501" t="str">
        <f>'BLM STATS'!I94</f>
        <v>H</v>
      </c>
      <c r="E81" s="501" t="str">
        <f>'BLM STATS'!J94</f>
        <v>2N 2E 27</v>
      </c>
      <c r="F81" s="501" t="str">
        <f>'BLM STATS'!K94</f>
        <v>43 28 49</v>
      </c>
      <c r="G81" s="501" t="str">
        <f>'BLM STATS'!L94</f>
        <v>116 12 41</v>
      </c>
      <c r="H81" s="508" t="str">
        <f>'BLM STATS'!C94</f>
        <v>SWS</v>
      </c>
      <c r="I81" s="201">
        <f t="shared" si="3"/>
        <v>4.3</v>
      </c>
      <c r="J81" s="15">
        <f>'BLM STATS'!P94</f>
        <v>0</v>
      </c>
      <c r="K81" s="16">
        <f>'BLM STATS'!Q94</f>
        <v>0</v>
      </c>
      <c r="L81" s="17">
        <f>'BLM STATS'!R94</f>
        <v>4.3</v>
      </c>
      <c r="M81" s="502">
        <f>'BLM STATS'!S94</f>
        <v>0</v>
      </c>
      <c r="N81" s="18">
        <f>'BLM STATS'!T94</f>
        <v>0</v>
      </c>
      <c r="O81" s="19">
        <f>'BLM STATS'!U94</f>
        <v>0</v>
      </c>
      <c r="P81" s="41">
        <f>'BLM STATS'!V94</f>
        <v>0</v>
      </c>
      <c r="Q81" s="187">
        <f>'BLM STATS'!W94</f>
        <v>0</v>
      </c>
      <c r="R81" s="76">
        <f>'BLM STATS'!X82</f>
        <v>0</v>
      </c>
      <c r="S81" s="503"/>
      <c r="T81" s="17"/>
      <c r="U81" s="501"/>
      <c r="V81" s="187"/>
      <c r="W81" s="82">
        <f>'BLM STATS'!Y94</f>
        <v>0</v>
      </c>
      <c r="X81" s="82">
        <f>'BLM STATS'!Z94</f>
        <v>0</v>
      </c>
    </row>
    <row r="82" spans="1:24" x14ac:dyDescent="0.25">
      <c r="A82" s="68">
        <f>'BLM STATS'!A95</f>
        <v>43317</v>
      </c>
      <c r="B82" s="507" t="str">
        <f>'BLM STATS'!B95</f>
        <v>L2QF</v>
      </c>
      <c r="C82" s="15" t="str">
        <f>'BLM STATS'!F95</f>
        <v>MM108 I84</v>
      </c>
      <c r="D82" s="501" t="str">
        <f>'BLM STATS'!I95</f>
        <v>H</v>
      </c>
      <c r="E82" s="501" t="str">
        <f>'BLM STATS'!J95</f>
        <v>5S 8E 08</v>
      </c>
      <c r="F82" s="501" t="str">
        <f>'BLM STATS'!K95</f>
        <v>42 59 51</v>
      </c>
      <c r="G82" s="501" t="str">
        <f>'BLM STATS'!L95</f>
        <v>115 31 58</v>
      </c>
      <c r="H82" s="508" t="str">
        <f>'BLM STATS'!C95</f>
        <v>BOD</v>
      </c>
      <c r="I82" s="201">
        <f t="shared" si="3"/>
        <v>0.25</v>
      </c>
      <c r="J82" s="15">
        <f>'BLM STATS'!P95</f>
        <v>0.25</v>
      </c>
      <c r="K82" s="16">
        <f>'BLM STATS'!Q95</f>
        <v>0</v>
      </c>
      <c r="L82" s="17">
        <f>'BLM STATS'!R95</f>
        <v>0</v>
      </c>
      <c r="M82" s="502">
        <f>'BLM STATS'!S95</f>
        <v>0</v>
      </c>
      <c r="N82" s="18">
        <f>'BLM STATS'!T95</f>
        <v>0</v>
      </c>
      <c r="O82" s="19">
        <f>'BLM STATS'!U95</f>
        <v>0</v>
      </c>
      <c r="P82" s="41">
        <f>'BLM STATS'!V95</f>
        <v>0</v>
      </c>
      <c r="Q82" s="187">
        <f>'BLM STATS'!W95</f>
        <v>0</v>
      </c>
      <c r="R82" s="76">
        <f>'BLM STATS'!X83</f>
        <v>0</v>
      </c>
      <c r="S82" s="503"/>
      <c r="T82" s="17"/>
      <c r="U82" s="501"/>
      <c r="V82" s="187"/>
      <c r="W82" s="82">
        <f>'BLM STATS'!Y95</f>
        <v>0</v>
      </c>
      <c r="X82" s="82">
        <f>'BLM STATS'!Z95</f>
        <v>0</v>
      </c>
    </row>
    <row r="83" spans="1:24" x14ac:dyDescent="0.25">
      <c r="A83" s="68">
        <f>'BLM STATS'!A96</f>
        <v>43317</v>
      </c>
      <c r="B83" s="507" t="str">
        <f>'BLM STATS'!B96</f>
        <v>L2SC</v>
      </c>
      <c r="C83" s="15" t="str">
        <f>'BLM STATS'!F96</f>
        <v>PLESS</v>
      </c>
      <c r="D83" s="501" t="str">
        <f>'BLM STATS'!I96</f>
        <v>H</v>
      </c>
      <c r="E83" s="501" t="str">
        <f>'BLM STATS'!J96</f>
        <v>1S 2E 09</v>
      </c>
      <c r="F83" s="501" t="str">
        <f>'BLM STATS'!K96</f>
        <v>43 21 19</v>
      </c>
      <c r="G83" s="501" t="str">
        <f>'BLM STATS'!L96</f>
        <v>116 13 58</v>
      </c>
      <c r="H83" s="508" t="str">
        <f>'BLM STATS'!C96</f>
        <v>BOD</v>
      </c>
      <c r="I83" s="201">
        <f t="shared" si="3"/>
        <v>0.25</v>
      </c>
      <c r="J83" s="15">
        <f>'BLM STATS'!P96</f>
        <v>0.25</v>
      </c>
      <c r="K83" s="16">
        <f>'BLM STATS'!Q96</f>
        <v>0</v>
      </c>
      <c r="L83" s="17">
        <f>'BLM STATS'!R96</f>
        <v>0</v>
      </c>
      <c r="M83" s="502">
        <f>'BLM STATS'!S96</f>
        <v>0</v>
      </c>
      <c r="N83" s="18">
        <f>'BLM STATS'!T96</f>
        <v>0</v>
      </c>
      <c r="O83" s="19">
        <f>'BLM STATS'!U96</f>
        <v>0</v>
      </c>
      <c r="P83" s="41">
        <f>'BLM STATS'!V96</f>
        <v>0</v>
      </c>
      <c r="Q83" s="187">
        <f>'BLM STATS'!W96</f>
        <v>0</v>
      </c>
      <c r="R83" s="76">
        <f>'BLM STATS'!X84</f>
        <v>0</v>
      </c>
      <c r="S83" s="503"/>
      <c r="T83" s="17"/>
      <c r="U83" s="501"/>
      <c r="V83" s="187"/>
      <c r="W83" s="82">
        <f>'BLM STATS'!Y96</f>
        <v>0</v>
      </c>
      <c r="X83" s="82">
        <f>'BLM STATS'!Z96</f>
        <v>0</v>
      </c>
    </row>
    <row r="84" spans="1:24" x14ac:dyDescent="0.25">
      <c r="A84" s="68">
        <f>'BLM STATS'!A97</f>
        <v>43318</v>
      </c>
      <c r="B84" s="507" t="str">
        <f>'BLM STATS'!B97</f>
        <v>L2T6</v>
      </c>
      <c r="C84" s="15" t="str">
        <f>'BLM STATS'!F97</f>
        <v>MM16 HWY21</v>
      </c>
      <c r="D84" s="501" t="str">
        <f>'BLM STATS'!I97</f>
        <v>H</v>
      </c>
      <c r="E84" s="501" t="str">
        <f>'BLM STATS'!J97</f>
        <v>3N 4E 20</v>
      </c>
      <c r="F84" s="501" t="str">
        <f>'BLM STATS'!K97</f>
        <v>43 34 47</v>
      </c>
      <c r="G84" s="501" t="str">
        <f>'BLM STATS'!L97</f>
        <v xml:space="preserve">115 59 52 </v>
      </c>
      <c r="H84" s="508" t="str">
        <f>'BLM STATS'!C97</f>
        <v>1AX</v>
      </c>
      <c r="I84" s="201">
        <f t="shared" si="3"/>
        <v>16</v>
      </c>
      <c r="J84" s="15">
        <f>'BLM STATS'!P97</f>
        <v>0</v>
      </c>
      <c r="K84" s="16">
        <f>'BLM STATS'!Q97</f>
        <v>0</v>
      </c>
      <c r="L84" s="17">
        <f>'BLM STATS'!R97</f>
        <v>0</v>
      </c>
      <c r="M84" s="502">
        <f>'BLM STATS'!S97</f>
        <v>10</v>
      </c>
      <c r="N84" s="18">
        <f>'BLM STATS'!T97</f>
        <v>0</v>
      </c>
      <c r="O84" s="19">
        <f>'BLM STATS'!U97</f>
        <v>0</v>
      </c>
      <c r="P84" s="41">
        <f>'BLM STATS'!V97</f>
        <v>6</v>
      </c>
      <c r="Q84" s="187">
        <f>'BLM STATS'!W97</f>
        <v>0</v>
      </c>
      <c r="R84" s="76">
        <f>'BLM STATS'!X85</f>
        <v>0</v>
      </c>
      <c r="S84" s="503"/>
      <c r="T84" s="17"/>
      <c r="U84" s="501"/>
      <c r="V84" s="187"/>
      <c r="W84" s="82">
        <f>'BLM STATS'!Y97</f>
        <v>0</v>
      </c>
      <c r="X84" s="82">
        <f>'BLM STATS'!Z97</f>
        <v>0</v>
      </c>
    </row>
    <row r="85" spans="1:24" x14ac:dyDescent="0.25">
      <c r="A85" s="68">
        <f>'BLM STATS'!A99</f>
        <v>43319</v>
      </c>
      <c r="B85" s="507" t="str">
        <f>'BLM STATS'!B99</f>
        <v>L2WW</v>
      </c>
      <c r="C85" s="15" t="str">
        <f>'BLM STATS'!F99</f>
        <v>MM117 I84</v>
      </c>
      <c r="D85" s="501" t="str">
        <f>'BLM STATS'!I99</f>
        <v>H</v>
      </c>
      <c r="E85" s="501" t="str">
        <f>'BLM STATS'!J99</f>
        <v>5S 9E 26</v>
      </c>
      <c r="F85" s="501" t="str">
        <f>'BLM STATS'!K99</f>
        <v>42 57 28</v>
      </c>
      <c r="G85" s="501" t="str">
        <f>'BLM STATS'!L99</f>
        <v>115 21 37</v>
      </c>
      <c r="H85" s="508" t="str">
        <f>'BLM STATS'!C99</f>
        <v>BOD</v>
      </c>
      <c r="I85" s="201">
        <f t="shared" si="3"/>
        <v>0.5</v>
      </c>
      <c r="J85" s="15">
        <f>'BLM STATS'!P99</f>
        <v>0.5</v>
      </c>
      <c r="K85" s="16">
        <f>'BLM STATS'!Q99</f>
        <v>0</v>
      </c>
      <c r="L85" s="17">
        <f>'BLM STATS'!R99</f>
        <v>0</v>
      </c>
      <c r="M85" s="502">
        <f>'BLM STATS'!S99</f>
        <v>0</v>
      </c>
      <c r="N85" s="18">
        <f>'BLM STATS'!T99</f>
        <v>0</v>
      </c>
      <c r="O85" s="19">
        <f>'BLM STATS'!U99</f>
        <v>0</v>
      </c>
      <c r="P85" s="41">
        <f>'BLM STATS'!V99</f>
        <v>0</v>
      </c>
      <c r="Q85" s="187">
        <f>'BLM STATS'!W99</f>
        <v>0</v>
      </c>
      <c r="R85" s="76">
        <f>'BLM STATS'!X86</f>
        <v>0</v>
      </c>
      <c r="S85" s="503"/>
      <c r="T85" s="17"/>
      <c r="U85" s="501"/>
      <c r="V85" s="187"/>
      <c r="W85" s="82">
        <f>'BLM STATS'!Y99</f>
        <v>0</v>
      </c>
      <c r="X85" s="82">
        <f>'BLM STATS'!Z99</f>
        <v>0</v>
      </c>
    </row>
    <row r="86" spans="1:24" x14ac:dyDescent="0.25">
      <c r="A86" s="68">
        <f>'BLM STATS'!A101</f>
        <v>43324</v>
      </c>
      <c r="B86" s="507" t="str">
        <f>'BLM STATS'!B101</f>
        <v>L29D</v>
      </c>
      <c r="C86" s="15" t="str">
        <f>'BLM STATS'!F101</f>
        <v>NURSE</v>
      </c>
      <c r="D86" s="501" t="str">
        <f>'BLM STATS'!I101</f>
        <v>H</v>
      </c>
      <c r="E86" s="501" t="str">
        <f>'BLM STATS'!J101</f>
        <v>3N 4E 21</v>
      </c>
      <c r="F86" s="501" t="str">
        <f>'BLM STATS'!K101</f>
        <v>43 35 17</v>
      </c>
      <c r="G86" s="501" t="str">
        <f>'BLM STATS'!L101</f>
        <v>115 59 27</v>
      </c>
      <c r="H86" s="508" t="str">
        <f>'BLM STATS'!C101</f>
        <v>LPE</v>
      </c>
      <c r="I86" s="201">
        <f t="shared" si="3"/>
        <v>2.8</v>
      </c>
      <c r="J86" s="15">
        <f>'BLM STATS'!P101</f>
        <v>0</v>
      </c>
      <c r="K86" s="16">
        <f>'BLM STATS'!Q101</f>
        <v>0</v>
      </c>
      <c r="L86" s="17">
        <f>'BLM STATS'!R101</f>
        <v>0</v>
      </c>
      <c r="M86" s="502">
        <f>'BLM STATS'!S101</f>
        <v>0</v>
      </c>
      <c r="N86" s="18">
        <f>'BLM STATS'!T101</f>
        <v>0</v>
      </c>
      <c r="O86" s="19">
        <f>'BLM STATS'!U101</f>
        <v>0</v>
      </c>
      <c r="P86" s="41">
        <f>'BLM STATS'!V101</f>
        <v>2.8</v>
      </c>
      <c r="Q86" s="187">
        <f>'BLM STATS'!W101</f>
        <v>0</v>
      </c>
      <c r="R86" s="76">
        <f>'BLM STATS'!X87</f>
        <v>0</v>
      </c>
      <c r="S86" s="503"/>
      <c r="T86" s="17"/>
      <c r="U86" s="501"/>
      <c r="V86" s="187"/>
      <c r="W86" s="82">
        <f>'BLM STATS'!Y101</f>
        <v>0</v>
      </c>
      <c r="X86" s="82">
        <f>'BLM STATS'!Z101</f>
        <v>0</v>
      </c>
    </row>
    <row r="87" spans="1:24" x14ac:dyDescent="0.25">
      <c r="A87" s="68">
        <f>'BLM STATS'!A102</f>
        <v>43325</v>
      </c>
      <c r="B87" s="507" t="str">
        <f>'BLM STATS'!B102</f>
        <v>L3C1</v>
      </c>
      <c r="C87" s="15" t="str">
        <f>'BLM STATS'!F102</f>
        <v>TC</v>
      </c>
      <c r="D87" s="501" t="str">
        <f>'BLM STATS'!I102</f>
        <v>H</v>
      </c>
      <c r="E87" s="501" t="str">
        <f>'BLM STATS'!J102</f>
        <v>2N 2E 19</v>
      </c>
      <c r="F87" s="501" t="str">
        <f>'BLM STATS'!K102</f>
        <v>43 29 34</v>
      </c>
      <c r="G87" s="501" t="str">
        <f>'BLM STATS'!L102</f>
        <v>116 16 20</v>
      </c>
      <c r="H87" s="508" t="str">
        <f>'BLM STATS'!C102</f>
        <v>1AX</v>
      </c>
      <c r="I87" s="201">
        <f t="shared" si="3"/>
        <v>2</v>
      </c>
      <c r="J87" s="15">
        <f>'BLM STATS'!P102</f>
        <v>0</v>
      </c>
      <c r="K87" s="16">
        <f>'BLM STATS'!Q102</f>
        <v>0</v>
      </c>
      <c r="L87" s="17">
        <f>'BLM STATS'!R102</f>
        <v>0</v>
      </c>
      <c r="M87" s="502">
        <f>'BLM STATS'!S102</f>
        <v>2</v>
      </c>
      <c r="N87" s="18">
        <f>'BLM STATS'!T102</f>
        <v>0</v>
      </c>
      <c r="O87" s="19">
        <f>'BLM STATS'!U102</f>
        <v>0</v>
      </c>
      <c r="P87" s="41">
        <f>'BLM STATS'!V102</f>
        <v>0</v>
      </c>
      <c r="Q87" s="187">
        <f>'BLM STATS'!W102</f>
        <v>0</v>
      </c>
      <c r="R87" s="76">
        <f>'BLM STATS'!X88</f>
        <v>0</v>
      </c>
      <c r="S87" s="503"/>
      <c r="T87" s="17"/>
      <c r="U87" s="501"/>
      <c r="V87" s="187"/>
      <c r="W87" s="82">
        <f>'BLM STATS'!Y102</f>
        <v>0</v>
      </c>
      <c r="X87" s="82">
        <f>'BLM STATS'!Z102</f>
        <v>0</v>
      </c>
    </row>
    <row r="88" spans="1:24" x14ac:dyDescent="0.25">
      <c r="A88" s="68">
        <f>'BLM STATS'!A103</f>
        <v>43325</v>
      </c>
      <c r="B88" s="507" t="str">
        <f>'BLM STATS'!B103</f>
        <v>L3C2</v>
      </c>
      <c r="C88" s="15" t="str">
        <f>'BLM STATS'!F103</f>
        <v>COLE</v>
      </c>
      <c r="D88" s="501" t="str">
        <f>'BLM STATS'!I103</f>
        <v>H</v>
      </c>
      <c r="E88" s="501" t="str">
        <f>'BLM STATS'!J103</f>
        <v>2N 1E 25</v>
      </c>
      <c r="F88" s="501" t="str">
        <f>'BLM STATS'!K103</f>
        <v>43 28 50</v>
      </c>
      <c r="G88" s="501" t="str">
        <f>'BLM STATS'!L103</f>
        <v>116 16 27</v>
      </c>
      <c r="H88" s="508" t="str">
        <f>'BLM STATS'!C103</f>
        <v>BOD</v>
      </c>
      <c r="I88" s="201">
        <f t="shared" si="3"/>
        <v>37</v>
      </c>
      <c r="J88" s="15">
        <f>'BLM STATS'!P103</f>
        <v>37</v>
      </c>
      <c r="K88" s="16">
        <f>'BLM STATS'!Q103</f>
        <v>0</v>
      </c>
      <c r="L88" s="17">
        <f>'BLM STATS'!R103</f>
        <v>0</v>
      </c>
      <c r="M88" s="502">
        <f>'BLM STATS'!S103</f>
        <v>0</v>
      </c>
      <c r="N88" s="18">
        <f>'BLM STATS'!T103</f>
        <v>0</v>
      </c>
      <c r="O88" s="19">
        <f>'BLM STATS'!U103</f>
        <v>0</v>
      </c>
      <c r="P88" s="41">
        <f>'BLM STATS'!V103</f>
        <v>0</v>
      </c>
      <c r="Q88" s="187">
        <f>'BLM STATS'!W103</f>
        <v>0</v>
      </c>
      <c r="R88" s="76">
        <f>'BLM STATS'!X89</f>
        <v>0</v>
      </c>
      <c r="S88" s="503"/>
      <c r="T88" s="17"/>
      <c r="U88" s="501"/>
      <c r="V88" s="187"/>
      <c r="W88" s="82">
        <f>'BLM STATS'!Y103</f>
        <v>0</v>
      </c>
      <c r="X88" s="82">
        <f>'BLM STATS'!Z103</f>
        <v>0</v>
      </c>
    </row>
    <row r="89" spans="1:24" x14ac:dyDescent="0.25">
      <c r="A89" s="68">
        <f>'BLM STATS'!A104</f>
        <v>43327</v>
      </c>
      <c r="B89" s="507" t="str">
        <f>'BLM STATS'!B104</f>
        <v>L3E4</v>
      </c>
      <c r="C89" s="15" t="str">
        <f>'BLM STATS'!F104</f>
        <v>SLATER</v>
      </c>
      <c r="D89" s="501" t="str">
        <f>'BLM STATS'!I104</f>
        <v>H</v>
      </c>
      <c r="E89" s="501" t="str">
        <f>'BLM STATS'!J104</f>
        <v>1N 4E 13</v>
      </c>
      <c r="F89" s="501" t="str">
        <f>'BLM STATS'!K104</f>
        <v>43 25 33</v>
      </c>
      <c r="G89" s="501" t="str">
        <f>'BLM STATS'!L104</f>
        <v>115 55 51</v>
      </c>
      <c r="H89" s="508" t="str">
        <f>'BLM STATS'!C104</f>
        <v>ELX</v>
      </c>
      <c r="I89" s="201">
        <f t="shared" si="3"/>
        <v>45</v>
      </c>
      <c r="J89" s="15">
        <f>'BLM STATS'!P104</f>
        <v>10</v>
      </c>
      <c r="K89" s="16">
        <f>'BLM STATS'!Q104</f>
        <v>0</v>
      </c>
      <c r="L89" s="17">
        <f>'BLM STATS'!R104</f>
        <v>23</v>
      </c>
      <c r="M89" s="502">
        <f>'BLM STATS'!S104</f>
        <v>12</v>
      </c>
      <c r="N89" s="18">
        <f>'BLM STATS'!T104</f>
        <v>0</v>
      </c>
      <c r="O89" s="19">
        <f>'BLM STATS'!U104</f>
        <v>0</v>
      </c>
      <c r="P89" s="41">
        <f>'BLM STATS'!V104</f>
        <v>0</v>
      </c>
      <c r="Q89" s="187">
        <f>'BLM STATS'!W104</f>
        <v>0</v>
      </c>
      <c r="R89" s="76">
        <f>'BLM STATS'!X90</f>
        <v>0</v>
      </c>
      <c r="S89" s="503"/>
      <c r="T89" s="17"/>
      <c r="U89" s="501"/>
      <c r="V89" s="187"/>
      <c r="W89" s="82">
        <f>'BLM STATS'!Y104</f>
        <v>0</v>
      </c>
      <c r="X89" s="82">
        <f>'BLM STATS'!Z104</f>
        <v>0</v>
      </c>
    </row>
    <row r="90" spans="1:24" x14ac:dyDescent="0.25">
      <c r="A90" s="68">
        <f>'BLM STATS'!A105</f>
        <v>43328</v>
      </c>
      <c r="B90" s="507" t="str">
        <f>'BLM STATS'!B105</f>
        <v>L3HL</v>
      </c>
      <c r="C90" s="15" t="str">
        <f>'BLM STATS'!F105</f>
        <v>BEETS</v>
      </c>
      <c r="D90" s="501" t="str">
        <f>'BLM STATS'!I105</f>
        <v>H</v>
      </c>
      <c r="E90" s="501" t="str">
        <f>'BLM STATS'!J105</f>
        <v>5S 7E 02</v>
      </c>
      <c r="F90" s="501" t="str">
        <f>'BLM STATS'!K105</f>
        <v>43 00 49</v>
      </c>
      <c r="G90" s="501" t="str">
        <f>'BLM STATS'!L105</f>
        <v>115 35 26</v>
      </c>
      <c r="H90" s="508" t="str">
        <f>'BLM STATS'!C105</f>
        <v>ELX</v>
      </c>
      <c r="I90" s="201">
        <f t="shared" si="3"/>
        <v>1</v>
      </c>
      <c r="J90" s="15">
        <f>'BLM STATS'!P105</f>
        <v>0</v>
      </c>
      <c r="K90" s="16">
        <f>'BLM STATS'!Q105</f>
        <v>0</v>
      </c>
      <c r="L90" s="17">
        <f>'BLM STATS'!R105</f>
        <v>0</v>
      </c>
      <c r="M90" s="502">
        <f>'BLM STATS'!S105</f>
        <v>1</v>
      </c>
      <c r="N90" s="18">
        <f>'BLM STATS'!T105</f>
        <v>0</v>
      </c>
      <c r="O90" s="19">
        <f>'BLM STATS'!U105</f>
        <v>0</v>
      </c>
      <c r="P90" s="41">
        <f>'BLM STATS'!V105</f>
        <v>0</v>
      </c>
      <c r="Q90" s="187">
        <f>'BLM STATS'!W105</f>
        <v>0</v>
      </c>
      <c r="R90" s="76">
        <f>'BLM STATS'!X91</f>
        <v>0</v>
      </c>
      <c r="S90" s="503"/>
      <c r="T90" s="17"/>
      <c r="U90" s="501"/>
      <c r="V90" s="187"/>
      <c r="W90" s="82">
        <f>'BLM STATS'!Y105</f>
        <v>0</v>
      </c>
      <c r="X90" s="82">
        <f>'BLM STATS'!Z105</f>
        <v>0</v>
      </c>
    </row>
    <row r="91" spans="1:24" x14ac:dyDescent="0.25">
      <c r="A91" s="68">
        <f>'BLM STATS'!A107</f>
        <v>43329</v>
      </c>
      <c r="B91" s="507" t="str">
        <f>'BLM STATS'!B108</f>
        <v>L3K1</v>
      </c>
      <c r="C91" s="15" t="str">
        <f>'BLM STATS'!F108</f>
        <v>POISON</v>
      </c>
      <c r="D91" s="626" t="str">
        <f>'BLM STATS'!I108</f>
        <v>L</v>
      </c>
      <c r="E91" s="626" t="str">
        <f>'BLM STATS'!J108</f>
        <v>7S 2E 36</v>
      </c>
      <c r="F91" s="626" t="str">
        <f>'BLM STATS'!K108</f>
        <v>42 46 05</v>
      </c>
      <c r="G91" s="626" t="str">
        <f>'BLM STATS'!L108</f>
        <v>116 16 35</v>
      </c>
      <c r="H91" s="508" t="str">
        <f>'BLM STATS'!C108</f>
        <v>BOD</v>
      </c>
      <c r="I91" s="201">
        <f t="shared" si="3"/>
        <v>0.3</v>
      </c>
      <c r="J91" s="15">
        <f>'BLM STATS'!P108</f>
        <v>0</v>
      </c>
      <c r="K91" s="16">
        <f>'BLM STATS'!Q108</f>
        <v>0</v>
      </c>
      <c r="L91" s="17">
        <f>'BLM STATS'!R108</f>
        <v>0.3</v>
      </c>
      <c r="M91" s="502">
        <f>'BLM STATS'!S108</f>
        <v>0</v>
      </c>
      <c r="N91" s="18">
        <f>'BLM STATS'!T108</f>
        <v>0</v>
      </c>
      <c r="O91" s="19">
        <f>'BLM STATS'!U108</f>
        <v>0</v>
      </c>
      <c r="P91" s="41">
        <f>'BLM STATS'!V108</f>
        <v>0</v>
      </c>
      <c r="Q91" s="187">
        <f>'BLM STATS'!W108</f>
        <v>0</v>
      </c>
      <c r="R91" s="76">
        <f>'BLM STATS'!X93</f>
        <v>0</v>
      </c>
      <c r="S91" s="503"/>
      <c r="T91" s="17"/>
      <c r="U91" s="501"/>
      <c r="V91" s="187"/>
      <c r="W91" s="82">
        <f>'BLM STATS'!Y107</f>
        <v>0</v>
      </c>
      <c r="X91" s="82">
        <f>'BLM STATS'!Z108</f>
        <v>0</v>
      </c>
    </row>
    <row r="92" spans="1:24" x14ac:dyDescent="0.25">
      <c r="A92" s="68">
        <f>'BLM STATS'!A108</f>
        <v>43329</v>
      </c>
      <c r="B92" s="507" t="str">
        <f>'BLM STATS'!B109</f>
        <v>L3K8</v>
      </c>
      <c r="C92" s="15" t="str">
        <f>'BLM STATS'!F109</f>
        <v>TWENTY</v>
      </c>
      <c r="D92" s="626" t="str">
        <f>'BLM STATS'!I109</f>
        <v>L</v>
      </c>
      <c r="E92" s="626" t="str">
        <f>'BLM STATS'!J109</f>
        <v>3S 7E 09</v>
      </c>
      <c r="F92" s="626" t="str">
        <f>'BLM STATS'!K109</f>
        <v>43 10 16</v>
      </c>
      <c r="G92" s="626" t="str">
        <f>'BLM STATS'!L109</f>
        <v>115 37 55</v>
      </c>
      <c r="H92" s="508" t="str">
        <f>'BLM STATS'!C109</f>
        <v>BOD</v>
      </c>
      <c r="I92" s="201">
        <f t="shared" si="3"/>
        <v>0.4</v>
      </c>
      <c r="J92" s="15">
        <f>'BLM STATS'!P109</f>
        <v>0.1</v>
      </c>
      <c r="K92" s="16">
        <f>'BLM STATS'!Q108</f>
        <v>0</v>
      </c>
      <c r="L92" s="17">
        <f>'BLM STATS'!R108</f>
        <v>0.3</v>
      </c>
      <c r="M92" s="502">
        <f>'BLM STATS'!S108</f>
        <v>0</v>
      </c>
      <c r="N92" s="18">
        <f>'BLM STATS'!T108</f>
        <v>0</v>
      </c>
      <c r="O92" s="19">
        <f>'BLM STATS'!U108</f>
        <v>0</v>
      </c>
      <c r="P92" s="41">
        <f>'BLM STATS'!V108</f>
        <v>0</v>
      </c>
      <c r="Q92" s="187">
        <f>'BLM STATS'!W108</f>
        <v>0</v>
      </c>
      <c r="R92" s="76">
        <f>'BLM STATS'!X94</f>
        <v>0</v>
      </c>
      <c r="S92" s="503"/>
      <c r="T92" s="17"/>
      <c r="U92" s="501"/>
      <c r="V92" s="187"/>
      <c r="W92" s="82">
        <f>'BLM STATS'!Y108</f>
        <v>0</v>
      </c>
      <c r="X92" s="82">
        <f>'BLM STATS'!Z108</f>
        <v>0</v>
      </c>
    </row>
    <row r="93" spans="1:24" x14ac:dyDescent="0.25">
      <c r="A93" s="68">
        <f>'BLM STATS'!A109</f>
        <v>43329</v>
      </c>
      <c r="B93" s="507" t="str">
        <f>'BLM STATS'!B110</f>
        <v>L3LC</v>
      </c>
      <c r="C93" s="15" t="str">
        <f>'BLM STATS'!F110</f>
        <v>MM108 HWY 20</v>
      </c>
      <c r="D93" s="626" t="str">
        <f>'BLM STATS'!I110</f>
        <v>L</v>
      </c>
      <c r="E93" s="626" t="str">
        <f>'BLM STATS'!J110</f>
        <v>2S 8E 19</v>
      </c>
      <c r="F93" s="626" t="str">
        <f>'BLM STATS'!K110</f>
        <v>43 13 50</v>
      </c>
      <c r="G93" s="626" t="str">
        <f>'BLM STATS'!L110</f>
        <v>115 32 40</v>
      </c>
      <c r="H93" s="508" t="str">
        <f>'BLM STATS'!C110</f>
        <v>BOD</v>
      </c>
      <c r="I93" s="201">
        <f>SUM(J97:X97)</f>
        <v>0.1</v>
      </c>
      <c r="J93" s="15">
        <f>'BLM STATS'!P110</f>
        <v>0.1</v>
      </c>
      <c r="K93" s="16">
        <f>'BLM STATS'!Q109</f>
        <v>0</v>
      </c>
      <c r="L93" s="17">
        <f>'BLM STATS'!R109</f>
        <v>0</v>
      </c>
      <c r="M93" s="502">
        <f>'BLM STATS'!S109</f>
        <v>0</v>
      </c>
      <c r="N93" s="18">
        <f>'BLM STATS'!T109</f>
        <v>0</v>
      </c>
      <c r="O93" s="19">
        <f>'BLM STATS'!U109</f>
        <v>0</v>
      </c>
      <c r="P93" s="41">
        <f>'BLM STATS'!V109</f>
        <v>0</v>
      </c>
      <c r="Q93" s="187">
        <f>'BLM STATS'!W109</f>
        <v>0</v>
      </c>
      <c r="R93" s="76">
        <f>'BLM STATS'!X95</f>
        <v>0</v>
      </c>
      <c r="S93" s="503"/>
      <c r="T93" s="17"/>
      <c r="U93" s="501"/>
      <c r="V93" s="187"/>
      <c r="W93" s="82">
        <f>'BLM STATS'!Y109</f>
        <v>0</v>
      </c>
      <c r="X93" s="82">
        <f>'BLM STATS'!Z109</f>
        <v>0</v>
      </c>
    </row>
    <row r="94" spans="1:24" x14ac:dyDescent="0.25">
      <c r="A94" s="68">
        <f>'BLM STATS'!A112</f>
        <v>43329</v>
      </c>
      <c r="B94" s="507" t="str">
        <f>'BLM STATS'!B112</f>
        <v>L3K6</v>
      </c>
      <c r="C94" s="15" t="str">
        <f>'BLM STATS'!F112</f>
        <v>GOLDIE</v>
      </c>
      <c r="D94" s="501" t="str">
        <f>'BLM STATS'!I112</f>
        <v>L</v>
      </c>
      <c r="E94" s="501" t="str">
        <f>'BLM STATS'!J112</f>
        <v>5S 6E 26</v>
      </c>
      <c r="F94" s="501" t="str">
        <f>'BLM STATS'!K112</f>
        <v>42 57 33</v>
      </c>
      <c r="G94" s="501" t="str">
        <f>'BLM STATS'!L112</f>
        <v>115 42 57</v>
      </c>
      <c r="H94" s="508" t="str">
        <f>'BLM STATS'!C112</f>
        <v>SWS</v>
      </c>
      <c r="I94" s="201">
        <f t="shared" ref="I94:I124" si="4">SUM(J94:X94)</f>
        <v>4</v>
      </c>
      <c r="J94" s="15">
        <f>'BLM STATS'!P112</f>
        <v>0</v>
      </c>
      <c r="K94" s="16">
        <f>'BLM STATS'!Q112</f>
        <v>0</v>
      </c>
      <c r="L94" s="17">
        <f>'BLM STATS'!R112</f>
        <v>4</v>
      </c>
      <c r="M94" s="502">
        <f>'BLM STATS'!S112</f>
        <v>0</v>
      </c>
      <c r="N94" s="18">
        <f>'BLM STATS'!T112</f>
        <v>0</v>
      </c>
      <c r="O94" s="19">
        <f>'BLM STATS'!U112</f>
        <v>0</v>
      </c>
      <c r="P94" s="41">
        <f>'BLM STATS'!V112</f>
        <v>0</v>
      </c>
      <c r="Q94" s="187">
        <f>'BLM STATS'!W112</f>
        <v>0</v>
      </c>
      <c r="R94" s="76">
        <f>'BLM STATS'!X96</f>
        <v>0</v>
      </c>
      <c r="S94" s="503"/>
      <c r="T94" s="17"/>
      <c r="U94" s="501"/>
      <c r="V94" s="187"/>
      <c r="W94" s="82">
        <f>'BLM STATS'!Y112</f>
        <v>0</v>
      </c>
      <c r="X94" s="82">
        <f>'BLM STATS'!Z112</f>
        <v>0</v>
      </c>
    </row>
    <row r="95" spans="1:24" x14ac:dyDescent="0.25">
      <c r="A95" s="68">
        <f>'BLM STATS'!A113</f>
        <v>43329</v>
      </c>
      <c r="B95" s="507" t="str">
        <f>'BLM STATS'!B113</f>
        <v>L3LG</v>
      </c>
      <c r="C95" s="15" t="str">
        <f>'BLM STATS'!F113</f>
        <v>ALKIE</v>
      </c>
      <c r="D95" s="501" t="str">
        <f>'BLM STATS'!I113</f>
        <v>L</v>
      </c>
      <c r="E95" s="501" t="str">
        <f>'BLM STATS'!J113</f>
        <v>4S 9E 24</v>
      </c>
      <c r="F95" s="501" t="str">
        <f>'BLM STATS'!K113</f>
        <v>43 03 45</v>
      </c>
      <c r="G95" s="501" t="str">
        <f>'BLM STATS'!L113</f>
        <v>115 20 22</v>
      </c>
      <c r="H95" s="508" t="str">
        <f>'BLM STATS'!C113</f>
        <v>BOD</v>
      </c>
      <c r="I95" s="201">
        <f t="shared" si="4"/>
        <v>2011</v>
      </c>
      <c r="J95" s="15">
        <f>'BLM STATS'!P113</f>
        <v>2011</v>
      </c>
      <c r="K95" s="16">
        <f>'BLM STATS'!Q113</f>
        <v>0</v>
      </c>
      <c r="L95" s="17">
        <f>'BLM STATS'!R113</f>
        <v>0</v>
      </c>
      <c r="M95" s="502">
        <f>'BLM STATS'!S113</f>
        <v>0</v>
      </c>
      <c r="N95" s="18">
        <f>'BLM STATS'!T113</f>
        <v>0</v>
      </c>
      <c r="O95" s="19">
        <f>'BLM STATS'!U113</f>
        <v>0</v>
      </c>
      <c r="P95" s="41">
        <f>'BLM STATS'!V113</f>
        <v>0</v>
      </c>
      <c r="Q95" s="187">
        <f>'BLM STATS'!W113</f>
        <v>0</v>
      </c>
      <c r="R95" s="76">
        <f>'BLM STATS'!X97</f>
        <v>0</v>
      </c>
      <c r="S95" s="503"/>
      <c r="T95" s="17"/>
      <c r="U95" s="501"/>
      <c r="V95" s="187"/>
      <c r="W95" s="82">
        <f>'BLM STATS'!Y113</f>
        <v>0</v>
      </c>
      <c r="X95" s="82">
        <f>'BLM STATS'!Z113</f>
        <v>0</v>
      </c>
    </row>
    <row r="96" spans="1:24" x14ac:dyDescent="0.25">
      <c r="A96" s="68">
        <f>'BLM STATS'!A114</f>
        <v>43329</v>
      </c>
      <c r="B96" s="507" t="str">
        <f>'BLM STATS'!B114</f>
        <v>L3LP</v>
      </c>
      <c r="C96" s="15" t="str">
        <f>'BLM STATS'!F114</f>
        <v>BENNY</v>
      </c>
      <c r="D96" s="501" t="str">
        <f>'BLM STATS'!I114</f>
        <v>L</v>
      </c>
      <c r="E96" s="501" t="str">
        <f>'BLM STATS'!J114</f>
        <v>4S 10E 08</v>
      </c>
      <c r="F96" s="501" t="str">
        <f>'BLM STATS'!K114</f>
        <v>43 05 13</v>
      </c>
      <c r="G96" s="501" t="str">
        <f>'BLM STATS'!L114</f>
        <v>115 17 11</v>
      </c>
      <c r="H96" s="508" t="str">
        <f>'BLM STATS'!C114</f>
        <v>BOD</v>
      </c>
      <c r="I96" s="201">
        <f t="shared" si="4"/>
        <v>867</v>
      </c>
      <c r="J96" s="15">
        <f>'BLM STATS'!P114</f>
        <v>756</v>
      </c>
      <c r="K96" s="16">
        <f>'BLM STATS'!Q114</f>
        <v>0</v>
      </c>
      <c r="L96" s="17">
        <f>'BLM STATS'!R114</f>
        <v>111</v>
      </c>
      <c r="M96" s="502">
        <f>'BLM STATS'!S114</f>
        <v>0</v>
      </c>
      <c r="N96" s="18">
        <f>'BLM STATS'!T114</f>
        <v>0</v>
      </c>
      <c r="O96" s="19">
        <f>'BLM STATS'!U114</f>
        <v>0</v>
      </c>
      <c r="P96" s="41">
        <f>'BLM STATS'!V114</f>
        <v>0</v>
      </c>
      <c r="Q96" s="187">
        <f>'BLM STATS'!W114</f>
        <v>0</v>
      </c>
      <c r="R96" s="76">
        <f>'BLM STATS'!X99</f>
        <v>0</v>
      </c>
      <c r="S96" s="503"/>
      <c r="T96" s="17"/>
      <c r="U96" s="501"/>
      <c r="V96" s="187"/>
      <c r="W96" s="82">
        <f>'BLM STATS'!Y114</f>
        <v>0</v>
      </c>
      <c r="X96" s="82">
        <f>'BLM STATS'!Z114</f>
        <v>0</v>
      </c>
    </row>
    <row r="97" spans="1:24" x14ac:dyDescent="0.25">
      <c r="A97" s="68">
        <f>'BLM STATS'!A115</f>
        <v>43329</v>
      </c>
      <c r="B97" s="507" t="str">
        <f>'BLM STATS'!B115</f>
        <v>L3LQ</v>
      </c>
      <c r="C97" s="15" t="str">
        <f>'BLM STATS'!F115</f>
        <v>LITTLE C</v>
      </c>
      <c r="D97" s="501" t="str">
        <f>'BLM STATS'!I115</f>
        <v>L</v>
      </c>
      <c r="E97" s="501" t="str">
        <f>'BLM STATS'!J115</f>
        <v>4S 10E 09</v>
      </c>
      <c r="F97" s="501" t="str">
        <f>'BLM STATS'!K115</f>
        <v>43 05 37</v>
      </c>
      <c r="G97" s="501" t="str">
        <f>'BLM STATS'!L115</f>
        <v>115 16 33</v>
      </c>
      <c r="H97" s="508" t="str">
        <f>'BLM STATS'!C115</f>
        <v>BOD</v>
      </c>
      <c r="I97" s="201">
        <f t="shared" si="4"/>
        <v>0.1</v>
      </c>
      <c r="J97" s="15">
        <f>'BLM STATS'!P115</f>
        <v>0.1</v>
      </c>
      <c r="K97" s="16">
        <f>'BLM STATS'!Q115</f>
        <v>0</v>
      </c>
      <c r="L97" s="17">
        <f>'BLM STATS'!R115</f>
        <v>0</v>
      </c>
      <c r="M97" s="502">
        <f>'BLM STATS'!S115</f>
        <v>0</v>
      </c>
      <c r="N97" s="18">
        <f>'BLM STATS'!T115</f>
        <v>0</v>
      </c>
      <c r="O97" s="19">
        <f>'BLM STATS'!U115</f>
        <v>0</v>
      </c>
      <c r="P97" s="41">
        <f>'BLM STATS'!V115</f>
        <v>0</v>
      </c>
      <c r="Q97" s="187">
        <f>'BLM STATS'!W115</f>
        <v>0</v>
      </c>
      <c r="R97" s="76">
        <f>'BLM STATS'!X101</f>
        <v>0</v>
      </c>
      <c r="S97" s="503"/>
      <c r="T97" s="17"/>
      <c r="U97" s="501"/>
      <c r="V97" s="187"/>
      <c r="W97" s="82">
        <f>'BLM STATS'!Y115</f>
        <v>0</v>
      </c>
      <c r="X97" s="82">
        <f>'BLM STATS'!Z115</f>
        <v>0</v>
      </c>
    </row>
    <row r="98" spans="1:24" x14ac:dyDescent="0.25">
      <c r="A98" s="68">
        <f>'BLM STATS'!A116</f>
        <v>43329</v>
      </c>
      <c r="B98" s="507" t="str">
        <f>'BLM STATS'!B116</f>
        <v>L3LS</v>
      </c>
      <c r="C98" s="15" t="str">
        <f>'BLM STATS'!F116</f>
        <v>BIG C</v>
      </c>
      <c r="D98" s="501" t="str">
        <f>'BLM STATS'!I116</f>
        <v>L</v>
      </c>
      <c r="E98" s="501" t="str">
        <f>'BLM STATS'!J116</f>
        <v>4S 9E 11</v>
      </c>
      <c r="F98" s="501" t="str">
        <f>'BLM STATS'!K116</f>
        <v>43 05 02</v>
      </c>
      <c r="G98" s="501" t="str">
        <f>'BLM STATS'!L116</f>
        <v>115 21 44</v>
      </c>
      <c r="H98" s="508" t="str">
        <f>'BLM STATS'!C116</f>
        <v>BOD</v>
      </c>
      <c r="I98" s="201">
        <f t="shared" si="4"/>
        <v>0.25</v>
      </c>
      <c r="J98" s="15">
        <f>'BLM STATS'!P116</f>
        <v>0.25</v>
      </c>
      <c r="K98" s="16">
        <f>'BLM STATS'!Q116</f>
        <v>0</v>
      </c>
      <c r="L98" s="17">
        <f>'BLM STATS'!R116</f>
        <v>0</v>
      </c>
      <c r="M98" s="502">
        <f>'BLM STATS'!S116</f>
        <v>0</v>
      </c>
      <c r="N98" s="18">
        <f>'BLM STATS'!T116</f>
        <v>0</v>
      </c>
      <c r="O98" s="19">
        <f>'BLM STATS'!U116</f>
        <v>0</v>
      </c>
      <c r="P98" s="41">
        <f>'BLM STATS'!V116</f>
        <v>0</v>
      </c>
      <c r="Q98" s="187">
        <f>'BLM STATS'!W116</f>
        <v>0</v>
      </c>
      <c r="R98" s="76">
        <f>'BLM STATS'!X102</f>
        <v>0</v>
      </c>
      <c r="S98" s="503"/>
      <c r="T98" s="17"/>
      <c r="U98" s="501"/>
      <c r="V98" s="187"/>
      <c r="W98" s="82">
        <f>'BLM STATS'!Y116</f>
        <v>0</v>
      </c>
      <c r="X98" s="82">
        <f>'BLM STATS'!Z116</f>
        <v>0</v>
      </c>
    </row>
    <row r="99" spans="1:24" x14ac:dyDescent="0.25">
      <c r="A99" s="68">
        <f>'BLM STATS'!A117</f>
        <v>43329</v>
      </c>
      <c r="B99" s="507" t="str">
        <f>'BLM STATS'!B117</f>
        <v>L3LT</v>
      </c>
      <c r="C99" s="15" t="str">
        <f>'BLM STATS'!F117</f>
        <v>MM98 HWY20</v>
      </c>
      <c r="D99" s="501" t="str">
        <f>'BLM STATS'!I117</f>
        <v>L</v>
      </c>
      <c r="E99" s="501" t="str">
        <f>'BLM STATS'!J117</f>
        <v>3S 7E 09</v>
      </c>
      <c r="F99" s="501" t="str">
        <f>'BLM STATS'!K117</f>
        <v>43 10 36</v>
      </c>
      <c r="G99" s="501" t="str">
        <f>'BLM STATS'!L117</f>
        <v>115 38 00</v>
      </c>
      <c r="H99" s="508" t="str">
        <f>'BLM STATS'!C117</f>
        <v>BOD</v>
      </c>
      <c r="I99" s="201">
        <f t="shared" si="4"/>
        <v>0.1</v>
      </c>
      <c r="J99" s="15">
        <f>'BLM STATS'!P117</f>
        <v>0.1</v>
      </c>
      <c r="K99" s="16">
        <f>'BLM STATS'!Q117</f>
        <v>0</v>
      </c>
      <c r="L99" s="17">
        <f>'BLM STATS'!R117</f>
        <v>0</v>
      </c>
      <c r="M99" s="502">
        <f>'BLM STATS'!S117</f>
        <v>0</v>
      </c>
      <c r="N99" s="18">
        <f>'BLM STATS'!T117</f>
        <v>0</v>
      </c>
      <c r="O99" s="19">
        <f>'BLM STATS'!U117</f>
        <v>0</v>
      </c>
      <c r="P99" s="41">
        <f>'BLM STATS'!V117</f>
        <v>0</v>
      </c>
      <c r="Q99" s="187">
        <f>'BLM STATS'!W117</f>
        <v>0</v>
      </c>
      <c r="R99" s="76">
        <f>'BLM STATS'!X103</f>
        <v>0</v>
      </c>
      <c r="S99" s="503"/>
      <c r="T99" s="17"/>
      <c r="U99" s="501"/>
      <c r="V99" s="187"/>
      <c r="W99" s="82">
        <f>'BLM STATS'!Y117</f>
        <v>0</v>
      </c>
      <c r="X99" s="82">
        <f>'BLM STATS'!Z117</f>
        <v>0</v>
      </c>
    </row>
    <row r="100" spans="1:24" x14ac:dyDescent="0.25">
      <c r="A100" s="68">
        <f>'BLM STATS'!A118</f>
        <v>43329</v>
      </c>
      <c r="B100" s="507" t="str">
        <f>'BLM STATS'!B118</f>
        <v>L3MG</v>
      </c>
      <c r="C100" s="15" t="str">
        <f>'BLM STATS'!F118</f>
        <v>CUTOFF</v>
      </c>
      <c r="D100" s="501" t="str">
        <f>'BLM STATS'!I118</f>
        <v>L</v>
      </c>
      <c r="E100" s="501" t="str">
        <f>'BLM STATS'!J118</f>
        <v>6S 3E 30</v>
      </c>
      <c r="F100" s="501" t="str">
        <f>'BLM STATS'!K118</f>
        <v>42 52 34</v>
      </c>
      <c r="G100" s="501" t="str">
        <f>'BLM STATS'!L118</f>
        <v>116 08 57</v>
      </c>
      <c r="H100" s="508" t="str">
        <f>'BLM STATS'!C118</f>
        <v>BOD</v>
      </c>
      <c r="I100" s="201">
        <f t="shared" si="4"/>
        <v>467</v>
      </c>
      <c r="J100" s="15">
        <f>'BLM STATS'!P118</f>
        <v>269</v>
      </c>
      <c r="K100" s="16">
        <f>'BLM STATS'!Q118</f>
        <v>0</v>
      </c>
      <c r="L100" s="17">
        <f>'BLM STATS'!R118</f>
        <v>198</v>
      </c>
      <c r="M100" s="502">
        <f>'BLM STATS'!S118</f>
        <v>0</v>
      </c>
      <c r="N100" s="18">
        <f>'BLM STATS'!T118</f>
        <v>0</v>
      </c>
      <c r="O100" s="19">
        <f>'BLM STATS'!U118</f>
        <v>0</v>
      </c>
      <c r="P100" s="41">
        <f>'BLM STATS'!V118</f>
        <v>0</v>
      </c>
      <c r="Q100" s="187">
        <f>'BLM STATS'!W118</f>
        <v>0</v>
      </c>
      <c r="R100" s="76">
        <f>'BLM STATS'!X104</f>
        <v>0</v>
      </c>
      <c r="S100" s="503"/>
      <c r="T100" s="17"/>
      <c r="U100" s="501"/>
      <c r="V100" s="187"/>
      <c r="W100" s="82">
        <f>'BLM STATS'!Y118</f>
        <v>0</v>
      </c>
      <c r="X100" s="82">
        <f>'BLM STATS'!Z118</f>
        <v>0</v>
      </c>
    </row>
    <row r="101" spans="1:24" x14ac:dyDescent="0.25">
      <c r="A101" s="68">
        <f>'BLM STATS'!A119</f>
        <v>43335</v>
      </c>
      <c r="B101" s="507" t="str">
        <f>'BLM STATS'!B119</f>
        <v>L30B</v>
      </c>
      <c r="C101" s="84" t="str">
        <f>'BLM STATS'!F119</f>
        <v>RA 10 WASHINGTON CO</v>
      </c>
      <c r="D101" s="501" t="str">
        <f>'BLM STATS'!I119</f>
        <v>RFD</v>
      </c>
      <c r="E101" s="501" t="str">
        <f>'BLM STATS'!J119</f>
        <v>13N 3W 35</v>
      </c>
      <c r="F101" s="501" t="str">
        <f>'BLM STATS'!K119</f>
        <v>44 25 24</v>
      </c>
      <c r="G101" s="501" t="str">
        <f>'BLM STATS'!L119</f>
        <v>116 40 24</v>
      </c>
      <c r="H101" s="508" t="str">
        <f>'BLM STATS'!C119</f>
        <v>1WX</v>
      </c>
      <c r="I101" s="201">
        <f t="shared" si="4"/>
        <v>250</v>
      </c>
      <c r="J101" s="15">
        <f>'BLM STATS'!P119</f>
        <v>0</v>
      </c>
      <c r="K101" s="16">
        <f>'BLM STATS'!Q119</f>
        <v>0</v>
      </c>
      <c r="L101" s="17">
        <f>'BLM STATS'!R119</f>
        <v>0</v>
      </c>
      <c r="M101" s="502">
        <f>'BLM STATS'!S119</f>
        <v>0</v>
      </c>
      <c r="N101" s="18">
        <f>'BLM STATS'!T119</f>
        <v>0</v>
      </c>
      <c r="O101" s="19">
        <f>'BLM STATS'!U119</f>
        <v>0</v>
      </c>
      <c r="P101" s="41">
        <f>'BLM STATS'!V119</f>
        <v>0</v>
      </c>
      <c r="Q101" s="187">
        <f>'BLM STATS'!W119</f>
        <v>0</v>
      </c>
      <c r="R101" s="76">
        <f>'BLM STATS'!X105</f>
        <v>0</v>
      </c>
      <c r="S101" s="503"/>
      <c r="T101" s="17"/>
      <c r="U101" s="501"/>
      <c r="V101" s="187"/>
      <c r="W101" s="82">
        <f>'BLM STATS'!Y119</f>
        <v>250</v>
      </c>
      <c r="X101" s="82">
        <f>'BLM STATS'!Z119</f>
        <v>0</v>
      </c>
    </row>
    <row r="102" spans="1:24" x14ac:dyDescent="0.25">
      <c r="A102" s="68">
        <f>'BLM STATS'!A121</f>
        <v>43340</v>
      </c>
      <c r="B102" s="507" t="str">
        <f>'BLM STATS'!B121</f>
        <v>L37Q</v>
      </c>
      <c r="C102" s="15" t="str">
        <f>'BLM STATS'!F121</f>
        <v>MONUMENT</v>
      </c>
      <c r="D102" s="501" t="str">
        <f>'BLM STATS'!I121</f>
        <v>H</v>
      </c>
      <c r="E102" s="501" t="str">
        <f>'BLM STATS'!J121</f>
        <v>6N 1W 21</v>
      </c>
      <c r="F102" s="501" t="str">
        <f>'BLM STATS'!K121</f>
        <v>43 50 44</v>
      </c>
      <c r="G102" s="501" t="str">
        <f>'BLM STATS'!L121</f>
        <v>116 27 59</v>
      </c>
      <c r="H102" s="508" t="str">
        <f>'BLM STATS'!C121</f>
        <v>BOD</v>
      </c>
      <c r="I102" s="201">
        <f t="shared" si="4"/>
        <v>0.1</v>
      </c>
      <c r="J102" s="15">
        <f>'BLM STATS'!P121</f>
        <v>0.1</v>
      </c>
      <c r="K102" s="16">
        <f>'BLM STATS'!Q121</f>
        <v>0</v>
      </c>
      <c r="L102" s="17">
        <f>'BLM STATS'!R121</f>
        <v>0</v>
      </c>
      <c r="M102" s="502">
        <f>'BLM STATS'!S121</f>
        <v>0</v>
      </c>
      <c r="N102" s="18">
        <f>'BLM STATS'!T121</f>
        <v>0</v>
      </c>
      <c r="O102" s="19">
        <f>'BLM STATS'!U121</f>
        <v>0</v>
      </c>
      <c r="P102" s="41">
        <f>'BLM STATS'!V121</f>
        <v>0</v>
      </c>
      <c r="Q102" s="187">
        <f>'BLM STATS'!W121</f>
        <v>0</v>
      </c>
      <c r="R102" s="76">
        <f>'BLM STATS'!X108</f>
        <v>0</v>
      </c>
      <c r="S102" s="503"/>
      <c r="T102" s="17"/>
      <c r="U102" s="501"/>
      <c r="V102" s="187"/>
      <c r="W102" s="82">
        <f>'BLM STATS'!Y121</f>
        <v>0</v>
      </c>
      <c r="X102" s="82">
        <f>'BLM STATS'!Z121</f>
        <v>0</v>
      </c>
    </row>
    <row r="103" spans="1:24" x14ac:dyDescent="0.25">
      <c r="A103" s="68">
        <f>'BLM STATS'!A122</f>
        <v>43341</v>
      </c>
      <c r="B103" s="507" t="str">
        <f>'BLM STATS'!B122</f>
        <v>L38V</v>
      </c>
      <c r="C103" s="15" t="str">
        <f>'BLM STATS'!F122</f>
        <v>HOLLY</v>
      </c>
      <c r="D103" s="501" t="str">
        <f>'BLM STATS'!I122</f>
        <v>H</v>
      </c>
      <c r="E103" s="501" t="str">
        <f>'BLM STATS'!J122</f>
        <v>2N 2E 09</v>
      </c>
      <c r="F103" s="501" t="str">
        <f>'BLM STATS'!K122</f>
        <v>43 31 14</v>
      </c>
      <c r="G103" s="501" t="str">
        <f>'BLM STATS'!L122</f>
        <v>116 13 51</v>
      </c>
      <c r="H103" s="508" t="str">
        <f>'BLM STATS'!C122</f>
        <v>1AX</v>
      </c>
      <c r="I103" s="201">
        <f t="shared" si="4"/>
        <v>1</v>
      </c>
      <c r="J103" s="15">
        <f>'BLM STATS'!P122</f>
        <v>0</v>
      </c>
      <c r="K103" s="16">
        <f>'BLM STATS'!Q122</f>
        <v>0</v>
      </c>
      <c r="L103" s="17">
        <f>'BLM STATS'!R122</f>
        <v>0</v>
      </c>
      <c r="M103" s="502">
        <f>'BLM STATS'!S122</f>
        <v>1</v>
      </c>
      <c r="N103" s="18">
        <f>'BLM STATS'!T122</f>
        <v>0</v>
      </c>
      <c r="O103" s="19">
        <f>'BLM STATS'!U122</f>
        <v>0</v>
      </c>
      <c r="P103" s="41">
        <f>'BLM STATS'!V122</f>
        <v>0</v>
      </c>
      <c r="Q103" s="187">
        <f>'BLM STATS'!W122</f>
        <v>0</v>
      </c>
      <c r="R103" s="76">
        <f>'BLM STATS'!X109</f>
        <v>0</v>
      </c>
      <c r="S103" s="503"/>
      <c r="T103" s="17"/>
      <c r="U103" s="501"/>
      <c r="V103" s="187"/>
      <c r="W103" s="82">
        <f>'BLM STATS'!Y122</f>
        <v>0</v>
      </c>
      <c r="X103" s="82">
        <f>'BLM STATS'!Z122</f>
        <v>0</v>
      </c>
    </row>
    <row r="104" spans="1:24" x14ac:dyDescent="0.25">
      <c r="A104" s="68">
        <f>'BLM STATS'!A123</f>
        <v>43341</v>
      </c>
      <c r="B104" s="507" t="str">
        <f>'BLM STATS'!B123</f>
        <v>L387</v>
      </c>
      <c r="C104" s="958" t="str">
        <f>'BLM STATS'!F123</f>
        <v>FA 14 BOD</v>
      </c>
      <c r="D104" s="501" t="str">
        <f>'BLM STATS'!I123</f>
        <v>FA</v>
      </c>
      <c r="E104" s="501" t="str">
        <f>'BLM STATS'!J123</f>
        <v>1N 4E 27</v>
      </c>
      <c r="F104" s="501" t="str">
        <f>'BLM STATS'!K123</f>
        <v>43 23 40</v>
      </c>
      <c r="G104" s="501" t="str">
        <f>'BLM STATS'!L123</f>
        <v>115 57 48</v>
      </c>
      <c r="H104" s="508" t="str">
        <f>'BLM STATS'!C123</f>
        <v>ELX</v>
      </c>
      <c r="I104" s="201">
        <f t="shared" si="4"/>
        <v>0</v>
      </c>
      <c r="J104" s="15">
        <f>'BLM STATS'!P123</f>
        <v>0</v>
      </c>
      <c r="K104" s="16">
        <f>'BLM STATS'!Q123</f>
        <v>0</v>
      </c>
      <c r="L104" s="17">
        <f>'BLM STATS'!R123</f>
        <v>0</v>
      </c>
      <c r="M104" s="502">
        <f>'BLM STATS'!S123</f>
        <v>0</v>
      </c>
      <c r="N104" s="18">
        <f>'BLM STATS'!T123</f>
        <v>0</v>
      </c>
      <c r="O104" s="19">
        <f>'BLM STATS'!U123</f>
        <v>0</v>
      </c>
      <c r="P104" s="41">
        <f>'BLM STATS'!V123</f>
        <v>0</v>
      </c>
      <c r="Q104" s="187">
        <f>'BLM STATS'!W123</f>
        <v>0</v>
      </c>
      <c r="R104" s="76">
        <f>'BLM STATS'!X110</f>
        <v>0</v>
      </c>
      <c r="S104" s="503"/>
      <c r="T104" s="17"/>
      <c r="U104" s="501"/>
      <c r="V104" s="187"/>
      <c r="W104" s="82">
        <f>'BLM STATS'!Y123</f>
        <v>0</v>
      </c>
      <c r="X104" s="82">
        <f>'BLM STATS'!Z123</f>
        <v>0</v>
      </c>
    </row>
    <row r="105" spans="1:24" x14ac:dyDescent="0.25">
      <c r="A105" s="68">
        <f>'BLM STATS'!A124</f>
        <v>43345</v>
      </c>
      <c r="B105" s="507" t="str">
        <f>'BLM STATS'!B124</f>
        <v>L4E2</v>
      </c>
      <c r="C105" s="15" t="str">
        <f>'BLM STATS'!F126</f>
        <v>MM14 HWY21</v>
      </c>
      <c r="D105" s="501" t="str">
        <f>'BLM STATS'!I124</f>
        <v>H</v>
      </c>
      <c r="E105" s="501" t="str">
        <f>'BLM STATS'!J124</f>
        <v>1N 3E 06</v>
      </c>
      <c r="F105" s="501" t="str">
        <f>'BLM STATS'!K124</f>
        <v>43 27 16</v>
      </c>
      <c r="G105" s="501" t="str">
        <f>'BLM STATS'!L124</f>
        <v>116 08 49</v>
      </c>
      <c r="H105" s="508" t="str">
        <f>'BLM STATS'!C124</f>
        <v>BOD</v>
      </c>
      <c r="I105" s="201">
        <f t="shared" si="4"/>
        <v>1.5</v>
      </c>
      <c r="J105" s="15">
        <f>'BLM STATS'!P124</f>
        <v>1.5</v>
      </c>
      <c r="K105" s="16">
        <f>'BLM STATS'!Q124</f>
        <v>0</v>
      </c>
      <c r="L105" s="17">
        <f>'BLM STATS'!R124</f>
        <v>0</v>
      </c>
      <c r="M105" s="502">
        <f>'BLM STATS'!S124</f>
        <v>0</v>
      </c>
      <c r="N105" s="18">
        <f>'BLM STATS'!T124</f>
        <v>0</v>
      </c>
      <c r="O105" s="19">
        <f>'BLM STATS'!U124</f>
        <v>0</v>
      </c>
      <c r="P105" s="41">
        <f>'BLM STATS'!V124</f>
        <v>0</v>
      </c>
      <c r="Q105" s="187">
        <f>'BLM STATS'!W124</f>
        <v>0</v>
      </c>
      <c r="R105" s="76">
        <f>'BLM STATS'!X111</f>
        <v>0</v>
      </c>
      <c r="S105" s="503"/>
      <c r="T105" s="17"/>
      <c r="U105" s="501"/>
      <c r="V105" s="187"/>
      <c r="W105" s="82">
        <f>'BLM STATS'!Y124</f>
        <v>0</v>
      </c>
      <c r="X105" s="82">
        <f>'BLM STATS'!Z124</f>
        <v>0</v>
      </c>
    </row>
    <row r="106" spans="1:24" x14ac:dyDescent="0.25">
      <c r="A106" s="68">
        <f>'BLM STATS'!A125</f>
        <v>43346</v>
      </c>
      <c r="B106" s="507" t="str">
        <f>'BLM STATS'!B125</f>
        <v>L4HU</v>
      </c>
      <c r="C106" s="15" t="str">
        <f>'BLM STATS'!F125</f>
        <v>PEARLY</v>
      </c>
      <c r="D106" s="501" t="str">
        <f>'BLM STATS'!I125</f>
        <v>H</v>
      </c>
      <c r="E106" s="501" t="str">
        <f>'BLM STATS'!J125</f>
        <v>6N 4W 30</v>
      </c>
      <c r="F106" s="501" t="str">
        <f>'BLM STATS'!K125</f>
        <v>43 49 47</v>
      </c>
      <c r="G106" s="501" t="str">
        <f>'BLM STATS'!L125</f>
        <v>116 51 38</v>
      </c>
      <c r="H106" s="508" t="str">
        <f>'BLM STATS'!C125</f>
        <v>BOD</v>
      </c>
      <c r="I106" s="201">
        <f t="shared" si="4"/>
        <v>844</v>
      </c>
      <c r="J106" s="15">
        <f>'BLM STATS'!P125</f>
        <v>844</v>
      </c>
      <c r="K106" s="16">
        <f>'BLM STATS'!Q125</f>
        <v>0</v>
      </c>
      <c r="L106" s="17">
        <f>'BLM STATS'!R125</f>
        <v>0</v>
      </c>
      <c r="M106" s="502">
        <f>'BLM STATS'!S125</f>
        <v>0</v>
      </c>
      <c r="N106" s="18">
        <f>'BLM STATS'!T125</f>
        <v>0</v>
      </c>
      <c r="O106" s="19">
        <f>'BLM STATS'!U125</f>
        <v>0</v>
      </c>
      <c r="P106" s="41">
        <f>'BLM STATS'!V125</f>
        <v>0</v>
      </c>
      <c r="Q106" s="187">
        <f>'BLM STATS'!W125</f>
        <v>0</v>
      </c>
      <c r="R106" s="76">
        <f>'BLM STATS'!X112</f>
        <v>0</v>
      </c>
      <c r="S106" s="503"/>
      <c r="T106" s="17"/>
      <c r="U106" s="501"/>
      <c r="V106" s="187"/>
      <c r="W106" s="82">
        <f>'BLM STATS'!Y125</f>
        <v>0</v>
      </c>
      <c r="X106" s="82">
        <f>'BLM STATS'!Z125</f>
        <v>0</v>
      </c>
    </row>
    <row r="107" spans="1:24" x14ac:dyDescent="0.25">
      <c r="A107" s="68">
        <f>'BLM STATS'!A126</f>
        <v>43346</v>
      </c>
      <c r="B107" s="507" t="str">
        <f>'BLM STATS'!B126</f>
        <v>L4HW</v>
      </c>
      <c r="C107" s="15" t="str">
        <f>'BLM STATS'!F126</f>
        <v>MM14 HWY21</v>
      </c>
      <c r="D107" s="501" t="str">
        <f>'BLM STATS'!I126</f>
        <v>H</v>
      </c>
      <c r="E107" s="501" t="str">
        <f>'BLM STATS'!J126</f>
        <v>3N 4E 19</v>
      </c>
      <c r="F107" s="501" t="str">
        <f>'BLM STATS'!K126</f>
        <v>43 34 33</v>
      </c>
      <c r="G107" s="501" t="str">
        <f>'BLM STATS'!L126</f>
        <v>116 01 01</v>
      </c>
      <c r="H107" s="508" t="str">
        <f>'BLM STATS'!C126</f>
        <v>1AX</v>
      </c>
      <c r="I107" s="201">
        <f t="shared" si="4"/>
        <v>0.1</v>
      </c>
      <c r="J107" s="15">
        <f>'BLM STATS'!P126</f>
        <v>0</v>
      </c>
      <c r="K107" s="16">
        <f>'BLM STATS'!Q126</f>
        <v>0</v>
      </c>
      <c r="L107" s="17">
        <f>'BLM STATS'!R126</f>
        <v>0</v>
      </c>
      <c r="M107" s="502">
        <f>'BLM STATS'!S126</f>
        <v>0.1</v>
      </c>
      <c r="N107" s="18">
        <f>'BLM STATS'!T126</f>
        <v>0</v>
      </c>
      <c r="O107" s="19">
        <f>'BLM STATS'!U126</f>
        <v>0</v>
      </c>
      <c r="P107" s="41">
        <f>'BLM STATS'!V126</f>
        <v>0</v>
      </c>
      <c r="Q107" s="187">
        <f>'BLM STATS'!W126</f>
        <v>0</v>
      </c>
      <c r="R107" s="76">
        <f>'BLM STATS'!X113</f>
        <v>0</v>
      </c>
      <c r="S107" s="503"/>
      <c r="T107" s="17"/>
      <c r="U107" s="501"/>
      <c r="V107" s="187"/>
      <c r="W107" s="82">
        <f>'BLM STATS'!Y126</f>
        <v>0</v>
      </c>
      <c r="X107" s="82">
        <f>'BLM STATS'!Z126</f>
        <v>0</v>
      </c>
    </row>
    <row r="108" spans="1:24" x14ac:dyDescent="0.25">
      <c r="A108" s="68">
        <f>'BLM STATS'!A127</f>
        <v>43351</v>
      </c>
      <c r="B108" s="507" t="str">
        <f>'BLM STATS'!B127</f>
        <v>L4SK</v>
      </c>
      <c r="C108" s="958" t="str">
        <f>'BLM STATS'!F127</f>
        <v>FA 15 BOD</v>
      </c>
      <c r="D108" s="501" t="str">
        <f>'BLM STATS'!I127</f>
        <v>FA</v>
      </c>
      <c r="E108" s="501" t="str">
        <f>'BLM STATS'!J127</f>
        <v>4S 7E 23</v>
      </c>
      <c r="F108" s="501" t="str">
        <f>'BLM STATS'!K127</f>
        <v>43 03 29</v>
      </c>
      <c r="G108" s="501" t="str">
        <f>'BLM STATS'!L127</f>
        <v>115 35 18</v>
      </c>
      <c r="H108" s="508" t="str">
        <f>'BLM STATS'!C127</f>
        <v>ELX</v>
      </c>
      <c r="I108" s="201">
        <f t="shared" si="4"/>
        <v>0</v>
      </c>
      <c r="J108" s="15">
        <f>'BLM STATS'!P127</f>
        <v>0</v>
      </c>
      <c r="K108" s="16">
        <f>'BLM STATS'!Q127</f>
        <v>0</v>
      </c>
      <c r="L108" s="17">
        <f>'BLM STATS'!R127</f>
        <v>0</v>
      </c>
      <c r="M108" s="502">
        <f>'BLM STATS'!S127</f>
        <v>0</v>
      </c>
      <c r="N108" s="18">
        <f>'BLM STATS'!T127</f>
        <v>0</v>
      </c>
      <c r="O108" s="19">
        <f>'BLM STATS'!U127</f>
        <v>0</v>
      </c>
      <c r="P108" s="41">
        <f>'BLM STATS'!V127</f>
        <v>0</v>
      </c>
      <c r="Q108" s="187">
        <f>'BLM STATS'!W127</f>
        <v>0</v>
      </c>
      <c r="R108" s="76">
        <f>'BLM STATS'!X114</f>
        <v>0</v>
      </c>
      <c r="S108" s="503"/>
      <c r="T108" s="17"/>
      <c r="U108" s="501"/>
      <c r="V108" s="187"/>
      <c r="W108" s="82">
        <f>'BLM STATS'!Y127</f>
        <v>0</v>
      </c>
      <c r="X108" s="82">
        <f>'BLM STATS'!Z127</f>
        <v>0</v>
      </c>
    </row>
    <row r="109" spans="1:24" x14ac:dyDescent="0.25">
      <c r="A109" s="68">
        <f>'BLM STATS'!A128</f>
        <v>43355</v>
      </c>
      <c r="B109" s="507" t="str">
        <f>'BLM STATS'!B128</f>
        <v>L4Y9</v>
      </c>
      <c r="C109" s="15" t="str">
        <f>'BLM STATS'!F128</f>
        <v>TINTIRE</v>
      </c>
      <c r="D109" s="501" t="str">
        <f>'BLM STATS'!I128</f>
        <v>H</v>
      </c>
      <c r="E109" s="501" t="str">
        <f>'BLM STATS'!J128</f>
        <v>5S 5E 28</v>
      </c>
      <c r="F109" s="501" t="str">
        <f>'BLM STATS'!K128</f>
        <v>42 57 19</v>
      </c>
      <c r="G109" s="501" t="str">
        <f>'BLM STATS'!L128</f>
        <v>115 52 30</v>
      </c>
      <c r="H109" s="508" t="str">
        <f>'BLM STATS'!C128</f>
        <v>OWX</v>
      </c>
      <c r="I109" s="201">
        <f t="shared" si="4"/>
        <v>3.1</v>
      </c>
      <c r="J109" s="15">
        <f>'BLM STATS'!P128</f>
        <v>0.1</v>
      </c>
      <c r="K109" s="16">
        <f>'BLM STATS'!Q128</f>
        <v>0</v>
      </c>
      <c r="L109" s="17">
        <f>'BLM STATS'!R128</f>
        <v>0</v>
      </c>
      <c r="M109" s="502">
        <f>'BLM STATS'!S128</f>
        <v>3</v>
      </c>
      <c r="N109" s="18">
        <f>'BLM STATS'!T128</f>
        <v>0</v>
      </c>
      <c r="O109" s="19">
        <f>'BLM STATS'!U128</f>
        <v>0</v>
      </c>
      <c r="P109" s="41">
        <f>'BLM STATS'!V128</f>
        <v>0</v>
      </c>
      <c r="Q109" s="187">
        <f>'BLM STATS'!W128</f>
        <v>0</v>
      </c>
      <c r="R109" s="76">
        <f>'BLM STATS'!X115</f>
        <v>0</v>
      </c>
      <c r="S109" s="503"/>
      <c r="T109" s="17"/>
      <c r="U109" s="501"/>
      <c r="V109" s="187"/>
      <c r="W109" s="82">
        <f>'BLM STATS'!Y128</f>
        <v>0</v>
      </c>
      <c r="X109" s="82">
        <f>'BLM STATS'!Z128</f>
        <v>0</v>
      </c>
    </row>
    <row r="110" spans="1:24" x14ac:dyDescent="0.25">
      <c r="A110" s="68">
        <f>'BLM STATS'!A129</f>
        <v>43357</v>
      </c>
      <c r="B110" s="507" t="str">
        <f>'BLM STATS'!B129</f>
        <v>L41A</v>
      </c>
      <c r="C110" s="15" t="str">
        <f>'BLM STATS'!F129</f>
        <v>MM74POINT5 I84</v>
      </c>
      <c r="D110" s="501" t="str">
        <f>'BLM STATS'!I129</f>
        <v>H</v>
      </c>
      <c r="E110" s="501" t="str">
        <f>'BLM STATS'!J129</f>
        <v>1S 4E 14</v>
      </c>
      <c r="F110" s="501" t="str">
        <f>'BLM STATS'!K129</f>
        <v>43 20 17</v>
      </c>
      <c r="G110" s="501" t="str">
        <f>'BLM STATS'!L129</f>
        <v>115 56 46</v>
      </c>
      <c r="H110" s="508" t="str">
        <f>'BLM STATS'!C129</f>
        <v>BOD</v>
      </c>
      <c r="I110" s="201">
        <f t="shared" si="4"/>
        <v>0.1</v>
      </c>
      <c r="J110" s="15">
        <f>'BLM STATS'!P129</f>
        <v>0.1</v>
      </c>
      <c r="K110" s="16">
        <f>'BLM STATS'!Q129</f>
        <v>0</v>
      </c>
      <c r="L110" s="17">
        <f>'BLM STATS'!R129</f>
        <v>0</v>
      </c>
      <c r="M110" s="502">
        <f>'BLM STATS'!S129</f>
        <v>0</v>
      </c>
      <c r="N110" s="18">
        <f>'BLM STATS'!T129</f>
        <v>0</v>
      </c>
      <c r="O110" s="19">
        <f>'BLM STATS'!U129</f>
        <v>0</v>
      </c>
      <c r="P110" s="41">
        <f>'BLM STATS'!V129</f>
        <v>0</v>
      </c>
      <c r="Q110" s="187">
        <f>'BLM STATS'!W129</f>
        <v>0</v>
      </c>
      <c r="R110" s="76">
        <f>'BLM STATS'!X116</f>
        <v>0</v>
      </c>
      <c r="S110" s="503"/>
      <c r="T110" s="17"/>
      <c r="U110" s="501"/>
      <c r="V110" s="187"/>
      <c r="W110" s="82">
        <f>'BLM STATS'!Y129</f>
        <v>0</v>
      </c>
      <c r="X110" s="82">
        <f>'BLM STATS'!Z129</f>
        <v>0</v>
      </c>
    </row>
    <row r="111" spans="1:24" x14ac:dyDescent="0.25">
      <c r="A111" s="68">
        <f>'BLM STATS'!A130</f>
        <v>43358</v>
      </c>
      <c r="B111" s="507" t="str">
        <f>'BLM STATS'!B130</f>
        <v>L43B</v>
      </c>
      <c r="C111" s="76" t="str">
        <f>'BLM STATS'!F130</f>
        <v>MOUNTAIN MAN (PAF PROTECTION)</v>
      </c>
      <c r="D111" s="501" t="str">
        <f>'BLM STATS'!I130</f>
        <v>O</v>
      </c>
      <c r="E111" s="501" t="str">
        <f>'BLM STATS'!J130</f>
        <v>14N 6W 05</v>
      </c>
      <c r="F111" s="501" t="str">
        <f>'BLM STATS'!K130</f>
        <v>44 34 59</v>
      </c>
      <c r="G111" s="501" t="str">
        <f>'BLM STATS'!L130</f>
        <v>117 05 47</v>
      </c>
      <c r="H111" s="508">
        <f>'BLM STATS'!C130</f>
        <v>0</v>
      </c>
      <c r="I111" s="201">
        <f t="shared" si="4"/>
        <v>591</v>
      </c>
      <c r="J111" s="15">
        <f>'BLM STATS'!P130</f>
        <v>591</v>
      </c>
      <c r="K111" s="16">
        <f>'BLM STATS'!Q130</f>
        <v>0</v>
      </c>
      <c r="L111" s="17">
        <f>'BLM STATS'!R130</f>
        <v>0</v>
      </c>
      <c r="M111" s="502">
        <f>'BLM STATS'!S130</f>
        <v>0</v>
      </c>
      <c r="N111" s="18">
        <f>'BLM STATS'!T130</f>
        <v>0</v>
      </c>
      <c r="O111" s="19">
        <f>'BLM STATS'!U130</f>
        <v>0</v>
      </c>
      <c r="P111" s="41">
        <f>'BLM STATS'!V130</f>
        <v>0</v>
      </c>
      <c r="Q111" s="187">
        <f>'BLM STATS'!W130</f>
        <v>0</v>
      </c>
      <c r="R111" s="76">
        <f>'BLM STATS'!X117</f>
        <v>0</v>
      </c>
      <c r="S111" s="503"/>
      <c r="T111" s="17"/>
      <c r="U111" s="501"/>
      <c r="V111" s="187"/>
      <c r="W111" s="82">
        <f>'BLM STATS'!Y130</f>
        <v>0</v>
      </c>
      <c r="X111" s="82">
        <f>'BLM STATS'!Z130</f>
        <v>0</v>
      </c>
    </row>
    <row r="112" spans="1:24" x14ac:dyDescent="0.25">
      <c r="A112" s="68">
        <f>'BLM STATS'!A131</f>
        <v>43360</v>
      </c>
      <c r="B112" s="507" t="str">
        <f>'BLM STATS'!B131</f>
        <v>L45L</v>
      </c>
      <c r="C112" s="15" t="str">
        <f>'BLM STATS'!F131</f>
        <v>SOUTH MOUNT</v>
      </c>
      <c r="D112" s="501" t="str">
        <f>'BLM STATS'!I131</f>
        <v>H</v>
      </c>
      <c r="E112" s="501" t="str">
        <f>'BLM STATS'!J131</f>
        <v>7S 5W 36</v>
      </c>
      <c r="F112" s="501" t="str">
        <f>'BLM STATS'!K131</f>
        <v>42 46 36</v>
      </c>
      <c r="G112" s="501" t="str">
        <f>'BLM STATS'!L131</f>
        <v>116 52 17</v>
      </c>
      <c r="H112" s="508" t="str">
        <f>'BLM STATS'!C131</f>
        <v>OWX</v>
      </c>
      <c r="I112" s="201">
        <f t="shared" si="4"/>
        <v>93</v>
      </c>
      <c r="J112" s="15">
        <f>'BLM STATS'!P131</f>
        <v>33</v>
      </c>
      <c r="K112" s="16">
        <f>'BLM STATS'!Q131</f>
        <v>0</v>
      </c>
      <c r="L112" s="17">
        <f>'BLM STATS'!R131</f>
        <v>0</v>
      </c>
      <c r="M112" s="502">
        <f>'BLM STATS'!S131</f>
        <v>60</v>
      </c>
      <c r="N112" s="18">
        <f>'BLM STATS'!T131</f>
        <v>0</v>
      </c>
      <c r="O112" s="19">
        <f>'BLM STATS'!U131</f>
        <v>0</v>
      </c>
      <c r="P112" s="41">
        <f>'BLM STATS'!V131</f>
        <v>0</v>
      </c>
      <c r="Q112" s="187">
        <f>'BLM STATS'!W131</f>
        <v>0</v>
      </c>
      <c r="R112" s="76">
        <f>'BLM STATS'!X118</f>
        <v>0</v>
      </c>
      <c r="S112" s="503"/>
      <c r="T112" s="17"/>
      <c r="U112" s="501"/>
      <c r="V112" s="187"/>
      <c r="W112" s="82">
        <f>'BLM STATS'!Y131</f>
        <v>0</v>
      </c>
      <c r="X112" s="82">
        <f>'BLM STATS'!Z131</f>
        <v>0</v>
      </c>
    </row>
    <row r="113" spans="1:24" x14ac:dyDescent="0.25">
      <c r="A113" s="68">
        <f>'BLM STATS'!A133</f>
        <v>43364</v>
      </c>
      <c r="B113" s="507" t="str">
        <f>'BLM STATS'!B133</f>
        <v>L49U</v>
      </c>
      <c r="C113" s="15" t="str">
        <f>'BLM STATS'!F133</f>
        <v>SOUTH BONNIE</v>
      </c>
      <c r="D113" s="501" t="str">
        <f>'BLM STATS'!I133</f>
        <v>H</v>
      </c>
      <c r="E113" s="501" t="str">
        <f>'BLM STATS'!J133</f>
        <v>2N 3E 35</v>
      </c>
      <c r="F113" s="501" t="str">
        <f>'BLM STATS'!K133</f>
        <v>43 27 47</v>
      </c>
      <c r="G113" s="501" t="str">
        <f>'BLM STATS'!L133</f>
        <v>116 03 33</v>
      </c>
      <c r="H113" s="508" t="str">
        <f>'BLM STATS'!C133</f>
        <v>BOD</v>
      </c>
      <c r="I113" s="201">
        <f t="shared" si="4"/>
        <v>125</v>
      </c>
      <c r="J113" s="15">
        <f>'BLM STATS'!P133</f>
        <v>12</v>
      </c>
      <c r="K113" s="16">
        <f>'BLM STATS'!Q133</f>
        <v>0</v>
      </c>
      <c r="L113" s="17">
        <f>'BLM STATS'!R133</f>
        <v>89</v>
      </c>
      <c r="M113" s="502">
        <f>'BLM STATS'!S133</f>
        <v>24</v>
      </c>
      <c r="N113" s="18">
        <f>'BLM STATS'!T133</f>
        <v>0</v>
      </c>
      <c r="O113" s="19">
        <f>'BLM STATS'!U133</f>
        <v>0</v>
      </c>
      <c r="P113" s="41">
        <f>'BLM STATS'!V133</f>
        <v>0</v>
      </c>
      <c r="Q113" s="187">
        <f>'BLM STATS'!W133</f>
        <v>0</v>
      </c>
      <c r="R113" s="76">
        <f>'BLM STATS'!X120</f>
        <v>0</v>
      </c>
      <c r="S113" s="503"/>
      <c r="T113" s="17"/>
      <c r="U113" s="501"/>
      <c r="V113" s="187"/>
      <c r="W113" s="82">
        <f>'BLM STATS'!Y133</f>
        <v>0</v>
      </c>
      <c r="X113" s="82">
        <f>'BLM STATS'!Z133</f>
        <v>0</v>
      </c>
    </row>
    <row r="114" spans="1:24" x14ac:dyDescent="0.25">
      <c r="A114" s="68">
        <f>'BLM STATS'!A134</f>
        <v>43367</v>
      </c>
      <c r="B114" s="507" t="str">
        <f>'BLM STATS'!B134</f>
        <v>L5DA</v>
      </c>
      <c r="C114" s="15" t="str">
        <f>'BLM STATS'!F134</f>
        <v>MM10 HWY21</v>
      </c>
      <c r="D114" s="501" t="str">
        <f>'BLM STATS'!I134</f>
        <v>H</v>
      </c>
      <c r="E114" s="501" t="str">
        <f>'BLM STATS'!J134</f>
        <v>2N 3E 02</v>
      </c>
      <c r="F114" s="501" t="str">
        <f>'BLM STATS'!K134</f>
        <v>43 31 58</v>
      </c>
      <c r="G114" s="501" t="str">
        <f>'BLM STATS'!L134</f>
        <v>116 03 25</v>
      </c>
      <c r="H114" s="508" t="str">
        <f>'BLM STATS'!C134</f>
        <v>LPE</v>
      </c>
      <c r="I114" s="201">
        <f t="shared" si="4"/>
        <v>0.1</v>
      </c>
      <c r="J114" s="15">
        <f>'BLM STATS'!P134</f>
        <v>0</v>
      </c>
      <c r="K114" s="16">
        <f>'BLM STATS'!Q134</f>
        <v>0</v>
      </c>
      <c r="L114" s="17">
        <f>'BLM STATS'!R134</f>
        <v>0</v>
      </c>
      <c r="M114" s="502">
        <f>'BLM STATS'!S134</f>
        <v>0</v>
      </c>
      <c r="N114" s="18">
        <f>'BLM STATS'!T134</f>
        <v>0</v>
      </c>
      <c r="O114" s="19">
        <f>'BLM STATS'!U134</f>
        <v>0</v>
      </c>
      <c r="P114" s="41">
        <f>'BLM STATS'!V134</f>
        <v>0.1</v>
      </c>
      <c r="Q114" s="187">
        <f>'BLM STATS'!W134</f>
        <v>0</v>
      </c>
      <c r="R114" s="76">
        <f>'BLM STATS'!X121</f>
        <v>0</v>
      </c>
      <c r="S114" s="503"/>
      <c r="T114" s="17"/>
      <c r="U114" s="501"/>
      <c r="V114" s="187"/>
      <c r="W114" s="82">
        <f>'BLM STATS'!Y134</f>
        <v>0</v>
      </c>
      <c r="X114" s="82">
        <f>'BLM STATS'!Z134</f>
        <v>0</v>
      </c>
    </row>
    <row r="115" spans="1:24" x14ac:dyDescent="0.25">
      <c r="A115" s="68">
        <f>'BLM STATS'!A135</f>
        <v>43370</v>
      </c>
      <c r="B115" s="507" t="str">
        <f>'BLM STATS'!B135</f>
        <v>L5HF</v>
      </c>
      <c r="C115" s="15" t="str">
        <f>'BLM STATS'!F135</f>
        <v>MAYFIELD</v>
      </c>
      <c r="D115" s="501" t="str">
        <f>'BLM STATS'!I135</f>
        <v>H</v>
      </c>
      <c r="E115" s="501" t="str">
        <f>'BLM STATS'!J135</f>
        <v>1N 4E 26</v>
      </c>
      <c r="F115" s="501" t="str">
        <f>'BLM STATS'!K135</f>
        <v>43 23 17</v>
      </c>
      <c r="G115" s="501" t="str">
        <f>'BLM STATS'!L135</f>
        <v>115 57 03</v>
      </c>
      <c r="H115" s="508" t="str">
        <f>'BLM STATS'!C135</f>
        <v>ELX</v>
      </c>
      <c r="I115" s="201">
        <f t="shared" si="4"/>
        <v>49.1</v>
      </c>
      <c r="J115" s="15">
        <f>'BLM STATS'!P135</f>
        <v>49</v>
      </c>
      <c r="K115" s="16">
        <f>'BLM STATS'!Q135</f>
        <v>0</v>
      </c>
      <c r="L115" s="17">
        <f>'BLM STATS'!R135</f>
        <v>0</v>
      </c>
      <c r="M115" s="502">
        <f>'BLM STATS'!S135</f>
        <v>0.1</v>
      </c>
      <c r="N115" s="18">
        <f>'BLM STATS'!T135</f>
        <v>0</v>
      </c>
      <c r="O115" s="19">
        <f>'BLM STATS'!U135</f>
        <v>0</v>
      </c>
      <c r="P115" s="41">
        <f>'BLM STATS'!V135</f>
        <v>0</v>
      </c>
      <c r="Q115" s="187">
        <f>'BLM STATS'!W135</f>
        <v>0</v>
      </c>
      <c r="R115" s="76">
        <f>'BLM STATS'!X122</f>
        <v>0</v>
      </c>
      <c r="S115" s="503"/>
      <c r="T115" s="17"/>
      <c r="U115" s="501"/>
      <c r="V115" s="187"/>
      <c r="W115" s="82">
        <f>'BLM STATS'!Y135</f>
        <v>0</v>
      </c>
      <c r="X115" s="82">
        <f>'BLM STATS'!Z135</f>
        <v>0</v>
      </c>
    </row>
    <row r="116" spans="1:24" x14ac:dyDescent="0.25">
      <c r="A116" s="68">
        <f>'BLM STATS'!A136</f>
        <v>43371</v>
      </c>
      <c r="B116" s="507" t="str">
        <f>'BLM STATS'!B136</f>
        <v>L5JY</v>
      </c>
      <c r="C116" s="15" t="str">
        <f>'BLM STATS'!F136</f>
        <v>PADDOCK</v>
      </c>
      <c r="D116" s="501" t="str">
        <f>'BLM STATS'!I136</f>
        <v>H</v>
      </c>
      <c r="E116" s="501" t="str">
        <f>'BLM STATS'!J136</f>
        <v>10N 2W 33</v>
      </c>
      <c r="F116" s="501" t="str">
        <f>'BLM STATS'!K136</f>
        <v>44 09 26</v>
      </c>
      <c r="G116" s="501" t="str">
        <f>'BLM STATS'!L136</f>
        <v>116 35 08</v>
      </c>
      <c r="H116" s="508" t="str">
        <f>'BLM STATS'!C136</f>
        <v>BOD</v>
      </c>
      <c r="I116" s="201">
        <f t="shared" si="4"/>
        <v>1113</v>
      </c>
      <c r="J116" s="15">
        <f>'BLM STATS'!P136</f>
        <v>1013</v>
      </c>
      <c r="K116" s="16">
        <f>'BLM STATS'!Q136</f>
        <v>0</v>
      </c>
      <c r="L116" s="17">
        <f>'BLM STATS'!R136</f>
        <v>27</v>
      </c>
      <c r="M116" s="502">
        <f>'BLM STATS'!S136</f>
        <v>73</v>
      </c>
      <c r="N116" s="18">
        <f>'BLM STATS'!T136</f>
        <v>0</v>
      </c>
      <c r="O116" s="19">
        <f>'BLM STATS'!U136</f>
        <v>0</v>
      </c>
      <c r="P116" s="41">
        <f>'BLM STATS'!V136</f>
        <v>0</v>
      </c>
      <c r="Q116" s="187">
        <f>'BLM STATS'!W136</f>
        <v>0</v>
      </c>
      <c r="R116" s="76">
        <f>'BLM STATS'!X123</f>
        <v>0</v>
      </c>
      <c r="S116" s="503"/>
      <c r="T116" s="17"/>
      <c r="U116" s="501"/>
      <c r="V116" s="187"/>
      <c r="W116" s="82">
        <f>'BLM STATS'!Y136</f>
        <v>0</v>
      </c>
      <c r="X116" s="82">
        <f>'BLM STATS'!Z136</f>
        <v>0</v>
      </c>
    </row>
    <row r="117" spans="1:24" x14ac:dyDescent="0.25">
      <c r="A117" s="68">
        <f>'BLM STATS'!A137</f>
        <v>43371</v>
      </c>
      <c r="B117" s="507" t="str">
        <f>'BLM STATS'!B137</f>
        <v>L5JW</v>
      </c>
      <c r="C117" s="15" t="str">
        <f>'BLM STATS'!F137</f>
        <v>BUTTE</v>
      </c>
      <c r="D117" s="501" t="str">
        <f>'BLM STATS'!I137</f>
        <v>H</v>
      </c>
      <c r="E117" s="501" t="str">
        <f>'BLM STATS'!J137</f>
        <v>1N 1W 03</v>
      </c>
      <c r="F117" s="501" t="str">
        <f>'BLM STATS'!K137</f>
        <v>43 26 48</v>
      </c>
      <c r="G117" s="501" t="str">
        <f>'BLM STATS'!L137</f>
        <v>116 26 14</v>
      </c>
      <c r="H117" s="508" t="str">
        <f>'BLM STATS'!C137</f>
        <v>BOD</v>
      </c>
      <c r="I117" s="201">
        <f t="shared" si="4"/>
        <v>3.7</v>
      </c>
      <c r="J117" s="15">
        <f>'BLM STATS'!P137</f>
        <v>3.7</v>
      </c>
      <c r="K117" s="16">
        <f>'BLM STATS'!Q137</f>
        <v>0</v>
      </c>
      <c r="L117" s="17">
        <f>'BLM STATS'!R137</f>
        <v>0</v>
      </c>
      <c r="M117" s="502">
        <f>'BLM STATS'!S137</f>
        <v>0</v>
      </c>
      <c r="N117" s="18">
        <f>'BLM STATS'!T137</f>
        <v>0</v>
      </c>
      <c r="O117" s="19">
        <f>'BLM STATS'!U137</f>
        <v>0</v>
      </c>
      <c r="P117" s="41">
        <f>'BLM STATS'!V137</f>
        <v>0</v>
      </c>
      <c r="Q117" s="187">
        <f>'BLM STATS'!W137</f>
        <v>0</v>
      </c>
      <c r="R117" s="76">
        <f>'BLM STATS'!X124</f>
        <v>0</v>
      </c>
      <c r="S117" s="503"/>
      <c r="T117" s="17"/>
      <c r="U117" s="501"/>
      <c r="V117" s="187"/>
      <c r="W117" s="82">
        <f>'BLM STATS'!Y137</f>
        <v>0</v>
      </c>
      <c r="X117" s="82">
        <f>'BLM STATS'!Z137</f>
        <v>0</v>
      </c>
    </row>
    <row r="118" spans="1:24" x14ac:dyDescent="0.25">
      <c r="A118" s="68">
        <f>'BLM STATS'!A138</f>
        <v>43373</v>
      </c>
      <c r="B118" s="507" t="str">
        <f>'BLM STATS'!B138</f>
        <v>L5LM</v>
      </c>
      <c r="C118" s="84" t="str">
        <f>'BLM STATS'!F138</f>
        <v>RA 11 ADA CO</v>
      </c>
      <c r="D118" s="501" t="str">
        <f>'BLM STATS'!I140</f>
        <v>O</v>
      </c>
      <c r="E118" s="986" t="str">
        <f>'BLM STATS'!J138</f>
        <v>4N 2E 23</v>
      </c>
      <c r="F118" s="986" t="str">
        <f>'BLM STATS'!K138</f>
        <v>43 39 54</v>
      </c>
      <c r="G118" s="986" t="str">
        <f>'BLM STATS'!L138</f>
        <v>116 11 22</v>
      </c>
      <c r="H118" s="508" t="str">
        <f>'BLM STATS'!C138</f>
        <v>1AX</v>
      </c>
      <c r="I118" s="201">
        <f t="shared" si="4"/>
        <v>70</v>
      </c>
      <c r="J118" s="15">
        <f>'BLM STATS'!P138</f>
        <v>0</v>
      </c>
      <c r="K118" s="16">
        <f>'BLM STATS'!Q140</f>
        <v>0</v>
      </c>
      <c r="L118" s="17">
        <f>'BLM STATS'!R140</f>
        <v>0</v>
      </c>
      <c r="M118" s="502">
        <f>'BLM STATS'!S140</f>
        <v>0</v>
      </c>
      <c r="N118" s="18">
        <f>'BLM STATS'!T140</f>
        <v>0</v>
      </c>
      <c r="O118" s="19">
        <f>'BLM STATS'!U140</f>
        <v>0</v>
      </c>
      <c r="P118" s="41">
        <f>'BLM STATS'!V140</f>
        <v>0</v>
      </c>
      <c r="Q118" s="187">
        <f>'BLM STATS'!W140</f>
        <v>0</v>
      </c>
      <c r="R118" s="76">
        <f>'BLM STATS'!X125</f>
        <v>0</v>
      </c>
      <c r="S118" s="503"/>
      <c r="T118" s="17"/>
      <c r="U118" s="501"/>
      <c r="V118" s="187"/>
      <c r="W118" s="82">
        <f>'BLM STATS'!Y138</f>
        <v>70</v>
      </c>
      <c r="X118" s="82">
        <f>'BLM STATS'!Z140</f>
        <v>0</v>
      </c>
    </row>
    <row r="119" spans="1:24" x14ac:dyDescent="0.25">
      <c r="A119" s="68">
        <f>'BLM STATS'!A141</f>
        <v>43389</v>
      </c>
      <c r="B119" s="507" t="str">
        <f>'BLM STATS'!B141</f>
        <v>L5XS</v>
      </c>
      <c r="C119" s="76" t="str">
        <f>'BLM STATS'!F140</f>
        <v>RIDGE (PAF PROTECTION)</v>
      </c>
      <c r="D119" s="501" t="str">
        <f>'BLM STATS'!I140</f>
        <v>O</v>
      </c>
      <c r="E119" s="501" t="str">
        <f>'BLM STATS'!J140</f>
        <v>17N 1W 17</v>
      </c>
      <c r="F119" s="501" t="str">
        <f>'BLM STATS'!K140</f>
        <v>44 48 44</v>
      </c>
      <c r="G119" s="501" t="str">
        <f>'BLM STATS'!L140</f>
        <v>116 28 57</v>
      </c>
      <c r="H119" s="508" t="str">
        <f>'BLM STATS'!C140</f>
        <v>OWX</v>
      </c>
      <c r="I119" s="201">
        <f t="shared" si="4"/>
        <v>0</v>
      </c>
      <c r="J119" s="15">
        <f>'BLM STATS'!P140</f>
        <v>0</v>
      </c>
      <c r="K119" s="16">
        <f>'BLM STATS'!Q141</f>
        <v>0</v>
      </c>
      <c r="L119" s="17">
        <f>'BLM STATS'!R141</f>
        <v>0</v>
      </c>
      <c r="M119" s="502">
        <f>'BLM STATS'!S141</f>
        <v>0</v>
      </c>
      <c r="N119" s="18">
        <f>'BLM STATS'!T141</f>
        <v>0</v>
      </c>
      <c r="O119" s="19">
        <f>'BLM STATS'!U141</f>
        <v>0</v>
      </c>
      <c r="P119" s="41">
        <f>'BLM STATS'!V141</f>
        <v>0</v>
      </c>
      <c r="Q119" s="187">
        <f>'BLM STATS'!W141</f>
        <v>0</v>
      </c>
      <c r="R119" s="76">
        <f>'BLM STATS'!X126</f>
        <v>0</v>
      </c>
      <c r="S119" s="503"/>
      <c r="T119" s="17"/>
      <c r="U119" s="501"/>
      <c r="V119" s="187"/>
      <c r="W119" s="82">
        <f>'BLM STATS'!Y141</f>
        <v>0</v>
      </c>
      <c r="X119" s="82">
        <f>'BLM STATS'!Z141</f>
        <v>0</v>
      </c>
    </row>
    <row r="120" spans="1:24" x14ac:dyDescent="0.25">
      <c r="A120" s="68">
        <f>'BLM STATS'!A142</f>
        <v>43394</v>
      </c>
      <c r="B120" s="507" t="str">
        <f>'BLM STATS'!B142</f>
        <v>L508</v>
      </c>
      <c r="C120" s="15" t="str">
        <f>'BLM STATS'!F141</f>
        <v xml:space="preserve">MM113 SOUTH I84 </v>
      </c>
      <c r="D120" s="994" t="str">
        <f>'BLM STATS'!I141</f>
        <v>H</v>
      </c>
      <c r="E120" s="994" t="str">
        <f>'BLM STATS'!J141</f>
        <v>5S 9E 31</v>
      </c>
      <c r="F120" s="994" t="str">
        <f>'BLM STATS'!K141</f>
        <v>42 57 02</v>
      </c>
      <c r="G120" s="994" t="str">
        <f>'BLM STATS'!L141</f>
        <v>115 26 07</v>
      </c>
      <c r="H120" s="508" t="str">
        <f>'BLM STATS'!C141</f>
        <v>BOD</v>
      </c>
      <c r="I120" s="201">
        <f t="shared" si="4"/>
        <v>14</v>
      </c>
      <c r="J120" s="15">
        <f>'BLM STATS'!P141</f>
        <v>14</v>
      </c>
      <c r="K120" s="16">
        <f>'BLM STATS'!Q142</f>
        <v>0</v>
      </c>
      <c r="L120" s="17">
        <f>'BLM STATS'!R142</f>
        <v>0</v>
      </c>
      <c r="M120" s="502">
        <f>'BLM STATS'!S142</f>
        <v>0</v>
      </c>
      <c r="N120" s="18">
        <f>'BLM STATS'!T142</f>
        <v>0</v>
      </c>
      <c r="O120" s="19">
        <f>'BLM STATS'!U142</f>
        <v>0</v>
      </c>
      <c r="P120" s="41">
        <f>'BLM STATS'!V142</f>
        <v>0</v>
      </c>
      <c r="Q120" s="187">
        <f>'BLM STATS'!W142</f>
        <v>0</v>
      </c>
      <c r="R120" s="76">
        <f>'BLM STATS'!X127</f>
        <v>0</v>
      </c>
      <c r="S120" s="503"/>
      <c r="T120" s="17"/>
      <c r="U120" s="501"/>
      <c r="V120" s="187"/>
      <c r="W120" s="82">
        <f>'BLM STATS'!Y142</f>
        <v>0</v>
      </c>
      <c r="X120" s="82">
        <f>'BLM STATS'!Z142</f>
        <v>0</v>
      </c>
    </row>
    <row r="121" spans="1:24" x14ac:dyDescent="0.25">
      <c r="A121" s="68">
        <f>'BLM STATS'!A143</f>
        <v>43396</v>
      </c>
      <c r="B121" s="507" t="str">
        <f>'BLM STATS'!B143</f>
        <v>L53C</v>
      </c>
      <c r="C121" s="15" t="str">
        <f>'BLM STATS'!F142</f>
        <v>JUMP</v>
      </c>
      <c r="D121" s="994" t="str">
        <f>'BLM STATS'!I143</f>
        <v>H</v>
      </c>
      <c r="E121" s="501" t="str">
        <f>'BLM STATS'!J143</f>
        <v>1N 1E 22</v>
      </c>
      <c r="F121" s="501" t="str">
        <f>'BLM STATS'!K143</f>
        <v>43 24 28</v>
      </c>
      <c r="G121" s="501" t="str">
        <f>'BLM STATS'!L143</f>
        <v>116 19 52</v>
      </c>
      <c r="H121" s="508" t="str">
        <f>'BLM STATS'!C143</f>
        <v>BOD</v>
      </c>
      <c r="I121" s="201">
        <f t="shared" si="4"/>
        <v>1</v>
      </c>
      <c r="J121" s="15">
        <f>'BLM STATS'!P143</f>
        <v>1</v>
      </c>
      <c r="K121" s="16">
        <f>'BLM STATS'!Q143</f>
        <v>0</v>
      </c>
      <c r="L121" s="17">
        <f>'BLM STATS'!R143</f>
        <v>0</v>
      </c>
      <c r="M121" s="502">
        <f>'BLM STATS'!S143</f>
        <v>0</v>
      </c>
      <c r="N121" s="18">
        <f>'BLM STATS'!T143</f>
        <v>0</v>
      </c>
      <c r="O121" s="19">
        <f>'BLM STATS'!U143</f>
        <v>0</v>
      </c>
      <c r="P121" s="41">
        <f>'BLM STATS'!V143</f>
        <v>0</v>
      </c>
      <c r="Q121" s="187">
        <f>'BLM STATS'!W143</f>
        <v>0</v>
      </c>
      <c r="R121" s="76">
        <f>'BLM STATS'!X128</f>
        <v>0</v>
      </c>
      <c r="S121" s="503"/>
      <c r="T121" s="17"/>
      <c r="U121" s="501"/>
      <c r="V121" s="187"/>
      <c r="W121" s="82">
        <f>'BLM STATS'!Y143</f>
        <v>0</v>
      </c>
      <c r="X121" s="82">
        <f>'BLM STATS'!Z143</f>
        <v>0</v>
      </c>
    </row>
    <row r="122" spans="1:24" x14ac:dyDescent="0.25">
      <c r="A122" s="68">
        <f>'BLM STATS'!A144</f>
        <v>43400</v>
      </c>
      <c r="B122" s="507" t="str">
        <f>'BLM STATS'!B144</f>
        <v>L581</v>
      </c>
      <c r="C122" s="76" t="str">
        <f>'BLM STATS'!F144</f>
        <v>FRUITVALE (PAF PROTECTION)</v>
      </c>
      <c r="D122" s="501" t="str">
        <f>'BLM STATS'!I144</f>
        <v>O</v>
      </c>
      <c r="E122" s="501" t="str">
        <f>'BLM STATS'!J144</f>
        <v>17N 1W 10</v>
      </c>
      <c r="F122" s="501" t="str">
        <f>'BLM STATS'!K144</f>
        <v>44 49 18</v>
      </c>
      <c r="G122" s="501" t="str">
        <f>'BLM STATS'!L144</f>
        <v>116 26 32</v>
      </c>
      <c r="H122" s="508" t="str">
        <f>'BLM STATS'!C144</f>
        <v>BOD</v>
      </c>
      <c r="I122" s="201">
        <f t="shared" si="4"/>
        <v>19</v>
      </c>
      <c r="J122" s="15">
        <f>'BLM STATS'!P144</f>
        <v>19</v>
      </c>
      <c r="K122" s="16">
        <f>'BLM STATS'!Q144</f>
        <v>0</v>
      </c>
      <c r="L122" s="17">
        <f>'BLM STATS'!R144</f>
        <v>0</v>
      </c>
      <c r="M122" s="502">
        <f>'BLM STATS'!S144</f>
        <v>0</v>
      </c>
      <c r="N122" s="18">
        <f>'BLM STATS'!T144</f>
        <v>0</v>
      </c>
      <c r="O122" s="19">
        <f>'BLM STATS'!U144</f>
        <v>0</v>
      </c>
      <c r="P122" s="41">
        <f>'BLM STATS'!V144</f>
        <v>0</v>
      </c>
      <c r="Q122" s="187">
        <f>'BLM STATS'!W144</f>
        <v>0</v>
      </c>
      <c r="R122" s="76">
        <f>'BLM STATS'!X129</f>
        <v>0</v>
      </c>
      <c r="S122" s="503"/>
      <c r="T122" s="17"/>
      <c r="U122" s="501"/>
      <c r="V122" s="187"/>
      <c r="W122" s="82">
        <f>'BLM STATS'!Y144</f>
        <v>0</v>
      </c>
      <c r="X122" s="82">
        <f>'BLM STATS'!Z144</f>
        <v>0</v>
      </c>
    </row>
    <row r="123" spans="1:24" x14ac:dyDescent="0.25">
      <c r="A123" s="68">
        <f>'BLM STATS'!A145</f>
        <v>43415</v>
      </c>
      <c r="B123" s="507" t="str">
        <f>'BLM STATS'!B145</f>
        <v>L6DA</v>
      </c>
      <c r="C123" s="15" t="str">
        <f>'BLM STATS'!F145</f>
        <v>TEAPOT</v>
      </c>
      <c r="D123" s="501" t="str">
        <f>'BLM STATS'!I145</f>
        <v>H</v>
      </c>
      <c r="E123" s="501" t="str">
        <f>'BLM STATS'!J145</f>
        <v>3S 8E 06</v>
      </c>
      <c r="F123" s="501" t="str">
        <f>'BLM STATS'!K145</f>
        <v>43 11 46</v>
      </c>
      <c r="G123" s="501" t="str">
        <f>'BLM STATS'!L145</f>
        <v>115 32 59</v>
      </c>
      <c r="H123" s="508" t="str">
        <f>'BLM STATS'!C145</f>
        <v>ELX</v>
      </c>
      <c r="I123" s="201">
        <f t="shared" si="4"/>
        <v>2736</v>
      </c>
      <c r="J123" s="15">
        <f>'BLM STATS'!P145</f>
        <v>2387</v>
      </c>
      <c r="K123" s="16">
        <f>'BLM STATS'!Q145</f>
        <v>0</v>
      </c>
      <c r="L123" s="17">
        <f>'BLM STATS'!R145</f>
        <v>303</v>
      </c>
      <c r="M123" s="502">
        <f>'BLM STATS'!S145</f>
        <v>46</v>
      </c>
      <c r="N123" s="18">
        <f>'BLM STATS'!T145</f>
        <v>0</v>
      </c>
      <c r="O123" s="19">
        <f>'BLM STATS'!U145</f>
        <v>0</v>
      </c>
      <c r="P123" s="41">
        <f>'BLM STATS'!V145</f>
        <v>0</v>
      </c>
      <c r="Q123" s="187">
        <f>'BLM STATS'!W145</f>
        <v>0</v>
      </c>
      <c r="R123" s="76">
        <f>'BLM STATS'!X130</f>
        <v>0</v>
      </c>
      <c r="S123" s="503"/>
      <c r="T123" s="17"/>
      <c r="U123" s="501"/>
      <c r="V123" s="187"/>
      <c r="W123" s="82">
        <f>'BLM STATS'!Y145</f>
        <v>0</v>
      </c>
      <c r="X123" s="82">
        <f>'BLM STATS'!Z145</f>
        <v>0</v>
      </c>
    </row>
    <row r="124" spans="1:24" x14ac:dyDescent="0.25">
      <c r="A124" s="68">
        <f>'BLM STATS'!A146</f>
        <v>43415</v>
      </c>
      <c r="B124" s="507" t="str">
        <f>'BLM STATS'!B146</f>
        <v>L6DC</v>
      </c>
      <c r="C124" s="15" t="str">
        <f>'BLM STATS'!F146</f>
        <v>PEARL</v>
      </c>
      <c r="D124" s="501" t="str">
        <f>'BLM STATS'!I146</f>
        <v>H</v>
      </c>
      <c r="E124" s="501" t="str">
        <f>'BLM STATS'!J146</f>
        <v>6N 4W 33</v>
      </c>
      <c r="F124" s="501" t="str">
        <f>'BLM STATS'!K146</f>
        <v>43 49 12</v>
      </c>
      <c r="G124" s="501" t="str">
        <f>'BLM STATS'!L146</f>
        <v>116 49 46</v>
      </c>
      <c r="H124" s="508" t="str">
        <f>'BLM STATS'!C146</f>
        <v>BOD</v>
      </c>
      <c r="I124" s="201">
        <f t="shared" si="4"/>
        <v>60</v>
      </c>
      <c r="J124" s="15">
        <f>'BLM STATS'!P146</f>
        <v>60</v>
      </c>
      <c r="K124" s="16">
        <f>'BLM STATS'!Q146</f>
        <v>0</v>
      </c>
      <c r="L124" s="17">
        <f>'BLM STATS'!R146</f>
        <v>0</v>
      </c>
      <c r="M124" s="502">
        <f>'BLM STATS'!S146</f>
        <v>0</v>
      </c>
      <c r="N124" s="18">
        <f>'BLM STATS'!T146</f>
        <v>0</v>
      </c>
      <c r="O124" s="19">
        <f>'BLM STATS'!U146</f>
        <v>0</v>
      </c>
      <c r="P124" s="41">
        <f>'BLM STATS'!V146</f>
        <v>0</v>
      </c>
      <c r="Q124" s="187">
        <f>'BLM STATS'!W146</f>
        <v>0</v>
      </c>
      <c r="R124" s="76">
        <f>'BLM STATS'!X131</f>
        <v>0</v>
      </c>
      <c r="S124" s="503"/>
      <c r="T124" s="17"/>
      <c r="U124" s="501"/>
      <c r="V124" s="187"/>
      <c r="W124" s="82">
        <f>'BLM STATS'!Y146</f>
        <v>0</v>
      </c>
      <c r="X124" s="82">
        <f>'BLM STATS'!Z146</f>
        <v>0</v>
      </c>
    </row>
    <row r="125" spans="1:24" x14ac:dyDescent="0.25">
      <c r="A125" s="68">
        <f>'BLM STATS'!A148</f>
        <v>0</v>
      </c>
      <c r="B125" s="507">
        <f>'BLM STATS'!B148</f>
        <v>0</v>
      </c>
      <c r="C125" s="729">
        <f>'BLM STATS'!F148</f>
        <v>0</v>
      </c>
      <c r="D125" s="501">
        <f>'BLM STATS'!I148</f>
        <v>0</v>
      </c>
      <c r="E125" s="501">
        <f>'BLM STATS'!J148</f>
        <v>0</v>
      </c>
      <c r="F125" s="501">
        <f>'BLM STATS'!K148</f>
        <v>0</v>
      </c>
      <c r="G125" s="501">
        <f>'BLM STATS'!L148</f>
        <v>0</v>
      </c>
      <c r="H125" s="508">
        <f>'BLM STATS'!C148</f>
        <v>0</v>
      </c>
      <c r="I125" s="201">
        <f t="shared" ref="I125:I187" si="5">SUM(J125:X125)</f>
        <v>0</v>
      </c>
      <c r="J125" s="15">
        <f>'BLM STATS'!P148</f>
        <v>0</v>
      </c>
      <c r="K125" s="16">
        <f>'BLM STATS'!Q148</f>
        <v>0</v>
      </c>
      <c r="L125" s="17">
        <f>'BLM STATS'!R148</f>
        <v>0</v>
      </c>
      <c r="M125" s="502">
        <f>'BLM STATS'!S148</f>
        <v>0</v>
      </c>
      <c r="N125" s="18">
        <f>'BLM STATS'!T148</f>
        <v>0</v>
      </c>
      <c r="O125" s="19">
        <f>'BLM STATS'!U148</f>
        <v>0</v>
      </c>
      <c r="P125" s="41">
        <f>'BLM STATS'!V148</f>
        <v>0</v>
      </c>
      <c r="Q125" s="187">
        <f>'BLM STATS'!W148</f>
        <v>0</v>
      </c>
      <c r="R125" s="76">
        <f>'BLM STATS'!X132</f>
        <v>0</v>
      </c>
      <c r="S125" s="503"/>
      <c r="T125" s="17"/>
      <c r="U125" s="501"/>
      <c r="V125" s="187"/>
      <c r="W125" s="82">
        <f>'BLM STATS'!Y148</f>
        <v>0</v>
      </c>
      <c r="X125" s="82">
        <f>'BLM STATS'!Z148</f>
        <v>0</v>
      </c>
    </row>
    <row r="126" spans="1:24" x14ac:dyDescent="0.25">
      <c r="A126" s="68">
        <f>'BLM STATS'!A149</f>
        <v>0</v>
      </c>
      <c r="B126" s="507">
        <f>'BLM STATS'!B149</f>
        <v>0</v>
      </c>
      <c r="C126" s="729">
        <f>'BLM STATS'!F149</f>
        <v>0</v>
      </c>
      <c r="D126" s="501">
        <f>'BLM STATS'!I149</f>
        <v>0</v>
      </c>
      <c r="E126" s="501">
        <f>'BLM STATS'!J149</f>
        <v>0</v>
      </c>
      <c r="F126" s="501">
        <f>'BLM STATS'!K149</f>
        <v>0</v>
      </c>
      <c r="G126" s="501">
        <f>'BLM STATS'!L149</f>
        <v>0</v>
      </c>
      <c r="H126" s="508">
        <f>'BLM STATS'!C149</f>
        <v>0</v>
      </c>
      <c r="I126" s="201">
        <f t="shared" si="5"/>
        <v>0</v>
      </c>
      <c r="J126" s="15">
        <f>'BLM STATS'!P149</f>
        <v>0</v>
      </c>
      <c r="K126" s="16">
        <f>'BLM STATS'!Q149</f>
        <v>0</v>
      </c>
      <c r="L126" s="17">
        <f>'BLM STATS'!R149</f>
        <v>0</v>
      </c>
      <c r="M126" s="502">
        <f>'BLM STATS'!S149</f>
        <v>0</v>
      </c>
      <c r="N126" s="18">
        <f>'BLM STATS'!T149</f>
        <v>0</v>
      </c>
      <c r="O126" s="19">
        <f>'BLM STATS'!U149</f>
        <v>0</v>
      </c>
      <c r="P126" s="41">
        <f>'BLM STATS'!V149</f>
        <v>0</v>
      </c>
      <c r="Q126" s="187">
        <f>'BLM STATS'!W149</f>
        <v>0</v>
      </c>
      <c r="R126" s="76">
        <f>'BLM STATS'!X133</f>
        <v>0</v>
      </c>
      <c r="S126" s="503"/>
      <c r="T126" s="17"/>
      <c r="U126" s="501"/>
      <c r="V126" s="187"/>
      <c r="W126" s="82">
        <f>'BLM STATS'!Y149</f>
        <v>0</v>
      </c>
      <c r="X126" s="82">
        <f>'BLM STATS'!Z149</f>
        <v>0</v>
      </c>
    </row>
    <row r="127" spans="1:24" x14ac:dyDescent="0.25">
      <c r="A127" s="68">
        <f>'BLM STATS'!A150</f>
        <v>0</v>
      </c>
      <c r="B127" s="507">
        <f>'BLM STATS'!B150</f>
        <v>0</v>
      </c>
      <c r="C127" s="729">
        <f>'BLM STATS'!F150</f>
        <v>0</v>
      </c>
      <c r="D127" s="501">
        <f>'BLM STATS'!I150</f>
        <v>0</v>
      </c>
      <c r="E127" s="501">
        <f>'BLM STATS'!J150</f>
        <v>0</v>
      </c>
      <c r="F127" s="501">
        <f>'BLM STATS'!K150</f>
        <v>0</v>
      </c>
      <c r="G127" s="501">
        <f>'BLM STATS'!L150</f>
        <v>0</v>
      </c>
      <c r="H127" s="508">
        <f>'BLM STATS'!C150</f>
        <v>0</v>
      </c>
      <c r="I127" s="201">
        <f t="shared" si="5"/>
        <v>0</v>
      </c>
      <c r="J127" s="15">
        <f>'BLM STATS'!P150</f>
        <v>0</v>
      </c>
      <c r="K127" s="16">
        <f>'BLM STATS'!Q150</f>
        <v>0</v>
      </c>
      <c r="L127" s="17">
        <f>'BLM STATS'!R150</f>
        <v>0</v>
      </c>
      <c r="M127" s="502">
        <f>'BLM STATS'!S150</f>
        <v>0</v>
      </c>
      <c r="N127" s="18">
        <f>'BLM STATS'!T150</f>
        <v>0</v>
      </c>
      <c r="O127" s="19">
        <f>'BLM STATS'!U150</f>
        <v>0</v>
      </c>
      <c r="P127" s="41">
        <f>'BLM STATS'!V150</f>
        <v>0</v>
      </c>
      <c r="Q127" s="187">
        <f>'BLM STATS'!W150</f>
        <v>0</v>
      </c>
      <c r="R127" s="76">
        <f>'BLM STATS'!X134</f>
        <v>0</v>
      </c>
      <c r="S127" s="503"/>
      <c r="T127" s="17"/>
      <c r="U127" s="501"/>
      <c r="V127" s="187"/>
      <c r="W127" s="82">
        <f>'BLM STATS'!Y150</f>
        <v>0</v>
      </c>
      <c r="X127" s="82">
        <f>'BLM STATS'!Z150</f>
        <v>0</v>
      </c>
    </row>
    <row r="128" spans="1:24" x14ac:dyDescent="0.25">
      <c r="A128" s="68">
        <f>'BLM STATS'!A151</f>
        <v>0</v>
      </c>
      <c r="B128" s="507">
        <f>'BLM STATS'!B151</f>
        <v>0</v>
      </c>
      <c r="C128" s="729">
        <f>'BLM STATS'!F151</f>
        <v>0</v>
      </c>
      <c r="D128" s="501">
        <f>'BLM STATS'!I151</f>
        <v>0</v>
      </c>
      <c r="E128" s="501">
        <f>'BLM STATS'!J151</f>
        <v>0</v>
      </c>
      <c r="F128" s="501">
        <f>'BLM STATS'!K151</f>
        <v>0</v>
      </c>
      <c r="G128" s="501">
        <f>'BLM STATS'!L151</f>
        <v>0</v>
      </c>
      <c r="H128" s="508">
        <f>'BLM STATS'!C151</f>
        <v>0</v>
      </c>
      <c r="I128" s="201">
        <f t="shared" si="5"/>
        <v>0</v>
      </c>
      <c r="J128" s="15">
        <f>'BLM STATS'!P151</f>
        <v>0</v>
      </c>
      <c r="K128" s="16">
        <f>'BLM STATS'!Q151</f>
        <v>0</v>
      </c>
      <c r="L128" s="17">
        <f>'BLM STATS'!R151</f>
        <v>0</v>
      </c>
      <c r="M128" s="502">
        <f>'BLM STATS'!S151</f>
        <v>0</v>
      </c>
      <c r="N128" s="18">
        <f>'BLM STATS'!T151</f>
        <v>0</v>
      </c>
      <c r="O128" s="19">
        <f>'BLM STATS'!U151</f>
        <v>0</v>
      </c>
      <c r="P128" s="41">
        <f>'BLM STATS'!V151</f>
        <v>0</v>
      </c>
      <c r="Q128" s="187">
        <f>'BLM STATS'!W151</f>
        <v>0</v>
      </c>
      <c r="R128" s="76"/>
      <c r="S128" s="503"/>
      <c r="T128" s="17"/>
      <c r="U128" s="501"/>
      <c r="V128" s="187"/>
      <c r="W128" s="82">
        <f>'BLM STATS'!Y151</f>
        <v>0</v>
      </c>
      <c r="X128" s="82">
        <f>'BLM STATS'!Z151</f>
        <v>0</v>
      </c>
    </row>
    <row r="129" spans="1:24" x14ac:dyDescent="0.25">
      <c r="A129" s="68">
        <f>'BLM STATS'!A153</f>
        <v>0</v>
      </c>
      <c r="B129" s="507">
        <f>'BLM STATS'!B153</f>
        <v>0</v>
      </c>
      <c r="C129" s="729">
        <f>'BLM STATS'!F153</f>
        <v>0</v>
      </c>
      <c r="D129" s="501">
        <f>'BLM STATS'!I153</f>
        <v>0</v>
      </c>
      <c r="E129" s="501">
        <f>'BLM STATS'!J153</f>
        <v>0</v>
      </c>
      <c r="F129" s="501">
        <f>'BLM STATS'!K153</f>
        <v>0</v>
      </c>
      <c r="G129" s="501">
        <f>'BLM STATS'!L153</f>
        <v>0</v>
      </c>
      <c r="H129" s="508">
        <f>'BLM STATS'!C153</f>
        <v>0</v>
      </c>
      <c r="I129" s="201">
        <f t="shared" si="5"/>
        <v>0</v>
      </c>
      <c r="J129" s="15">
        <f>'BLM STATS'!P153</f>
        <v>0</v>
      </c>
      <c r="K129" s="16">
        <f>'BLM STATS'!Q153</f>
        <v>0</v>
      </c>
      <c r="L129" s="17">
        <f>'BLM STATS'!R153</f>
        <v>0</v>
      </c>
      <c r="M129" s="502">
        <f>'BLM STATS'!S153</f>
        <v>0</v>
      </c>
      <c r="N129" s="18">
        <f>'BLM STATS'!T153</f>
        <v>0</v>
      </c>
      <c r="O129" s="19">
        <f>'BLM STATS'!U153</f>
        <v>0</v>
      </c>
      <c r="P129" s="41">
        <f>'BLM STATS'!V153</f>
        <v>0</v>
      </c>
      <c r="Q129" s="187">
        <f>'BLM STATS'!W153</f>
        <v>0</v>
      </c>
      <c r="R129" s="76"/>
      <c r="S129" s="503"/>
      <c r="T129" s="17"/>
      <c r="U129" s="501"/>
      <c r="V129" s="187"/>
      <c r="W129" s="82">
        <f>'BLM STATS'!Y153</f>
        <v>0</v>
      </c>
      <c r="X129" s="82">
        <f>'BLM STATS'!Z153</f>
        <v>0</v>
      </c>
    </row>
    <row r="130" spans="1:24" x14ac:dyDescent="0.25">
      <c r="A130" s="68">
        <f>'BLM STATS'!A154</f>
        <v>0</v>
      </c>
      <c r="B130" s="507">
        <f>'BLM STATS'!B154</f>
        <v>0</v>
      </c>
      <c r="C130" s="729">
        <f>'BLM STATS'!F154</f>
        <v>0</v>
      </c>
      <c r="D130" s="501">
        <f>'BLM STATS'!I154</f>
        <v>0</v>
      </c>
      <c r="E130" s="501">
        <f>'BLM STATS'!J154</f>
        <v>0</v>
      </c>
      <c r="F130" s="501">
        <f>'BLM STATS'!K154</f>
        <v>0</v>
      </c>
      <c r="G130" s="501">
        <f>'BLM STATS'!L154</f>
        <v>0</v>
      </c>
      <c r="H130" s="508">
        <f>'BLM STATS'!C154</f>
        <v>0</v>
      </c>
      <c r="I130" s="201">
        <f t="shared" si="5"/>
        <v>0</v>
      </c>
      <c r="J130" s="15">
        <f>'BLM STATS'!P154</f>
        <v>0</v>
      </c>
      <c r="K130" s="16">
        <f>'BLM STATS'!Q154</f>
        <v>0</v>
      </c>
      <c r="L130" s="17">
        <f>'BLM STATS'!R154</f>
        <v>0</v>
      </c>
      <c r="M130" s="502">
        <f>'BLM STATS'!S154</f>
        <v>0</v>
      </c>
      <c r="N130" s="18">
        <f>'BLM STATS'!T154</f>
        <v>0</v>
      </c>
      <c r="O130" s="19">
        <f>'BLM STATS'!U154</f>
        <v>0</v>
      </c>
      <c r="P130" s="41">
        <f>'BLM STATS'!V154</f>
        <v>0</v>
      </c>
      <c r="Q130" s="187">
        <f>'BLM STATS'!W154</f>
        <v>0</v>
      </c>
      <c r="R130" s="76"/>
      <c r="S130" s="503"/>
      <c r="T130" s="17"/>
      <c r="U130" s="501"/>
      <c r="V130" s="187"/>
      <c r="W130" s="82">
        <f>'BLM STATS'!Y154</f>
        <v>0</v>
      </c>
      <c r="X130" s="82">
        <f>'BLM STATS'!Z154</f>
        <v>0</v>
      </c>
    </row>
    <row r="131" spans="1:24" x14ac:dyDescent="0.25">
      <c r="A131" s="68">
        <f>'BLM STATS'!A155</f>
        <v>0</v>
      </c>
      <c r="B131" s="507">
        <f>'BLM STATS'!B155</f>
        <v>0</v>
      </c>
      <c r="C131" s="729">
        <f>'BLM STATS'!F155</f>
        <v>0</v>
      </c>
      <c r="D131" s="501">
        <f>'BLM STATS'!I155</f>
        <v>0</v>
      </c>
      <c r="E131" s="501">
        <f>'BLM STATS'!J155</f>
        <v>0</v>
      </c>
      <c r="F131" s="501">
        <f>'BLM STATS'!K155</f>
        <v>0</v>
      </c>
      <c r="G131" s="501">
        <f>'BLM STATS'!L155</f>
        <v>0</v>
      </c>
      <c r="H131" s="508">
        <f>'BLM STATS'!C155</f>
        <v>0</v>
      </c>
      <c r="I131" s="201">
        <f t="shared" si="5"/>
        <v>0</v>
      </c>
      <c r="J131" s="15">
        <f>'BLM STATS'!P155</f>
        <v>0</v>
      </c>
      <c r="K131" s="16">
        <f>'BLM STATS'!Q155</f>
        <v>0</v>
      </c>
      <c r="L131" s="17">
        <f>'BLM STATS'!R155</f>
        <v>0</v>
      </c>
      <c r="M131" s="502">
        <f>'BLM STATS'!S155</f>
        <v>0</v>
      </c>
      <c r="N131" s="18">
        <f>'BLM STATS'!T155</f>
        <v>0</v>
      </c>
      <c r="O131" s="19">
        <f>'BLM STATS'!U155</f>
        <v>0</v>
      </c>
      <c r="P131" s="41">
        <f>'BLM STATS'!V155</f>
        <v>0</v>
      </c>
      <c r="Q131" s="187">
        <f>'BLM STATS'!W155</f>
        <v>0</v>
      </c>
      <c r="R131" s="76"/>
      <c r="S131" s="503"/>
      <c r="T131" s="17"/>
      <c r="U131" s="501"/>
      <c r="V131" s="187"/>
      <c r="W131" s="82">
        <f>'BLM STATS'!Y155</f>
        <v>0</v>
      </c>
      <c r="X131" s="82">
        <f>'BLM STATS'!Z155</f>
        <v>0</v>
      </c>
    </row>
    <row r="132" spans="1:24" x14ac:dyDescent="0.25">
      <c r="A132" s="68">
        <f>'BLM STATS'!A156</f>
        <v>0</v>
      </c>
      <c r="B132" s="507">
        <f>'BLM STATS'!B156</f>
        <v>0</v>
      </c>
      <c r="C132" s="729">
        <f>'BLM STATS'!F156</f>
        <v>0</v>
      </c>
      <c r="D132" s="501">
        <f>'BLM STATS'!I156</f>
        <v>0</v>
      </c>
      <c r="E132" s="501">
        <f>'BLM STATS'!J156</f>
        <v>0</v>
      </c>
      <c r="F132" s="501">
        <f>'BLM STATS'!K156</f>
        <v>0</v>
      </c>
      <c r="G132" s="501">
        <f>'BLM STATS'!L156</f>
        <v>0</v>
      </c>
      <c r="H132" s="508">
        <f>'BLM STATS'!C156</f>
        <v>0</v>
      </c>
      <c r="I132" s="201">
        <f t="shared" si="5"/>
        <v>0</v>
      </c>
      <c r="J132" s="15">
        <f>'BLM STATS'!P156</f>
        <v>0</v>
      </c>
      <c r="K132" s="16">
        <f>'BLM STATS'!Q156</f>
        <v>0</v>
      </c>
      <c r="L132" s="17">
        <f>'BLM STATS'!R156</f>
        <v>0</v>
      </c>
      <c r="M132" s="502">
        <f>'BLM STATS'!S156</f>
        <v>0</v>
      </c>
      <c r="N132" s="18">
        <f>'BLM STATS'!T156</f>
        <v>0</v>
      </c>
      <c r="O132" s="19">
        <f>'BLM STATS'!U156</f>
        <v>0</v>
      </c>
      <c r="P132" s="41">
        <f>'BLM STATS'!V156</f>
        <v>0</v>
      </c>
      <c r="Q132" s="187">
        <f>'BLM STATS'!W156</f>
        <v>0</v>
      </c>
      <c r="R132" s="76"/>
      <c r="S132" s="503"/>
      <c r="T132" s="17"/>
      <c r="U132" s="501"/>
      <c r="V132" s="187"/>
      <c r="W132" s="82">
        <f>'BLM STATS'!Y156</f>
        <v>0</v>
      </c>
      <c r="X132" s="82">
        <f>'BLM STATS'!Z156</f>
        <v>0</v>
      </c>
    </row>
    <row r="133" spans="1:24" x14ac:dyDescent="0.25">
      <c r="A133" s="68">
        <f>'BLM STATS'!A157</f>
        <v>0</v>
      </c>
      <c r="B133" s="507">
        <f>'BLM STATS'!B157</f>
        <v>0</v>
      </c>
      <c r="C133" s="729">
        <f>'BLM STATS'!F157</f>
        <v>0</v>
      </c>
      <c r="D133" s="501">
        <f>'BLM STATS'!I157</f>
        <v>0</v>
      </c>
      <c r="E133" s="501">
        <f>'BLM STATS'!J157</f>
        <v>0</v>
      </c>
      <c r="F133" s="501">
        <f>'BLM STATS'!K157</f>
        <v>0</v>
      </c>
      <c r="G133" s="501">
        <f>'BLM STATS'!L157</f>
        <v>0</v>
      </c>
      <c r="H133" s="508">
        <f>'BLM STATS'!C157</f>
        <v>0</v>
      </c>
      <c r="I133" s="201">
        <f t="shared" si="5"/>
        <v>0</v>
      </c>
      <c r="J133" s="15">
        <f>'BLM STATS'!P157</f>
        <v>0</v>
      </c>
      <c r="K133" s="16">
        <f>'BLM STATS'!Q157</f>
        <v>0</v>
      </c>
      <c r="L133" s="17">
        <f>'BLM STATS'!R157</f>
        <v>0</v>
      </c>
      <c r="M133" s="502">
        <f>'BLM STATS'!S157</f>
        <v>0</v>
      </c>
      <c r="N133" s="18">
        <f>'BLM STATS'!T157</f>
        <v>0</v>
      </c>
      <c r="O133" s="19">
        <f>'BLM STATS'!U157</f>
        <v>0</v>
      </c>
      <c r="P133" s="41">
        <f>'BLM STATS'!V157</f>
        <v>0</v>
      </c>
      <c r="Q133" s="187">
        <f>'BLM STATS'!W157</f>
        <v>0</v>
      </c>
      <c r="R133" s="76"/>
      <c r="S133" s="503"/>
      <c r="T133" s="17"/>
      <c r="U133" s="501"/>
      <c r="V133" s="187"/>
      <c r="W133" s="82">
        <f>'BLM STATS'!Y157</f>
        <v>0</v>
      </c>
      <c r="X133" s="82">
        <f>'BLM STATS'!Z157</f>
        <v>0</v>
      </c>
    </row>
    <row r="134" spans="1:24" x14ac:dyDescent="0.25">
      <c r="A134" s="68">
        <f>'BLM STATS'!A158</f>
        <v>0</v>
      </c>
      <c r="B134" s="507">
        <f>'BLM STATS'!B158</f>
        <v>0</v>
      </c>
      <c r="C134" s="729">
        <f>'BLM STATS'!F158</f>
        <v>0</v>
      </c>
      <c r="D134" s="501">
        <f>'BLM STATS'!I158</f>
        <v>0</v>
      </c>
      <c r="E134" s="501">
        <f>'BLM STATS'!J158</f>
        <v>0</v>
      </c>
      <c r="F134" s="501">
        <f>'BLM STATS'!K158</f>
        <v>0</v>
      </c>
      <c r="G134" s="501">
        <f>'BLM STATS'!L158</f>
        <v>0</v>
      </c>
      <c r="H134" s="508">
        <f>'BLM STATS'!C158</f>
        <v>0</v>
      </c>
      <c r="I134" s="201">
        <f t="shared" si="5"/>
        <v>0</v>
      </c>
      <c r="J134" s="15">
        <f>'BLM STATS'!P158</f>
        <v>0</v>
      </c>
      <c r="K134" s="16">
        <f>'BLM STATS'!Q158</f>
        <v>0</v>
      </c>
      <c r="L134" s="17">
        <f>'BLM STATS'!R158</f>
        <v>0</v>
      </c>
      <c r="M134" s="502">
        <f>'BLM STATS'!S158</f>
        <v>0</v>
      </c>
      <c r="N134" s="18">
        <f>'BLM STATS'!T158</f>
        <v>0</v>
      </c>
      <c r="O134" s="19">
        <f>'BLM STATS'!U158</f>
        <v>0</v>
      </c>
      <c r="P134" s="41">
        <f>'BLM STATS'!V158</f>
        <v>0</v>
      </c>
      <c r="Q134" s="187">
        <f>'BLM STATS'!W158</f>
        <v>0</v>
      </c>
      <c r="R134" s="76"/>
      <c r="S134" s="503"/>
      <c r="T134" s="17"/>
      <c r="U134" s="501"/>
      <c r="V134" s="187"/>
      <c r="W134" s="82">
        <f>'BLM STATS'!Y158</f>
        <v>0</v>
      </c>
      <c r="X134" s="82">
        <f>'BLM STATS'!Z158</f>
        <v>0</v>
      </c>
    </row>
    <row r="135" spans="1:24" x14ac:dyDescent="0.25">
      <c r="A135" s="68">
        <f>'BLM STATS'!A159</f>
        <v>0</v>
      </c>
      <c r="B135" s="507">
        <f>'BLM STATS'!B159</f>
        <v>0</v>
      </c>
      <c r="C135" s="729">
        <f>'BLM STATS'!F159</f>
        <v>0</v>
      </c>
      <c r="D135" s="501">
        <f>'BLM STATS'!I159</f>
        <v>0</v>
      </c>
      <c r="E135" s="501">
        <f>'BLM STATS'!J159</f>
        <v>0</v>
      </c>
      <c r="F135" s="501">
        <f>'BLM STATS'!K159</f>
        <v>0</v>
      </c>
      <c r="G135" s="501">
        <f>'BLM STATS'!L159</f>
        <v>0</v>
      </c>
      <c r="H135" s="508">
        <f>'BLM STATS'!C159</f>
        <v>0</v>
      </c>
      <c r="I135" s="201">
        <f t="shared" si="5"/>
        <v>0</v>
      </c>
      <c r="J135" s="15">
        <f>'BLM STATS'!P159</f>
        <v>0</v>
      </c>
      <c r="K135" s="16">
        <f>'BLM STATS'!Q159</f>
        <v>0</v>
      </c>
      <c r="L135" s="17">
        <f>'BLM STATS'!R159</f>
        <v>0</v>
      </c>
      <c r="M135" s="502">
        <f>'BLM STATS'!S159</f>
        <v>0</v>
      </c>
      <c r="N135" s="18">
        <f>'BLM STATS'!T159</f>
        <v>0</v>
      </c>
      <c r="O135" s="19">
        <f>'BLM STATS'!U159</f>
        <v>0</v>
      </c>
      <c r="P135" s="41">
        <f>'BLM STATS'!V159</f>
        <v>0</v>
      </c>
      <c r="Q135" s="187">
        <f>'BLM STATS'!W159</f>
        <v>0</v>
      </c>
      <c r="R135" s="76"/>
      <c r="S135" s="503"/>
      <c r="T135" s="17"/>
      <c r="U135" s="501"/>
      <c r="V135" s="187"/>
      <c r="W135" s="82">
        <f>'BLM STATS'!Y159</f>
        <v>0</v>
      </c>
      <c r="X135" s="82">
        <f>'BLM STATS'!Z159</f>
        <v>0</v>
      </c>
    </row>
    <row r="136" spans="1:24" x14ac:dyDescent="0.25">
      <c r="A136" s="68">
        <f>'BLM STATS'!A160</f>
        <v>0</v>
      </c>
      <c r="B136" s="507">
        <f>'BLM STATS'!B160</f>
        <v>0</v>
      </c>
      <c r="C136" s="729">
        <f>'BLM STATS'!F160</f>
        <v>0</v>
      </c>
      <c r="D136" s="501">
        <f>'BLM STATS'!I160</f>
        <v>0</v>
      </c>
      <c r="E136" s="501">
        <f>'BLM STATS'!J160</f>
        <v>0</v>
      </c>
      <c r="F136" s="501">
        <f>'BLM STATS'!K160</f>
        <v>0</v>
      </c>
      <c r="G136" s="501">
        <f>'BLM STATS'!L160</f>
        <v>0</v>
      </c>
      <c r="H136" s="508">
        <f>'BLM STATS'!C160</f>
        <v>0</v>
      </c>
      <c r="I136" s="201">
        <f t="shared" si="5"/>
        <v>0</v>
      </c>
      <c r="J136" s="15">
        <f>'BLM STATS'!P160</f>
        <v>0</v>
      </c>
      <c r="K136" s="16">
        <f>'BLM STATS'!Q160</f>
        <v>0</v>
      </c>
      <c r="L136" s="17">
        <f>'BLM STATS'!R160</f>
        <v>0</v>
      </c>
      <c r="M136" s="502">
        <f>'BLM STATS'!S160</f>
        <v>0</v>
      </c>
      <c r="N136" s="18">
        <f>'BLM STATS'!T160</f>
        <v>0</v>
      </c>
      <c r="O136" s="19">
        <f>'BLM STATS'!U160</f>
        <v>0</v>
      </c>
      <c r="P136" s="41">
        <f>'BLM STATS'!V160</f>
        <v>0</v>
      </c>
      <c r="Q136" s="187">
        <f>'BLM STATS'!W160</f>
        <v>0</v>
      </c>
      <c r="R136" s="76"/>
      <c r="S136" s="503"/>
      <c r="T136" s="17"/>
      <c r="U136" s="501"/>
      <c r="V136" s="187"/>
      <c r="W136" s="82">
        <f>'BLM STATS'!Y160</f>
        <v>0</v>
      </c>
      <c r="X136" s="82">
        <f>'BLM STATS'!Z160</f>
        <v>0</v>
      </c>
    </row>
    <row r="137" spans="1:24" x14ac:dyDescent="0.25">
      <c r="A137" s="68">
        <f>'BLM STATS'!A161</f>
        <v>0</v>
      </c>
      <c r="B137" s="507">
        <f>'BLM STATS'!B161</f>
        <v>0</v>
      </c>
      <c r="C137" s="729">
        <f>'BLM STATS'!F161</f>
        <v>0</v>
      </c>
      <c r="D137" s="501">
        <f>'BLM STATS'!I161</f>
        <v>0</v>
      </c>
      <c r="E137" s="501">
        <f>'BLM STATS'!J161</f>
        <v>0</v>
      </c>
      <c r="F137" s="501">
        <f>'BLM STATS'!K161</f>
        <v>0</v>
      </c>
      <c r="G137" s="501">
        <f>'BLM STATS'!L161</f>
        <v>0</v>
      </c>
      <c r="H137" s="508">
        <f>'BLM STATS'!C161</f>
        <v>0</v>
      </c>
      <c r="I137" s="201">
        <f t="shared" si="5"/>
        <v>0</v>
      </c>
      <c r="J137" s="15">
        <f>'BLM STATS'!P161</f>
        <v>0</v>
      </c>
      <c r="K137" s="16">
        <f>'BLM STATS'!Q161</f>
        <v>0</v>
      </c>
      <c r="L137" s="17">
        <f>'BLM STATS'!R161</f>
        <v>0</v>
      </c>
      <c r="M137" s="502">
        <f>'BLM STATS'!S161</f>
        <v>0</v>
      </c>
      <c r="N137" s="18">
        <f>'BLM STATS'!T161</f>
        <v>0</v>
      </c>
      <c r="O137" s="19">
        <f>'BLM STATS'!U161</f>
        <v>0</v>
      </c>
      <c r="P137" s="41">
        <f>'BLM STATS'!V161</f>
        <v>0</v>
      </c>
      <c r="Q137" s="187">
        <f>'BLM STATS'!W161</f>
        <v>0</v>
      </c>
      <c r="R137" s="76"/>
      <c r="S137" s="503"/>
      <c r="T137" s="17"/>
      <c r="U137" s="501"/>
      <c r="V137" s="187"/>
      <c r="W137" s="82">
        <f>'BLM STATS'!Y161</f>
        <v>0</v>
      </c>
      <c r="X137" s="82">
        <f>'BLM STATS'!Z161</f>
        <v>0</v>
      </c>
    </row>
    <row r="138" spans="1:24" x14ac:dyDescent="0.25">
      <c r="A138" s="68">
        <f>'BLM STATS'!A162</f>
        <v>0</v>
      </c>
      <c r="B138" s="507">
        <f>'BLM STATS'!B162</f>
        <v>0</v>
      </c>
      <c r="C138" s="729">
        <f>'BLM STATS'!F162</f>
        <v>0</v>
      </c>
      <c r="D138" s="501">
        <f>'BLM STATS'!I162</f>
        <v>0</v>
      </c>
      <c r="E138" s="501">
        <f>'BLM STATS'!J162</f>
        <v>0</v>
      </c>
      <c r="F138" s="501">
        <f>'BLM STATS'!K162</f>
        <v>0</v>
      </c>
      <c r="G138" s="501">
        <f>'BLM STATS'!L162</f>
        <v>0</v>
      </c>
      <c r="H138" s="508">
        <f>'BLM STATS'!C162</f>
        <v>0</v>
      </c>
      <c r="I138" s="201">
        <f t="shared" si="5"/>
        <v>0</v>
      </c>
      <c r="J138" s="15">
        <f>'BLM STATS'!P162</f>
        <v>0</v>
      </c>
      <c r="K138" s="16">
        <f>'BLM STATS'!Q162</f>
        <v>0</v>
      </c>
      <c r="L138" s="17">
        <f>'BLM STATS'!R162</f>
        <v>0</v>
      </c>
      <c r="M138" s="502">
        <f>'BLM STATS'!S162</f>
        <v>0</v>
      </c>
      <c r="N138" s="18">
        <f>'BLM STATS'!T162</f>
        <v>0</v>
      </c>
      <c r="O138" s="19">
        <f>'BLM STATS'!U162</f>
        <v>0</v>
      </c>
      <c r="P138" s="41">
        <f>'BLM STATS'!V162</f>
        <v>0</v>
      </c>
      <c r="Q138" s="187">
        <f>'BLM STATS'!W162</f>
        <v>0</v>
      </c>
      <c r="R138" s="76"/>
      <c r="S138" s="503"/>
      <c r="T138" s="17"/>
      <c r="U138" s="501"/>
      <c r="V138" s="187"/>
      <c r="W138" s="82">
        <f>'BLM STATS'!Y162</f>
        <v>0</v>
      </c>
      <c r="X138" s="82">
        <f>'BLM STATS'!Z162</f>
        <v>0</v>
      </c>
    </row>
    <row r="139" spans="1:24" x14ac:dyDescent="0.25">
      <c r="A139" s="68">
        <f>'BLM STATS'!A163</f>
        <v>0</v>
      </c>
      <c r="B139" s="507">
        <f>'BLM STATS'!B163</f>
        <v>0</v>
      </c>
      <c r="C139" s="729">
        <f>'BLM STATS'!F163</f>
        <v>0</v>
      </c>
      <c r="D139" s="501">
        <f>'BLM STATS'!I163</f>
        <v>0</v>
      </c>
      <c r="E139" s="501">
        <f>'BLM STATS'!J163</f>
        <v>0</v>
      </c>
      <c r="F139" s="501">
        <f>'BLM STATS'!K163</f>
        <v>0</v>
      </c>
      <c r="G139" s="501">
        <f>'BLM STATS'!L163</f>
        <v>0</v>
      </c>
      <c r="H139" s="508">
        <f>'BLM STATS'!C163</f>
        <v>0</v>
      </c>
      <c r="I139" s="201">
        <f t="shared" si="5"/>
        <v>0</v>
      </c>
      <c r="J139" s="15">
        <f>'BLM STATS'!P163</f>
        <v>0</v>
      </c>
      <c r="K139" s="16">
        <f>'BLM STATS'!Q163</f>
        <v>0</v>
      </c>
      <c r="L139" s="17">
        <f>'BLM STATS'!R163</f>
        <v>0</v>
      </c>
      <c r="M139" s="502">
        <f>'BLM STATS'!S163</f>
        <v>0</v>
      </c>
      <c r="N139" s="18">
        <f>'BLM STATS'!T163</f>
        <v>0</v>
      </c>
      <c r="O139" s="19">
        <f>'BLM STATS'!U163</f>
        <v>0</v>
      </c>
      <c r="P139" s="41">
        <f>'BLM STATS'!V163</f>
        <v>0</v>
      </c>
      <c r="Q139" s="187">
        <f>'BLM STATS'!W163</f>
        <v>0</v>
      </c>
      <c r="R139" s="76"/>
      <c r="S139" s="503"/>
      <c r="T139" s="17"/>
      <c r="U139" s="501"/>
      <c r="V139" s="187"/>
      <c r="W139" s="82">
        <f>'BLM STATS'!Y163</f>
        <v>0</v>
      </c>
      <c r="X139" s="82">
        <f>'BLM STATS'!Z163</f>
        <v>0</v>
      </c>
    </row>
    <row r="140" spans="1:24" x14ac:dyDescent="0.25">
      <c r="A140" s="68">
        <f>'BLM STATS'!A164</f>
        <v>0</v>
      </c>
      <c r="B140" s="507">
        <f>'BLM STATS'!B164</f>
        <v>0</v>
      </c>
      <c r="C140" s="729">
        <f>'BLM STATS'!F164</f>
        <v>0</v>
      </c>
      <c r="D140" s="501">
        <f>'BLM STATS'!I164</f>
        <v>0</v>
      </c>
      <c r="E140" s="501">
        <f>'BLM STATS'!J164</f>
        <v>0</v>
      </c>
      <c r="F140" s="501">
        <f>'BLM STATS'!K164</f>
        <v>0</v>
      </c>
      <c r="G140" s="501">
        <f>'BLM STATS'!L164</f>
        <v>0</v>
      </c>
      <c r="H140" s="508">
        <f>'BLM STATS'!C164</f>
        <v>0</v>
      </c>
      <c r="I140" s="201">
        <f t="shared" si="5"/>
        <v>0</v>
      </c>
      <c r="J140" s="15">
        <f>'BLM STATS'!P164</f>
        <v>0</v>
      </c>
      <c r="K140" s="16">
        <f>'BLM STATS'!Q164</f>
        <v>0</v>
      </c>
      <c r="L140" s="17">
        <f>'BLM STATS'!R164</f>
        <v>0</v>
      </c>
      <c r="M140" s="502">
        <f>'BLM STATS'!S164</f>
        <v>0</v>
      </c>
      <c r="N140" s="18">
        <f>'BLM STATS'!T164</f>
        <v>0</v>
      </c>
      <c r="O140" s="19">
        <f>'BLM STATS'!U164</f>
        <v>0</v>
      </c>
      <c r="P140" s="41">
        <f>'BLM STATS'!V164</f>
        <v>0</v>
      </c>
      <c r="Q140" s="187">
        <f>'BLM STATS'!W164</f>
        <v>0</v>
      </c>
      <c r="R140" s="76"/>
      <c r="S140" s="503"/>
      <c r="T140" s="17"/>
      <c r="U140" s="501"/>
      <c r="V140" s="187"/>
      <c r="W140" s="82">
        <f>'BLM STATS'!Y164</f>
        <v>0</v>
      </c>
      <c r="X140" s="82">
        <f>'BLM STATS'!Z164</f>
        <v>0</v>
      </c>
    </row>
    <row r="141" spans="1:24" x14ac:dyDescent="0.25">
      <c r="A141" s="68">
        <f>'BLM STATS'!A165</f>
        <v>0</v>
      </c>
      <c r="B141" s="507">
        <f>'BLM STATS'!B165</f>
        <v>0</v>
      </c>
      <c r="C141" s="729">
        <f>'BLM STATS'!F165</f>
        <v>0</v>
      </c>
      <c r="D141" s="501">
        <f>'BLM STATS'!I165</f>
        <v>0</v>
      </c>
      <c r="E141" s="501">
        <f>'BLM STATS'!J165</f>
        <v>0</v>
      </c>
      <c r="F141" s="501">
        <f>'BLM STATS'!K165</f>
        <v>0</v>
      </c>
      <c r="G141" s="501">
        <f>'BLM STATS'!L165</f>
        <v>0</v>
      </c>
      <c r="H141" s="508">
        <f>'BLM STATS'!C165</f>
        <v>0</v>
      </c>
      <c r="I141" s="201">
        <f t="shared" si="5"/>
        <v>0</v>
      </c>
      <c r="J141" s="15">
        <f>'BLM STATS'!P165</f>
        <v>0</v>
      </c>
      <c r="K141" s="16">
        <f>'BLM STATS'!Q165</f>
        <v>0</v>
      </c>
      <c r="L141" s="17">
        <f>'BLM STATS'!R165</f>
        <v>0</v>
      </c>
      <c r="M141" s="502">
        <f>'BLM STATS'!S165</f>
        <v>0</v>
      </c>
      <c r="N141" s="18">
        <f>'BLM STATS'!T165</f>
        <v>0</v>
      </c>
      <c r="O141" s="19">
        <f>'BLM STATS'!U165</f>
        <v>0</v>
      </c>
      <c r="P141" s="41">
        <f>'BLM STATS'!V165</f>
        <v>0</v>
      </c>
      <c r="Q141" s="187">
        <f>'BLM STATS'!W165</f>
        <v>0</v>
      </c>
      <c r="R141" s="76"/>
      <c r="S141" s="503"/>
      <c r="T141" s="17"/>
      <c r="U141" s="501"/>
      <c r="V141" s="187"/>
      <c r="W141" s="82">
        <f>'BLM STATS'!Y165</f>
        <v>0</v>
      </c>
      <c r="X141" s="82">
        <f>'BLM STATS'!Z165</f>
        <v>0</v>
      </c>
    </row>
    <row r="142" spans="1:24" x14ac:dyDescent="0.25">
      <c r="A142" s="68">
        <f>'BLM STATS'!A166</f>
        <v>0</v>
      </c>
      <c r="B142" s="507">
        <f>'BLM STATS'!B166</f>
        <v>0</v>
      </c>
      <c r="C142" s="729">
        <f>'BLM STATS'!F166</f>
        <v>0</v>
      </c>
      <c r="D142" s="501">
        <f>'BLM STATS'!I166</f>
        <v>0</v>
      </c>
      <c r="E142" s="501">
        <f>'BLM STATS'!J166</f>
        <v>0</v>
      </c>
      <c r="F142" s="501">
        <f>'BLM STATS'!K166</f>
        <v>0</v>
      </c>
      <c r="G142" s="501">
        <f>'BLM STATS'!L166</f>
        <v>0</v>
      </c>
      <c r="H142" s="508">
        <f>'BLM STATS'!C166</f>
        <v>0</v>
      </c>
      <c r="I142" s="201">
        <f t="shared" si="5"/>
        <v>0</v>
      </c>
      <c r="J142" s="15">
        <f>'BLM STATS'!P166</f>
        <v>0</v>
      </c>
      <c r="K142" s="16">
        <f>'BLM STATS'!Q166</f>
        <v>0</v>
      </c>
      <c r="L142" s="17">
        <f>'BLM STATS'!R166</f>
        <v>0</v>
      </c>
      <c r="M142" s="502">
        <f>'BLM STATS'!S166</f>
        <v>0</v>
      </c>
      <c r="N142" s="18">
        <f>'BLM STATS'!T166</f>
        <v>0</v>
      </c>
      <c r="O142" s="19">
        <f>'BLM STATS'!U166</f>
        <v>0</v>
      </c>
      <c r="P142" s="41">
        <f>'BLM STATS'!V166</f>
        <v>0</v>
      </c>
      <c r="Q142" s="187">
        <f>'BLM STATS'!W166</f>
        <v>0</v>
      </c>
      <c r="R142" s="76"/>
      <c r="S142" s="503"/>
      <c r="T142" s="17"/>
      <c r="U142" s="501"/>
      <c r="V142" s="187"/>
      <c r="W142" s="82">
        <f>'BLM STATS'!Y166</f>
        <v>0</v>
      </c>
      <c r="X142" s="82">
        <f>'BLM STATS'!Z166</f>
        <v>0</v>
      </c>
    </row>
    <row r="143" spans="1:24" x14ac:dyDescent="0.25">
      <c r="A143" s="68">
        <f>'BLM STATS'!A167</f>
        <v>0</v>
      </c>
      <c r="B143" s="507">
        <f>'BLM STATS'!B167</f>
        <v>0</v>
      </c>
      <c r="C143" s="729">
        <f>'BLM STATS'!F167</f>
        <v>0</v>
      </c>
      <c r="D143" s="501">
        <f>'BLM STATS'!I167</f>
        <v>0</v>
      </c>
      <c r="E143" s="501">
        <f>'BLM STATS'!J167</f>
        <v>0</v>
      </c>
      <c r="F143" s="501">
        <f>'BLM STATS'!K167</f>
        <v>0</v>
      </c>
      <c r="G143" s="501">
        <f>'BLM STATS'!L167</f>
        <v>0</v>
      </c>
      <c r="H143" s="508">
        <f>'BLM STATS'!C167</f>
        <v>0</v>
      </c>
      <c r="I143" s="201">
        <f t="shared" si="5"/>
        <v>0</v>
      </c>
      <c r="J143" s="15">
        <f>'BLM STATS'!P167</f>
        <v>0</v>
      </c>
      <c r="K143" s="16">
        <f>'BLM STATS'!Q167</f>
        <v>0</v>
      </c>
      <c r="L143" s="17">
        <f>'BLM STATS'!R167</f>
        <v>0</v>
      </c>
      <c r="M143" s="502">
        <f>'BLM STATS'!S167</f>
        <v>0</v>
      </c>
      <c r="N143" s="18">
        <f>'BLM STATS'!T167</f>
        <v>0</v>
      </c>
      <c r="O143" s="19">
        <f>'BLM STATS'!U167</f>
        <v>0</v>
      </c>
      <c r="P143" s="41">
        <f>'BLM STATS'!V167</f>
        <v>0</v>
      </c>
      <c r="Q143" s="187">
        <f>'BLM STATS'!W167</f>
        <v>0</v>
      </c>
      <c r="R143" s="76"/>
      <c r="S143" s="503"/>
      <c r="T143" s="17"/>
      <c r="U143" s="501"/>
      <c r="V143" s="187"/>
      <c r="W143" s="82">
        <f>'BLM STATS'!Y167</f>
        <v>0</v>
      </c>
      <c r="X143" s="82">
        <f>'BLM STATS'!Z167</f>
        <v>0</v>
      </c>
    </row>
    <row r="144" spans="1:24" x14ac:dyDescent="0.25">
      <c r="A144" s="68">
        <f>'BLM STATS'!A168</f>
        <v>0</v>
      </c>
      <c r="B144" s="507">
        <f>'BLM STATS'!B168</f>
        <v>0</v>
      </c>
      <c r="C144" s="729">
        <f>'BLM STATS'!F168</f>
        <v>0</v>
      </c>
      <c r="D144" s="501">
        <f>'BLM STATS'!I168</f>
        <v>0</v>
      </c>
      <c r="E144" s="501">
        <f>'BLM STATS'!J168</f>
        <v>0</v>
      </c>
      <c r="F144" s="501">
        <f>'BLM STATS'!K168</f>
        <v>0</v>
      </c>
      <c r="G144" s="501">
        <f>'BLM STATS'!L168</f>
        <v>0</v>
      </c>
      <c r="H144" s="508">
        <f>'BLM STATS'!C168</f>
        <v>0</v>
      </c>
      <c r="I144" s="201">
        <f t="shared" si="5"/>
        <v>0</v>
      </c>
      <c r="J144" s="15">
        <f>'BLM STATS'!P168</f>
        <v>0</v>
      </c>
      <c r="K144" s="16">
        <f>'BLM STATS'!Q168</f>
        <v>0</v>
      </c>
      <c r="L144" s="17">
        <f>'BLM STATS'!R168</f>
        <v>0</v>
      </c>
      <c r="M144" s="502">
        <f>'BLM STATS'!S168</f>
        <v>0</v>
      </c>
      <c r="N144" s="18">
        <f>'BLM STATS'!T168</f>
        <v>0</v>
      </c>
      <c r="O144" s="19">
        <f>'BLM STATS'!U168</f>
        <v>0</v>
      </c>
      <c r="P144" s="41">
        <f>'BLM STATS'!V168</f>
        <v>0</v>
      </c>
      <c r="Q144" s="187">
        <f>'BLM STATS'!W165</f>
        <v>0</v>
      </c>
      <c r="R144" s="76"/>
      <c r="S144" s="503"/>
      <c r="T144" s="17"/>
      <c r="U144" s="501"/>
      <c r="V144" s="187"/>
      <c r="W144" s="82">
        <f>'BLM STATS'!Y168</f>
        <v>0</v>
      </c>
      <c r="X144" s="82">
        <f>'BLM STATS'!Z168</f>
        <v>0</v>
      </c>
    </row>
    <row r="145" spans="1:24" x14ac:dyDescent="0.25">
      <c r="A145" s="68">
        <f>'BLM STATS'!A169</f>
        <v>0</v>
      </c>
      <c r="B145" s="507">
        <f>'BLM STATS'!B169</f>
        <v>0</v>
      </c>
      <c r="C145" s="729">
        <f>'BLM STATS'!F169</f>
        <v>0</v>
      </c>
      <c r="D145" s="501">
        <f>'BLM STATS'!I169</f>
        <v>0</v>
      </c>
      <c r="E145" s="501">
        <f>'BLM STATS'!J169</f>
        <v>0</v>
      </c>
      <c r="F145" s="501">
        <f>'BLM STATS'!K169</f>
        <v>0</v>
      </c>
      <c r="G145" s="501">
        <f>'BLM STATS'!L169</f>
        <v>0</v>
      </c>
      <c r="H145" s="508">
        <f>'BLM STATS'!C169</f>
        <v>0</v>
      </c>
      <c r="I145" s="201">
        <f t="shared" si="5"/>
        <v>0</v>
      </c>
      <c r="J145" s="15">
        <f>'BLM STATS'!P169</f>
        <v>0</v>
      </c>
      <c r="K145" s="16">
        <f>'BLM STATS'!Q169</f>
        <v>0</v>
      </c>
      <c r="L145" s="17">
        <f>'BLM STATS'!R169</f>
        <v>0</v>
      </c>
      <c r="M145" s="502">
        <f>'BLM STATS'!S169</f>
        <v>0</v>
      </c>
      <c r="N145" s="18">
        <f>'BLM STATS'!T169</f>
        <v>0</v>
      </c>
      <c r="O145" s="19">
        <f>'BLM STATS'!U169</f>
        <v>0</v>
      </c>
      <c r="P145" s="41">
        <f>'BLM STATS'!V169</f>
        <v>0</v>
      </c>
      <c r="Q145" s="187">
        <f>'BLM STATS'!W166</f>
        <v>0</v>
      </c>
      <c r="R145" s="76"/>
      <c r="S145" s="503"/>
      <c r="T145" s="17"/>
      <c r="U145" s="501"/>
      <c r="V145" s="187"/>
      <c r="W145" s="82">
        <f>'BLM STATS'!Y169</f>
        <v>0</v>
      </c>
      <c r="X145" s="82">
        <f>'BLM STATS'!Z169</f>
        <v>0</v>
      </c>
    </row>
    <row r="146" spans="1:24" x14ac:dyDescent="0.25">
      <c r="A146" s="68">
        <f>'BLM STATS'!A170</f>
        <v>0</v>
      </c>
      <c r="B146" s="507">
        <f>'BLM STATS'!B170</f>
        <v>0</v>
      </c>
      <c r="C146" s="729">
        <f>'BLM STATS'!F170</f>
        <v>0</v>
      </c>
      <c r="D146" s="501">
        <f>'BLM STATS'!I170</f>
        <v>0</v>
      </c>
      <c r="E146" s="501">
        <f>'BLM STATS'!J170</f>
        <v>0</v>
      </c>
      <c r="F146" s="501">
        <f>'BLM STATS'!K170</f>
        <v>0</v>
      </c>
      <c r="G146" s="501">
        <f>'BLM STATS'!L170</f>
        <v>0</v>
      </c>
      <c r="H146" s="508">
        <f>'BLM STATS'!C170</f>
        <v>0</v>
      </c>
      <c r="I146" s="201">
        <f t="shared" si="5"/>
        <v>0</v>
      </c>
      <c r="J146" s="15">
        <f>'BLM STATS'!P170</f>
        <v>0</v>
      </c>
      <c r="K146" s="16">
        <f>'BLM STATS'!Q170</f>
        <v>0</v>
      </c>
      <c r="L146" s="17">
        <f>'BLM STATS'!R170</f>
        <v>0</v>
      </c>
      <c r="M146" s="502">
        <f>'BLM STATS'!S170</f>
        <v>0</v>
      </c>
      <c r="N146" s="18">
        <f>'BLM STATS'!T170</f>
        <v>0</v>
      </c>
      <c r="O146" s="19">
        <f>'BLM STATS'!U170</f>
        <v>0</v>
      </c>
      <c r="P146" s="41">
        <f>'BLM STATS'!V170</f>
        <v>0</v>
      </c>
      <c r="Q146" s="187">
        <f>'BLM STATS'!W167</f>
        <v>0</v>
      </c>
      <c r="R146" s="76"/>
      <c r="S146" s="503"/>
      <c r="T146" s="17"/>
      <c r="U146" s="501"/>
      <c r="V146" s="187"/>
      <c r="W146" s="82">
        <f>'BLM STATS'!Y170</f>
        <v>0</v>
      </c>
      <c r="X146" s="82">
        <f>'BLM STATS'!Z170</f>
        <v>0</v>
      </c>
    </row>
    <row r="147" spans="1:24" x14ac:dyDescent="0.25">
      <c r="A147" s="68">
        <f>'BLM STATS'!A171</f>
        <v>0</v>
      </c>
      <c r="B147" s="507">
        <f>'BLM STATS'!B171</f>
        <v>0</v>
      </c>
      <c r="C147" s="729">
        <f>'BLM STATS'!F171</f>
        <v>0</v>
      </c>
      <c r="D147" s="501">
        <f>'BLM STATS'!I171</f>
        <v>0</v>
      </c>
      <c r="E147" s="501">
        <f>'BLM STATS'!J171</f>
        <v>0</v>
      </c>
      <c r="F147" s="501">
        <f>'BLM STATS'!K171</f>
        <v>0</v>
      </c>
      <c r="G147" s="501">
        <f>'BLM STATS'!L171</f>
        <v>0</v>
      </c>
      <c r="H147" s="508">
        <f>'BLM STATS'!C171</f>
        <v>0</v>
      </c>
      <c r="I147" s="201">
        <f t="shared" si="5"/>
        <v>0</v>
      </c>
      <c r="J147" s="15">
        <f>'BLM STATS'!P171</f>
        <v>0</v>
      </c>
      <c r="K147" s="16">
        <f>'BLM STATS'!Q171</f>
        <v>0</v>
      </c>
      <c r="L147" s="17">
        <f>'BLM STATS'!R171</f>
        <v>0</v>
      </c>
      <c r="M147" s="502">
        <f>'BLM STATS'!S171</f>
        <v>0</v>
      </c>
      <c r="N147" s="18">
        <f>'BLM STATS'!T171</f>
        <v>0</v>
      </c>
      <c r="O147" s="19">
        <f>'BLM STATS'!U171</f>
        <v>0</v>
      </c>
      <c r="P147" s="41">
        <f>'BLM STATS'!V171</f>
        <v>0</v>
      </c>
      <c r="Q147" s="187">
        <f>'BLM STATS'!W168</f>
        <v>0</v>
      </c>
      <c r="R147" s="76"/>
      <c r="S147" s="503"/>
      <c r="T147" s="17"/>
      <c r="U147" s="501"/>
      <c r="V147" s="187"/>
      <c r="W147" s="82">
        <f>'BLM STATS'!Y171</f>
        <v>0</v>
      </c>
      <c r="X147" s="82">
        <f>'BLM STATS'!Z171</f>
        <v>0</v>
      </c>
    </row>
    <row r="148" spans="1:24" x14ac:dyDescent="0.25">
      <c r="A148" s="68">
        <f>'BLM STATS'!A172</f>
        <v>0</v>
      </c>
      <c r="B148" s="507">
        <f>'BLM STATS'!B172</f>
        <v>0</v>
      </c>
      <c r="C148" s="729">
        <f>'BLM STATS'!F172</f>
        <v>0</v>
      </c>
      <c r="D148" s="501">
        <f>'BLM STATS'!I172</f>
        <v>0</v>
      </c>
      <c r="E148" s="501">
        <f>'BLM STATS'!J172</f>
        <v>0</v>
      </c>
      <c r="F148" s="501">
        <f>'BLM STATS'!K172</f>
        <v>0</v>
      </c>
      <c r="G148" s="501">
        <f>'BLM STATS'!L172</f>
        <v>0</v>
      </c>
      <c r="H148" s="508">
        <f>'BLM STATS'!C172</f>
        <v>0</v>
      </c>
      <c r="I148" s="201">
        <f t="shared" si="5"/>
        <v>0</v>
      </c>
      <c r="J148" s="15">
        <f>'BLM STATS'!P172</f>
        <v>0</v>
      </c>
      <c r="K148" s="16">
        <f>'BLM STATS'!Q172</f>
        <v>0</v>
      </c>
      <c r="L148" s="17">
        <f>'BLM STATS'!R172</f>
        <v>0</v>
      </c>
      <c r="M148" s="502">
        <f>'BLM STATS'!S172</f>
        <v>0</v>
      </c>
      <c r="N148" s="18">
        <f>'BLM STATS'!T172</f>
        <v>0</v>
      </c>
      <c r="O148" s="19">
        <f>'BLM STATS'!U172</f>
        <v>0</v>
      </c>
      <c r="P148" s="41">
        <f>'BLM STATS'!V172</f>
        <v>0</v>
      </c>
      <c r="Q148" s="187">
        <f>'BLM STATS'!W169</f>
        <v>0</v>
      </c>
      <c r="R148" s="76"/>
      <c r="S148" s="503"/>
      <c r="T148" s="17"/>
      <c r="U148" s="501"/>
      <c r="V148" s="187"/>
      <c r="W148" s="82">
        <f>'BLM STATS'!Y172</f>
        <v>0</v>
      </c>
      <c r="X148" s="82">
        <f>'BLM STATS'!Z172</f>
        <v>0</v>
      </c>
    </row>
    <row r="149" spans="1:24" x14ac:dyDescent="0.25">
      <c r="A149" s="68">
        <f>'BLM STATS'!A173</f>
        <v>0</v>
      </c>
      <c r="B149" s="507">
        <f>'BLM STATS'!B173</f>
        <v>0</v>
      </c>
      <c r="C149" s="729">
        <f>'BLM STATS'!F173</f>
        <v>0</v>
      </c>
      <c r="D149" s="501">
        <f>'BLM STATS'!I173</f>
        <v>0</v>
      </c>
      <c r="E149" s="501">
        <f>'BLM STATS'!J173</f>
        <v>0</v>
      </c>
      <c r="F149" s="501">
        <f>'BLM STATS'!K173</f>
        <v>0</v>
      </c>
      <c r="G149" s="501">
        <f>'BLM STATS'!L173</f>
        <v>0</v>
      </c>
      <c r="H149" s="508">
        <f>'BLM STATS'!C173</f>
        <v>0</v>
      </c>
      <c r="I149" s="201">
        <f t="shared" si="5"/>
        <v>0</v>
      </c>
      <c r="J149" s="15">
        <f>'BLM STATS'!P173</f>
        <v>0</v>
      </c>
      <c r="K149" s="16">
        <f>'BLM STATS'!Q173</f>
        <v>0</v>
      </c>
      <c r="L149" s="17">
        <f>'BLM STATS'!R173</f>
        <v>0</v>
      </c>
      <c r="M149" s="502">
        <f>'BLM STATS'!S173</f>
        <v>0</v>
      </c>
      <c r="N149" s="18">
        <f>'BLM STATS'!T173</f>
        <v>0</v>
      </c>
      <c r="O149" s="19">
        <f>'BLM STATS'!U173</f>
        <v>0</v>
      </c>
      <c r="P149" s="41">
        <f>'BLM STATS'!V173</f>
        <v>0</v>
      </c>
      <c r="Q149" s="187">
        <f>'BLM STATS'!W170</f>
        <v>0</v>
      </c>
      <c r="R149" s="76"/>
      <c r="S149" s="503"/>
      <c r="T149" s="17"/>
      <c r="U149" s="501"/>
      <c r="V149" s="187"/>
      <c r="W149" s="82">
        <f>'BLM STATS'!Y173</f>
        <v>0</v>
      </c>
      <c r="X149" s="82">
        <f>'BLM STATS'!Z173</f>
        <v>0</v>
      </c>
    </row>
    <row r="150" spans="1:24" x14ac:dyDescent="0.25">
      <c r="A150" s="68">
        <f>'BLM STATS'!A174</f>
        <v>0</v>
      </c>
      <c r="B150" s="507">
        <f>'BLM STATS'!B174</f>
        <v>0</v>
      </c>
      <c r="C150" s="729">
        <f>'BLM STATS'!F174</f>
        <v>0</v>
      </c>
      <c r="D150" s="501">
        <f>'BLM STATS'!I174</f>
        <v>0</v>
      </c>
      <c r="E150" s="501">
        <f>'BLM STATS'!J174</f>
        <v>0</v>
      </c>
      <c r="F150" s="501">
        <f>'BLM STATS'!K174</f>
        <v>0</v>
      </c>
      <c r="G150" s="501">
        <f>'BLM STATS'!L174</f>
        <v>0</v>
      </c>
      <c r="H150" s="508">
        <f>'BLM STATS'!C174</f>
        <v>0</v>
      </c>
      <c r="I150" s="201">
        <f t="shared" si="5"/>
        <v>0</v>
      </c>
      <c r="J150" s="15">
        <f>'BLM STATS'!P174</f>
        <v>0</v>
      </c>
      <c r="K150" s="16">
        <f>'BLM STATS'!Q174</f>
        <v>0</v>
      </c>
      <c r="L150" s="17">
        <f>'BLM STATS'!R174</f>
        <v>0</v>
      </c>
      <c r="M150" s="502">
        <f>'BLM STATS'!S174</f>
        <v>0</v>
      </c>
      <c r="N150" s="18">
        <f>'BLM STATS'!T174</f>
        <v>0</v>
      </c>
      <c r="O150" s="19">
        <f>'BLM STATS'!U174</f>
        <v>0</v>
      </c>
      <c r="P150" s="41">
        <f>'BLM STATS'!V174</f>
        <v>0</v>
      </c>
      <c r="Q150" s="187">
        <f>'BLM STATS'!W171</f>
        <v>0</v>
      </c>
      <c r="R150" s="76"/>
      <c r="S150" s="503"/>
      <c r="T150" s="17"/>
      <c r="U150" s="501"/>
      <c r="V150" s="187"/>
      <c r="W150" s="82">
        <f>'BLM STATS'!Y174</f>
        <v>0</v>
      </c>
      <c r="X150" s="82">
        <f>'BLM STATS'!Z174</f>
        <v>0</v>
      </c>
    </row>
    <row r="151" spans="1:24" x14ac:dyDescent="0.25">
      <c r="A151" s="68">
        <f>'BLM STATS'!A175</f>
        <v>0</v>
      </c>
      <c r="B151" s="507">
        <f>'BLM STATS'!B175</f>
        <v>0</v>
      </c>
      <c r="C151" s="501">
        <f>'BLM STATS'!F175</f>
        <v>0</v>
      </c>
      <c r="D151" s="501">
        <f>'BLM STATS'!I175</f>
        <v>0</v>
      </c>
      <c r="E151" s="501">
        <f>'BLM STATS'!J175</f>
        <v>0</v>
      </c>
      <c r="F151" s="501">
        <f>'BLM STATS'!K175</f>
        <v>0</v>
      </c>
      <c r="G151" s="501">
        <f>'BLM STATS'!L175</f>
        <v>0</v>
      </c>
      <c r="H151" s="508">
        <f>'BLM STATS'!C175</f>
        <v>0</v>
      </c>
      <c r="I151" s="201">
        <f t="shared" si="5"/>
        <v>0</v>
      </c>
      <c r="J151" s="15">
        <f>'BLM STATS'!P175</f>
        <v>0</v>
      </c>
      <c r="K151" s="16">
        <f>'BLM STATS'!Q175</f>
        <v>0</v>
      </c>
      <c r="L151" s="17">
        <f>'BLM STATS'!R175</f>
        <v>0</v>
      </c>
      <c r="M151" s="502">
        <f>'BLM STATS'!S175</f>
        <v>0</v>
      </c>
      <c r="N151" s="18">
        <f>'BLM STATS'!T175</f>
        <v>0</v>
      </c>
      <c r="O151" s="19">
        <f>'BLM STATS'!U175</f>
        <v>0</v>
      </c>
      <c r="P151" s="41">
        <f>'BLM STATS'!V175</f>
        <v>0</v>
      </c>
      <c r="Q151" s="187">
        <f>'BLM STATS'!W172</f>
        <v>0</v>
      </c>
      <c r="R151" s="76"/>
      <c r="S151" s="503"/>
      <c r="T151" s="17"/>
      <c r="U151" s="501"/>
      <c r="V151" s="187"/>
      <c r="W151" s="82">
        <f>'BLM STATS'!Y175</f>
        <v>0</v>
      </c>
      <c r="X151" s="82">
        <f>'BLM STATS'!Z175</f>
        <v>0</v>
      </c>
    </row>
    <row r="152" spans="1:24" x14ac:dyDescent="0.25">
      <c r="A152" s="68">
        <f>'BLM STATS'!A176</f>
        <v>0</v>
      </c>
      <c r="B152" s="507">
        <f>'BLM STATS'!B176</f>
        <v>0</v>
      </c>
      <c r="C152" s="501">
        <f>'BLM STATS'!F176</f>
        <v>0</v>
      </c>
      <c r="D152" s="501">
        <f>'BLM STATS'!I176</f>
        <v>0</v>
      </c>
      <c r="E152" s="501">
        <f>'BLM STATS'!J176</f>
        <v>0</v>
      </c>
      <c r="F152" s="501">
        <f>'BLM STATS'!K176</f>
        <v>0</v>
      </c>
      <c r="G152" s="501">
        <f>'BLM STATS'!L176</f>
        <v>0</v>
      </c>
      <c r="H152" s="508">
        <f>'BLM STATS'!C176</f>
        <v>0</v>
      </c>
      <c r="I152" s="201">
        <f t="shared" si="5"/>
        <v>0</v>
      </c>
      <c r="J152" s="15">
        <f>'BLM STATS'!P176</f>
        <v>0</v>
      </c>
      <c r="K152" s="16">
        <f>'BLM STATS'!Q176</f>
        <v>0</v>
      </c>
      <c r="L152" s="17">
        <f>'BLM STATS'!R176</f>
        <v>0</v>
      </c>
      <c r="M152" s="502">
        <f>'BLM STATS'!S176</f>
        <v>0</v>
      </c>
      <c r="N152" s="18">
        <f>'BLM STATS'!T176</f>
        <v>0</v>
      </c>
      <c r="O152" s="19">
        <f>'BLM STATS'!U176</f>
        <v>0</v>
      </c>
      <c r="P152" s="41">
        <f>'BLM STATS'!V176</f>
        <v>0</v>
      </c>
      <c r="Q152" s="187">
        <f>'BLM STATS'!W173</f>
        <v>0</v>
      </c>
      <c r="R152" s="76"/>
      <c r="S152" s="503"/>
      <c r="T152" s="17"/>
      <c r="U152" s="501"/>
      <c r="V152" s="187"/>
      <c r="W152" s="82">
        <f>'BLM STATS'!Y176</f>
        <v>0</v>
      </c>
      <c r="X152" s="82">
        <f>'BLM STATS'!Z176</f>
        <v>0</v>
      </c>
    </row>
    <row r="153" spans="1:24" x14ac:dyDescent="0.25">
      <c r="A153" s="68">
        <f>'BLM STATS'!A177</f>
        <v>0</v>
      </c>
      <c r="B153" s="507">
        <f>'BLM STATS'!B177</f>
        <v>0</v>
      </c>
      <c r="C153" s="501">
        <f>'BLM STATS'!F177</f>
        <v>0</v>
      </c>
      <c r="D153" s="501">
        <f>'BLM STATS'!I177</f>
        <v>0</v>
      </c>
      <c r="E153" s="501">
        <f>'BLM STATS'!J177</f>
        <v>0</v>
      </c>
      <c r="F153" s="501">
        <f>'BLM STATS'!K177</f>
        <v>0</v>
      </c>
      <c r="G153" s="501">
        <f>'BLM STATS'!L177</f>
        <v>0</v>
      </c>
      <c r="H153" s="508">
        <f>'BLM STATS'!C177</f>
        <v>0</v>
      </c>
      <c r="I153" s="201">
        <f t="shared" si="5"/>
        <v>0</v>
      </c>
      <c r="J153" s="15">
        <f>'BLM STATS'!P177</f>
        <v>0</v>
      </c>
      <c r="K153" s="16">
        <f>'BLM STATS'!Q177</f>
        <v>0</v>
      </c>
      <c r="L153" s="17">
        <f>'BLM STATS'!R177</f>
        <v>0</v>
      </c>
      <c r="M153" s="502">
        <f>'BLM STATS'!S177</f>
        <v>0</v>
      </c>
      <c r="N153" s="18">
        <f>'BLM STATS'!T177</f>
        <v>0</v>
      </c>
      <c r="O153" s="19">
        <f>'BLM STATS'!U177</f>
        <v>0</v>
      </c>
      <c r="P153" s="41">
        <f>'BLM STATS'!V177</f>
        <v>0</v>
      </c>
      <c r="Q153" s="187">
        <f>'BLM STATS'!W174</f>
        <v>0</v>
      </c>
      <c r="R153" s="76"/>
      <c r="S153" s="503"/>
      <c r="T153" s="17"/>
      <c r="U153" s="501"/>
      <c r="V153" s="187"/>
      <c r="W153" s="82">
        <f>'BLM STATS'!Y177</f>
        <v>0</v>
      </c>
      <c r="X153" s="82">
        <f>'BLM STATS'!Z177</f>
        <v>0</v>
      </c>
    </row>
    <row r="154" spans="1:24" x14ac:dyDescent="0.25">
      <c r="A154" s="68">
        <f>'BLM STATS'!A178</f>
        <v>0</v>
      </c>
      <c r="B154" s="507">
        <f>'BLM STATS'!B178</f>
        <v>0</v>
      </c>
      <c r="C154" s="501">
        <f>'BLM STATS'!F178</f>
        <v>0</v>
      </c>
      <c r="D154" s="501">
        <f>'BLM STATS'!I178</f>
        <v>0</v>
      </c>
      <c r="E154" s="501">
        <f>'BLM STATS'!J178</f>
        <v>0</v>
      </c>
      <c r="F154" s="501">
        <f>'BLM STATS'!K178</f>
        <v>0</v>
      </c>
      <c r="G154" s="501">
        <f>'BLM STATS'!L178</f>
        <v>0</v>
      </c>
      <c r="H154" s="508">
        <f>'BLM STATS'!C178</f>
        <v>0</v>
      </c>
      <c r="I154" s="201">
        <f t="shared" si="5"/>
        <v>0</v>
      </c>
      <c r="J154" s="15">
        <f>'BLM STATS'!P178</f>
        <v>0</v>
      </c>
      <c r="K154" s="16">
        <f>'BLM STATS'!Q178</f>
        <v>0</v>
      </c>
      <c r="L154" s="17">
        <f>'BLM STATS'!R178</f>
        <v>0</v>
      </c>
      <c r="M154" s="502">
        <f>'BLM STATS'!S178</f>
        <v>0</v>
      </c>
      <c r="N154" s="18">
        <f>'BLM STATS'!T178</f>
        <v>0</v>
      </c>
      <c r="O154" s="19">
        <f>'BLM STATS'!U178</f>
        <v>0</v>
      </c>
      <c r="P154" s="41">
        <f>'BLM STATS'!V178</f>
        <v>0</v>
      </c>
      <c r="Q154" s="187">
        <f>'BLM STATS'!W175</f>
        <v>0</v>
      </c>
      <c r="R154" s="76"/>
      <c r="S154" s="503"/>
      <c r="T154" s="17"/>
      <c r="U154" s="501"/>
      <c r="V154" s="187"/>
      <c r="W154" s="82">
        <f>'BLM STATS'!Y178</f>
        <v>0</v>
      </c>
      <c r="X154" s="82">
        <f>'BLM STATS'!Z178</f>
        <v>0</v>
      </c>
    </row>
    <row r="155" spans="1:24" x14ac:dyDescent="0.25">
      <c r="A155" s="68">
        <f>'BLM STATS'!A179</f>
        <v>0</v>
      </c>
      <c r="B155" s="507">
        <f>'BLM STATS'!B179</f>
        <v>0</v>
      </c>
      <c r="C155" s="501">
        <f>'BLM STATS'!F179</f>
        <v>0</v>
      </c>
      <c r="D155" s="501">
        <f>'BLM STATS'!I179</f>
        <v>0</v>
      </c>
      <c r="E155" s="501">
        <f>'BLM STATS'!J179</f>
        <v>0</v>
      </c>
      <c r="F155" s="501">
        <f>'BLM STATS'!K179</f>
        <v>0</v>
      </c>
      <c r="G155" s="501">
        <f>'BLM STATS'!L179</f>
        <v>0</v>
      </c>
      <c r="H155" s="508">
        <f>'BLM STATS'!C179</f>
        <v>0</v>
      </c>
      <c r="I155" s="201">
        <f t="shared" si="5"/>
        <v>0</v>
      </c>
      <c r="J155" s="15">
        <f>'BLM STATS'!P179</f>
        <v>0</v>
      </c>
      <c r="K155" s="16">
        <f>'BLM STATS'!Q179</f>
        <v>0</v>
      </c>
      <c r="L155" s="17">
        <f>'BLM STATS'!R179</f>
        <v>0</v>
      </c>
      <c r="M155" s="502">
        <f>'BLM STATS'!S179</f>
        <v>0</v>
      </c>
      <c r="N155" s="18">
        <f>'BLM STATS'!T179</f>
        <v>0</v>
      </c>
      <c r="O155" s="19">
        <f>'BLM STATS'!U179</f>
        <v>0</v>
      </c>
      <c r="P155" s="41">
        <f>'BLM STATS'!V179</f>
        <v>0</v>
      </c>
      <c r="Q155" s="187">
        <f>'BLM STATS'!W176</f>
        <v>0</v>
      </c>
      <c r="R155" s="76"/>
      <c r="S155" s="503"/>
      <c r="T155" s="17"/>
      <c r="U155" s="501"/>
      <c r="V155" s="187"/>
      <c r="W155" s="82">
        <f>'BLM STATS'!Y179</f>
        <v>0</v>
      </c>
      <c r="X155" s="82">
        <f>'BLM STATS'!Z179</f>
        <v>0</v>
      </c>
    </row>
    <row r="156" spans="1:24" x14ac:dyDescent="0.25">
      <c r="A156" s="68">
        <f>'BLM STATS'!A180</f>
        <v>0</v>
      </c>
      <c r="B156" s="507">
        <f>'BLM STATS'!B180</f>
        <v>0</v>
      </c>
      <c r="C156" s="501">
        <f>'BLM STATS'!F180</f>
        <v>0</v>
      </c>
      <c r="D156" s="501">
        <f>'BLM STATS'!I180</f>
        <v>0</v>
      </c>
      <c r="E156" s="501">
        <f>'BLM STATS'!J180</f>
        <v>0</v>
      </c>
      <c r="F156" s="501">
        <f>'BLM STATS'!K180</f>
        <v>0</v>
      </c>
      <c r="G156" s="501">
        <f>'BLM STATS'!L180</f>
        <v>0</v>
      </c>
      <c r="H156" s="508">
        <f>'BLM STATS'!C180</f>
        <v>0</v>
      </c>
      <c r="I156" s="201">
        <f t="shared" si="5"/>
        <v>0</v>
      </c>
      <c r="J156" s="15">
        <f>'BLM STATS'!P180</f>
        <v>0</v>
      </c>
      <c r="K156" s="16">
        <f>'BLM STATS'!Q180</f>
        <v>0</v>
      </c>
      <c r="L156" s="17">
        <f>'BLM STATS'!R180</f>
        <v>0</v>
      </c>
      <c r="M156" s="502">
        <f>'BLM STATS'!S180</f>
        <v>0</v>
      </c>
      <c r="N156" s="18">
        <f>'BLM STATS'!T180</f>
        <v>0</v>
      </c>
      <c r="O156" s="19">
        <f>'BLM STATS'!U180</f>
        <v>0</v>
      </c>
      <c r="P156" s="41">
        <f>'BLM STATS'!V180</f>
        <v>0</v>
      </c>
      <c r="Q156" s="187">
        <f>'BLM STATS'!W177</f>
        <v>0</v>
      </c>
      <c r="R156" s="76"/>
      <c r="S156" s="503"/>
      <c r="T156" s="17"/>
      <c r="U156" s="501"/>
      <c r="V156" s="187"/>
      <c r="W156" s="82">
        <f>'BLM STATS'!Y180</f>
        <v>0</v>
      </c>
      <c r="X156" s="82">
        <f>'BLM STATS'!Z180</f>
        <v>0</v>
      </c>
    </row>
    <row r="157" spans="1:24" x14ac:dyDescent="0.25">
      <c r="A157" s="68">
        <f>'BLM STATS'!A181</f>
        <v>0</v>
      </c>
      <c r="B157" s="507">
        <f>'BLM STATS'!B181</f>
        <v>0</v>
      </c>
      <c r="C157" s="501">
        <f>'BLM STATS'!F181</f>
        <v>0</v>
      </c>
      <c r="D157" s="501">
        <f>'BLM STATS'!I181</f>
        <v>0</v>
      </c>
      <c r="E157" s="501">
        <f>'BLM STATS'!J181</f>
        <v>0</v>
      </c>
      <c r="F157" s="501">
        <f>'BLM STATS'!K181</f>
        <v>0</v>
      </c>
      <c r="G157" s="501">
        <f>'BLM STATS'!L181</f>
        <v>0</v>
      </c>
      <c r="H157" s="508">
        <f>'BLM STATS'!C181</f>
        <v>0</v>
      </c>
      <c r="I157" s="201">
        <f t="shared" si="5"/>
        <v>0</v>
      </c>
      <c r="J157" s="15">
        <f>'BLM STATS'!P181</f>
        <v>0</v>
      </c>
      <c r="K157" s="16">
        <f>'BLM STATS'!Q181</f>
        <v>0</v>
      </c>
      <c r="L157" s="17">
        <f>'BLM STATS'!R181</f>
        <v>0</v>
      </c>
      <c r="M157" s="502">
        <f>'BLM STATS'!S181</f>
        <v>0</v>
      </c>
      <c r="N157" s="18">
        <f>'BLM STATS'!T181</f>
        <v>0</v>
      </c>
      <c r="O157" s="19">
        <f>'BLM STATS'!U181</f>
        <v>0</v>
      </c>
      <c r="P157" s="41">
        <f>'BLM STATS'!V181</f>
        <v>0</v>
      </c>
      <c r="Q157" s="187">
        <f>'BLM STATS'!W178</f>
        <v>0</v>
      </c>
      <c r="R157" s="76"/>
      <c r="S157" s="503"/>
      <c r="T157" s="17"/>
      <c r="U157" s="501"/>
      <c r="V157" s="187"/>
      <c r="W157" s="82">
        <f>'BLM STATS'!Y181</f>
        <v>0</v>
      </c>
      <c r="X157" s="82">
        <f>'BLM STATS'!Z181</f>
        <v>0</v>
      </c>
    </row>
    <row r="158" spans="1:24" x14ac:dyDescent="0.25">
      <c r="A158" s="68">
        <f>'BLM STATS'!A182</f>
        <v>0</v>
      </c>
      <c r="B158" s="507">
        <f>'BLM STATS'!B182</f>
        <v>0</v>
      </c>
      <c r="C158" s="501">
        <f>'BLM STATS'!F182</f>
        <v>0</v>
      </c>
      <c r="D158" s="501">
        <f>'BLM STATS'!I182</f>
        <v>0</v>
      </c>
      <c r="E158" s="501">
        <f>'BLM STATS'!J182</f>
        <v>0</v>
      </c>
      <c r="F158" s="501">
        <f>'BLM STATS'!K182</f>
        <v>0</v>
      </c>
      <c r="G158" s="501">
        <f>'BLM STATS'!L182</f>
        <v>0</v>
      </c>
      <c r="H158" s="508">
        <f>'BLM STATS'!C182</f>
        <v>0</v>
      </c>
      <c r="I158" s="201">
        <f t="shared" si="5"/>
        <v>0</v>
      </c>
      <c r="J158" s="15">
        <f>'BLM STATS'!P182</f>
        <v>0</v>
      </c>
      <c r="K158" s="16">
        <f>'BLM STATS'!Q182</f>
        <v>0</v>
      </c>
      <c r="L158" s="17">
        <f>'BLM STATS'!R182</f>
        <v>0</v>
      </c>
      <c r="M158" s="502">
        <f>'BLM STATS'!S182</f>
        <v>0</v>
      </c>
      <c r="N158" s="18">
        <f>'BLM STATS'!T182</f>
        <v>0</v>
      </c>
      <c r="O158" s="19">
        <f>'BLM STATS'!U182</f>
        <v>0</v>
      </c>
      <c r="P158" s="41">
        <f>'BLM STATS'!V182</f>
        <v>0</v>
      </c>
      <c r="Q158" s="187">
        <f>'BLM STATS'!W179</f>
        <v>0</v>
      </c>
      <c r="R158" s="76"/>
      <c r="S158" s="503"/>
      <c r="T158" s="17"/>
      <c r="U158" s="501"/>
      <c r="V158" s="187"/>
      <c r="W158" s="82">
        <f>'BLM STATS'!Y182</f>
        <v>0</v>
      </c>
      <c r="X158" s="82">
        <f>'BLM STATS'!Z182</f>
        <v>0</v>
      </c>
    </row>
    <row r="159" spans="1:24" x14ac:dyDescent="0.25">
      <c r="A159" s="68">
        <f>'BLM STATS'!A183</f>
        <v>0</v>
      </c>
      <c r="B159" s="507">
        <f>'BLM STATS'!B183</f>
        <v>0</v>
      </c>
      <c r="C159" s="501">
        <f>'BLM STATS'!F183</f>
        <v>0</v>
      </c>
      <c r="D159" s="501">
        <f>'BLM STATS'!I183</f>
        <v>0</v>
      </c>
      <c r="E159" s="501">
        <f>'BLM STATS'!J183</f>
        <v>0</v>
      </c>
      <c r="F159" s="501">
        <f>'BLM STATS'!K183</f>
        <v>0</v>
      </c>
      <c r="G159" s="501">
        <f>'BLM STATS'!L183</f>
        <v>0</v>
      </c>
      <c r="H159" s="508">
        <f>'BLM STATS'!C183</f>
        <v>0</v>
      </c>
      <c r="I159" s="201">
        <f t="shared" si="5"/>
        <v>0</v>
      </c>
      <c r="J159" s="15">
        <f>'BLM STATS'!P183</f>
        <v>0</v>
      </c>
      <c r="K159" s="16">
        <f>'BLM STATS'!Q183</f>
        <v>0</v>
      </c>
      <c r="L159" s="17">
        <f>'BLM STATS'!R183</f>
        <v>0</v>
      </c>
      <c r="M159" s="502">
        <f>'BLM STATS'!S183</f>
        <v>0</v>
      </c>
      <c r="N159" s="18">
        <f>'BLM STATS'!T183</f>
        <v>0</v>
      </c>
      <c r="O159" s="19">
        <f>'BLM STATS'!U183</f>
        <v>0</v>
      </c>
      <c r="P159" s="41">
        <f>'BLM STATS'!V183</f>
        <v>0</v>
      </c>
      <c r="Q159" s="187">
        <f>'BLM STATS'!W180</f>
        <v>0</v>
      </c>
      <c r="R159" s="76"/>
      <c r="S159" s="503"/>
      <c r="T159" s="17"/>
      <c r="U159" s="501"/>
      <c r="V159" s="187"/>
      <c r="W159" s="82">
        <f>'BLM STATS'!Y183</f>
        <v>0</v>
      </c>
      <c r="X159" s="82">
        <f>'BLM STATS'!Z183</f>
        <v>0</v>
      </c>
    </row>
    <row r="160" spans="1:24" x14ac:dyDescent="0.25">
      <c r="A160" s="68">
        <f>'BLM STATS'!A184</f>
        <v>0</v>
      </c>
      <c r="B160" s="507">
        <f>'BLM STATS'!B184</f>
        <v>0</v>
      </c>
      <c r="C160" s="501">
        <f>'BLM STATS'!F184</f>
        <v>0</v>
      </c>
      <c r="D160" s="501">
        <f>'BLM STATS'!I184</f>
        <v>0</v>
      </c>
      <c r="E160" s="501">
        <f>'BLM STATS'!J184</f>
        <v>0</v>
      </c>
      <c r="F160" s="501">
        <f>'BLM STATS'!K184</f>
        <v>0</v>
      </c>
      <c r="G160" s="501">
        <f>'BLM STATS'!L184</f>
        <v>0</v>
      </c>
      <c r="H160" s="508">
        <f>'BLM STATS'!C184</f>
        <v>0</v>
      </c>
      <c r="I160" s="201">
        <f t="shared" si="5"/>
        <v>0</v>
      </c>
      <c r="J160" s="15">
        <f>'BLM STATS'!P184</f>
        <v>0</v>
      </c>
      <c r="K160" s="16">
        <f>'BLM STATS'!Q184</f>
        <v>0</v>
      </c>
      <c r="L160" s="17">
        <f>'BLM STATS'!R184</f>
        <v>0</v>
      </c>
      <c r="M160" s="502">
        <f>'BLM STATS'!S184</f>
        <v>0</v>
      </c>
      <c r="N160" s="18">
        <f>'BLM STATS'!T184</f>
        <v>0</v>
      </c>
      <c r="O160" s="19">
        <f>'BLM STATS'!U184</f>
        <v>0</v>
      </c>
      <c r="P160" s="41">
        <f>'BLM STATS'!V184</f>
        <v>0</v>
      </c>
      <c r="Q160" s="187">
        <f>'BLM STATS'!W181</f>
        <v>0</v>
      </c>
      <c r="R160" s="76"/>
      <c r="S160" s="503"/>
      <c r="T160" s="17"/>
      <c r="U160" s="501"/>
      <c r="V160" s="187"/>
      <c r="W160" s="82">
        <f>'BLM STATS'!Y184</f>
        <v>0</v>
      </c>
      <c r="X160" s="82">
        <f>'BLM STATS'!Z184</f>
        <v>0</v>
      </c>
    </row>
    <row r="161" spans="1:24" x14ac:dyDescent="0.25">
      <c r="A161" s="68">
        <f>'BLM STATS'!A185</f>
        <v>0</v>
      </c>
      <c r="B161" s="507">
        <f>'BLM STATS'!B185</f>
        <v>0</v>
      </c>
      <c r="C161" s="501">
        <f>'BLM STATS'!F185</f>
        <v>0</v>
      </c>
      <c r="D161" s="501">
        <f>'BLM STATS'!I185</f>
        <v>0</v>
      </c>
      <c r="E161" s="501">
        <f>'BLM STATS'!J185</f>
        <v>0</v>
      </c>
      <c r="F161" s="501">
        <f>'BLM STATS'!K185</f>
        <v>0</v>
      </c>
      <c r="G161" s="501">
        <f>'BLM STATS'!L185</f>
        <v>0</v>
      </c>
      <c r="H161" s="508">
        <f>'BLM STATS'!C185</f>
        <v>0</v>
      </c>
      <c r="I161" s="201">
        <f t="shared" si="5"/>
        <v>0</v>
      </c>
      <c r="J161" s="15">
        <f>'BLM STATS'!P185</f>
        <v>0</v>
      </c>
      <c r="K161" s="16">
        <f>'BLM STATS'!Q185</f>
        <v>0</v>
      </c>
      <c r="L161" s="17">
        <f>'BLM STATS'!R185</f>
        <v>0</v>
      </c>
      <c r="M161" s="502">
        <f>'BLM STATS'!S185</f>
        <v>0</v>
      </c>
      <c r="N161" s="18">
        <f>'BLM STATS'!T185</f>
        <v>0</v>
      </c>
      <c r="O161" s="19">
        <f>'BLM STATS'!U185</f>
        <v>0</v>
      </c>
      <c r="P161" s="41">
        <f>'BLM STATS'!V185</f>
        <v>0</v>
      </c>
      <c r="Q161" s="187">
        <f>'BLM STATS'!W182</f>
        <v>0</v>
      </c>
      <c r="R161" s="76"/>
      <c r="S161" s="503"/>
      <c r="T161" s="17"/>
      <c r="U161" s="501"/>
      <c r="V161" s="187"/>
      <c r="W161" s="82">
        <f>'BLM STATS'!Y185</f>
        <v>0</v>
      </c>
      <c r="X161" s="82">
        <f>'BLM STATS'!Z185</f>
        <v>0</v>
      </c>
    </row>
    <row r="162" spans="1:24" x14ac:dyDescent="0.25">
      <c r="A162" s="68">
        <f>'BLM STATS'!A186</f>
        <v>0</v>
      </c>
      <c r="B162" s="507">
        <f>'BLM STATS'!B186</f>
        <v>0</v>
      </c>
      <c r="C162" s="501">
        <f>'BLM STATS'!F186</f>
        <v>0</v>
      </c>
      <c r="D162" s="501">
        <f>'BLM STATS'!I186</f>
        <v>0</v>
      </c>
      <c r="E162" s="501">
        <f>'BLM STATS'!J186</f>
        <v>0</v>
      </c>
      <c r="F162" s="501">
        <f>'BLM STATS'!K186</f>
        <v>0</v>
      </c>
      <c r="G162" s="501">
        <f>'BLM STATS'!L186</f>
        <v>0</v>
      </c>
      <c r="H162" s="508">
        <f>'BLM STATS'!C186</f>
        <v>0</v>
      </c>
      <c r="I162" s="201">
        <f t="shared" si="5"/>
        <v>0</v>
      </c>
      <c r="J162" s="15">
        <f>'BLM STATS'!P186</f>
        <v>0</v>
      </c>
      <c r="K162" s="16">
        <f>'BLM STATS'!Q186</f>
        <v>0</v>
      </c>
      <c r="L162" s="17">
        <f>'BLM STATS'!R186</f>
        <v>0</v>
      </c>
      <c r="M162" s="502">
        <f>'BLM STATS'!S186</f>
        <v>0</v>
      </c>
      <c r="N162" s="18">
        <f>'BLM STATS'!T186</f>
        <v>0</v>
      </c>
      <c r="O162" s="19">
        <f>'BLM STATS'!U186</f>
        <v>0</v>
      </c>
      <c r="P162" s="41">
        <f>'BLM STATS'!V186</f>
        <v>0</v>
      </c>
      <c r="Q162" s="187">
        <f>'BLM STATS'!W183</f>
        <v>0</v>
      </c>
      <c r="R162" s="76"/>
      <c r="S162" s="503"/>
      <c r="T162" s="17"/>
      <c r="U162" s="501"/>
      <c r="V162" s="187"/>
      <c r="W162" s="82">
        <f>'BLM STATS'!Y186</f>
        <v>0</v>
      </c>
      <c r="X162" s="82">
        <f>'BLM STATS'!Z186</f>
        <v>0</v>
      </c>
    </row>
    <row r="163" spans="1:24" x14ac:dyDescent="0.25">
      <c r="A163" s="68">
        <f>'BLM STATS'!A187</f>
        <v>0</v>
      </c>
      <c r="B163" s="507">
        <f>'BLM STATS'!B187</f>
        <v>0</v>
      </c>
      <c r="C163" s="501">
        <f>'BLM STATS'!F187</f>
        <v>0</v>
      </c>
      <c r="D163" s="501">
        <f>'BLM STATS'!I187</f>
        <v>0</v>
      </c>
      <c r="E163" s="501">
        <f>'BLM STATS'!J187</f>
        <v>0</v>
      </c>
      <c r="F163" s="501">
        <f>'BLM STATS'!K187</f>
        <v>0</v>
      </c>
      <c r="G163" s="501">
        <f>'BLM STATS'!L187</f>
        <v>0</v>
      </c>
      <c r="H163" s="508">
        <f>'BLM STATS'!C187</f>
        <v>0</v>
      </c>
      <c r="I163" s="201">
        <f t="shared" si="5"/>
        <v>0</v>
      </c>
      <c r="J163" s="15">
        <f>'BLM STATS'!P187</f>
        <v>0</v>
      </c>
      <c r="K163" s="16">
        <f>'BLM STATS'!Q187</f>
        <v>0</v>
      </c>
      <c r="L163" s="17">
        <f>'BLM STATS'!R187</f>
        <v>0</v>
      </c>
      <c r="M163" s="502">
        <f>'BLM STATS'!S187</f>
        <v>0</v>
      </c>
      <c r="N163" s="18">
        <f>'BLM STATS'!T187</f>
        <v>0</v>
      </c>
      <c r="O163" s="19">
        <f>'BLM STATS'!U187</f>
        <v>0</v>
      </c>
      <c r="P163" s="41">
        <f>'BLM STATS'!V187</f>
        <v>0</v>
      </c>
      <c r="Q163" s="187">
        <f>'BLM STATS'!W184</f>
        <v>0</v>
      </c>
      <c r="R163" s="76"/>
      <c r="S163" s="503"/>
      <c r="T163" s="17"/>
      <c r="U163" s="501"/>
      <c r="V163" s="187"/>
      <c r="W163" s="82">
        <f>'BLM STATS'!Y187</f>
        <v>0</v>
      </c>
      <c r="X163" s="82">
        <f>'BLM STATS'!Z187</f>
        <v>0</v>
      </c>
    </row>
    <row r="164" spans="1:24" x14ac:dyDescent="0.25">
      <c r="A164" s="68">
        <f>'BLM STATS'!A188</f>
        <v>0</v>
      </c>
      <c r="B164" s="507">
        <f>'BLM STATS'!B188</f>
        <v>0</v>
      </c>
      <c r="C164" s="501">
        <f>'BLM STATS'!F188</f>
        <v>0</v>
      </c>
      <c r="D164" s="501">
        <f>'BLM STATS'!I188</f>
        <v>0</v>
      </c>
      <c r="E164" s="501">
        <f>'BLM STATS'!J188</f>
        <v>0</v>
      </c>
      <c r="F164" s="501">
        <f>'BLM STATS'!K188</f>
        <v>0</v>
      </c>
      <c r="G164" s="501">
        <f>'BLM STATS'!L188</f>
        <v>0</v>
      </c>
      <c r="H164" s="508">
        <f>'BLM STATS'!C188</f>
        <v>0</v>
      </c>
      <c r="I164" s="201">
        <f t="shared" si="5"/>
        <v>0</v>
      </c>
      <c r="J164" s="15">
        <f>'BLM STATS'!P188</f>
        <v>0</v>
      </c>
      <c r="K164" s="16">
        <f>'BLM STATS'!Q188</f>
        <v>0</v>
      </c>
      <c r="L164" s="17">
        <f>'BLM STATS'!R188</f>
        <v>0</v>
      </c>
      <c r="M164" s="502">
        <f>'BLM STATS'!S188</f>
        <v>0</v>
      </c>
      <c r="N164" s="18">
        <f>'BLM STATS'!T188</f>
        <v>0</v>
      </c>
      <c r="O164" s="19">
        <f>'BLM STATS'!U188</f>
        <v>0</v>
      </c>
      <c r="P164" s="41">
        <f>'BLM STATS'!V188</f>
        <v>0</v>
      </c>
      <c r="Q164" s="187">
        <f>'BLM STATS'!W185</f>
        <v>0</v>
      </c>
      <c r="R164" s="76"/>
      <c r="S164" s="503"/>
      <c r="T164" s="17"/>
      <c r="U164" s="501"/>
      <c r="V164" s="187"/>
      <c r="W164" s="82">
        <f>'BLM STATS'!Y188</f>
        <v>0</v>
      </c>
      <c r="X164" s="82">
        <f>'BLM STATS'!Z188</f>
        <v>0</v>
      </c>
    </row>
    <row r="165" spans="1:24" x14ac:dyDescent="0.25">
      <c r="A165" s="68">
        <f>'BLM STATS'!A189</f>
        <v>0</v>
      </c>
      <c r="B165" s="507">
        <f>'BLM STATS'!B189</f>
        <v>0</v>
      </c>
      <c r="C165" s="501">
        <f>'BLM STATS'!F189</f>
        <v>0</v>
      </c>
      <c r="D165" s="501">
        <f>'BLM STATS'!I189</f>
        <v>0</v>
      </c>
      <c r="E165" s="501">
        <f>'BLM STATS'!J189</f>
        <v>0</v>
      </c>
      <c r="F165" s="501">
        <f>'BLM STATS'!K189</f>
        <v>0</v>
      </c>
      <c r="G165" s="501">
        <f>'BLM STATS'!L189</f>
        <v>0</v>
      </c>
      <c r="H165" s="508">
        <f>'BLM STATS'!C189</f>
        <v>0</v>
      </c>
      <c r="I165" s="201">
        <f t="shared" si="5"/>
        <v>0</v>
      </c>
      <c r="J165" s="15">
        <f>'BLM STATS'!P189</f>
        <v>0</v>
      </c>
      <c r="K165" s="16">
        <f>'BLM STATS'!Q189</f>
        <v>0</v>
      </c>
      <c r="L165" s="17">
        <f>'BLM STATS'!R189</f>
        <v>0</v>
      </c>
      <c r="M165" s="502">
        <f>'BLM STATS'!S189</f>
        <v>0</v>
      </c>
      <c r="N165" s="18">
        <f>'BLM STATS'!T189</f>
        <v>0</v>
      </c>
      <c r="O165" s="19">
        <f>'BLM STATS'!U189</f>
        <v>0</v>
      </c>
      <c r="P165" s="41">
        <f>'BLM STATS'!V189</f>
        <v>0</v>
      </c>
      <c r="Q165" s="187">
        <f>'BLM STATS'!W186</f>
        <v>0</v>
      </c>
      <c r="R165" s="76"/>
      <c r="S165" s="503"/>
      <c r="T165" s="17"/>
      <c r="U165" s="501"/>
      <c r="V165" s="187"/>
      <c r="W165" s="82">
        <f>'BLM STATS'!Y189</f>
        <v>0</v>
      </c>
      <c r="X165" s="82">
        <f>'BLM STATS'!Z189</f>
        <v>0</v>
      </c>
    </row>
    <row r="166" spans="1:24" x14ac:dyDescent="0.25">
      <c r="A166" s="68">
        <f>'BLM STATS'!A190</f>
        <v>0</v>
      </c>
      <c r="B166" s="507">
        <f>'BLM STATS'!B190</f>
        <v>0</v>
      </c>
      <c r="C166" s="501">
        <f>'BLM STATS'!F190</f>
        <v>0</v>
      </c>
      <c r="D166" s="501">
        <f>'BLM STATS'!I190</f>
        <v>0</v>
      </c>
      <c r="E166" s="501">
        <f>'BLM STATS'!J190</f>
        <v>0</v>
      </c>
      <c r="F166" s="501">
        <f>'BLM STATS'!K190</f>
        <v>0</v>
      </c>
      <c r="G166" s="501">
        <f>'BLM STATS'!L190</f>
        <v>0</v>
      </c>
      <c r="H166" s="508">
        <f>'BLM STATS'!C190</f>
        <v>0</v>
      </c>
      <c r="I166" s="201">
        <f t="shared" si="5"/>
        <v>0</v>
      </c>
      <c r="J166" s="15">
        <f>'BLM STATS'!P190</f>
        <v>0</v>
      </c>
      <c r="K166" s="16">
        <f>'BLM STATS'!Q190</f>
        <v>0</v>
      </c>
      <c r="L166" s="17">
        <f>'BLM STATS'!R190</f>
        <v>0</v>
      </c>
      <c r="M166" s="502">
        <f>'BLM STATS'!S190</f>
        <v>0</v>
      </c>
      <c r="N166" s="18">
        <f>'BLM STATS'!T190</f>
        <v>0</v>
      </c>
      <c r="O166" s="19">
        <f>'BLM STATS'!U190</f>
        <v>0</v>
      </c>
      <c r="P166" s="41">
        <f>'BLM STATS'!V190</f>
        <v>0</v>
      </c>
      <c r="Q166" s="187">
        <f>'BLM STATS'!W187</f>
        <v>0</v>
      </c>
      <c r="R166" s="76"/>
      <c r="S166" s="503"/>
      <c r="T166" s="17"/>
      <c r="U166" s="501"/>
      <c r="V166" s="187"/>
      <c r="W166" s="82">
        <f>'BLM STATS'!Y190</f>
        <v>0</v>
      </c>
      <c r="X166" s="82">
        <f>'BLM STATS'!Z190</f>
        <v>0</v>
      </c>
    </row>
    <row r="167" spans="1:24" x14ac:dyDescent="0.25">
      <c r="A167" s="68">
        <f>'BLM STATS'!A191</f>
        <v>0</v>
      </c>
      <c r="B167" s="507">
        <f>'BLM STATS'!B191</f>
        <v>0</v>
      </c>
      <c r="C167" s="501">
        <f>'BLM STATS'!F191</f>
        <v>0</v>
      </c>
      <c r="D167" s="501">
        <f>'BLM STATS'!I191</f>
        <v>0</v>
      </c>
      <c r="E167" s="501">
        <f>'BLM STATS'!J191</f>
        <v>0</v>
      </c>
      <c r="F167" s="501">
        <f>'BLM STATS'!K191</f>
        <v>0</v>
      </c>
      <c r="G167" s="501">
        <f>'BLM STATS'!L191</f>
        <v>0</v>
      </c>
      <c r="H167" s="508">
        <f>'BLM STATS'!C191</f>
        <v>0</v>
      </c>
      <c r="I167" s="201">
        <f t="shared" si="5"/>
        <v>0</v>
      </c>
      <c r="J167" s="15">
        <f>'BLM STATS'!P191</f>
        <v>0</v>
      </c>
      <c r="K167" s="16">
        <f>'BLM STATS'!Q191</f>
        <v>0</v>
      </c>
      <c r="L167" s="17">
        <f>'BLM STATS'!R191</f>
        <v>0</v>
      </c>
      <c r="M167" s="502">
        <f>'BLM STATS'!S191</f>
        <v>0</v>
      </c>
      <c r="N167" s="18">
        <f>'BLM STATS'!T191</f>
        <v>0</v>
      </c>
      <c r="O167" s="19">
        <f>'BLM STATS'!U191</f>
        <v>0</v>
      </c>
      <c r="P167" s="41">
        <f>'BLM STATS'!V191</f>
        <v>0</v>
      </c>
      <c r="Q167" s="187">
        <f>'BLM STATS'!W188</f>
        <v>0</v>
      </c>
      <c r="R167" s="76"/>
      <c r="S167" s="503"/>
      <c r="T167" s="17"/>
      <c r="U167" s="501"/>
      <c r="V167" s="187"/>
      <c r="W167" s="82">
        <f>'BLM STATS'!Y191</f>
        <v>0</v>
      </c>
      <c r="X167" s="82">
        <f>'BLM STATS'!Z191</f>
        <v>0</v>
      </c>
    </row>
    <row r="168" spans="1:24" x14ac:dyDescent="0.25">
      <c r="A168" s="68">
        <f>'BLM STATS'!A192</f>
        <v>0</v>
      </c>
      <c r="B168" s="507">
        <f>'BLM STATS'!B192</f>
        <v>0</v>
      </c>
      <c r="C168" s="501">
        <f>'BLM STATS'!F192</f>
        <v>0</v>
      </c>
      <c r="D168" s="501">
        <f>'BLM STATS'!I192</f>
        <v>0</v>
      </c>
      <c r="E168" s="501">
        <f>'BLM STATS'!J192</f>
        <v>0</v>
      </c>
      <c r="F168" s="501">
        <f>'BLM STATS'!K192</f>
        <v>0</v>
      </c>
      <c r="G168" s="501">
        <f>'BLM STATS'!L192</f>
        <v>0</v>
      </c>
      <c r="H168" s="508">
        <f>'BLM STATS'!C192</f>
        <v>0</v>
      </c>
      <c r="I168" s="201">
        <f t="shared" si="5"/>
        <v>0</v>
      </c>
      <c r="J168" s="15">
        <f>'BLM STATS'!P192</f>
        <v>0</v>
      </c>
      <c r="K168" s="16">
        <f>'BLM STATS'!Q192</f>
        <v>0</v>
      </c>
      <c r="L168" s="17">
        <f>'BLM STATS'!R192</f>
        <v>0</v>
      </c>
      <c r="M168" s="502">
        <f>'BLM STATS'!S192</f>
        <v>0</v>
      </c>
      <c r="N168" s="18">
        <f>'BLM STATS'!T192</f>
        <v>0</v>
      </c>
      <c r="O168" s="19">
        <f>'BLM STATS'!U192</f>
        <v>0</v>
      </c>
      <c r="P168" s="41">
        <f>'BLM STATS'!V192</f>
        <v>0</v>
      </c>
      <c r="Q168" s="187">
        <f>'BLM STATS'!W189</f>
        <v>0</v>
      </c>
      <c r="R168" s="76"/>
      <c r="S168" s="503"/>
      <c r="T168" s="17"/>
      <c r="U168" s="501"/>
      <c r="V168" s="187"/>
      <c r="W168" s="82">
        <f>'BLM STATS'!Y192</f>
        <v>0</v>
      </c>
      <c r="X168" s="82">
        <f>'BLM STATS'!Z192</f>
        <v>0</v>
      </c>
    </row>
    <row r="169" spans="1:24" x14ac:dyDescent="0.25">
      <c r="A169" s="68">
        <f>'BLM STATS'!A193</f>
        <v>0</v>
      </c>
      <c r="B169" s="507">
        <f>'BLM STATS'!B193</f>
        <v>0</v>
      </c>
      <c r="C169" s="501">
        <f>'BLM STATS'!F193</f>
        <v>0</v>
      </c>
      <c r="D169" s="501">
        <f>'BLM STATS'!I193</f>
        <v>0</v>
      </c>
      <c r="E169" s="501">
        <f>'BLM STATS'!J193</f>
        <v>0</v>
      </c>
      <c r="F169" s="501">
        <f>'BLM STATS'!K193</f>
        <v>0</v>
      </c>
      <c r="G169" s="501">
        <f>'BLM STATS'!L193</f>
        <v>0</v>
      </c>
      <c r="H169" s="508">
        <f>'BLM STATS'!C193</f>
        <v>0</v>
      </c>
      <c r="I169" s="201">
        <f t="shared" si="5"/>
        <v>0</v>
      </c>
      <c r="J169" s="15">
        <f>'BLM STATS'!P193</f>
        <v>0</v>
      </c>
      <c r="K169" s="16">
        <f>'BLM STATS'!Q193</f>
        <v>0</v>
      </c>
      <c r="L169" s="17">
        <f>'BLM STATS'!R193</f>
        <v>0</v>
      </c>
      <c r="M169" s="502">
        <f>'BLM STATS'!S193</f>
        <v>0</v>
      </c>
      <c r="N169" s="18">
        <f>'BLM STATS'!T193</f>
        <v>0</v>
      </c>
      <c r="O169" s="19">
        <f>'BLM STATS'!U193</f>
        <v>0</v>
      </c>
      <c r="P169" s="41">
        <f>'BLM STATS'!V193</f>
        <v>0</v>
      </c>
      <c r="Q169" s="187">
        <f>'BLM STATS'!W190</f>
        <v>0</v>
      </c>
      <c r="R169" s="76"/>
      <c r="S169" s="503"/>
      <c r="T169" s="17"/>
      <c r="U169" s="501"/>
      <c r="V169" s="187"/>
      <c r="W169" s="82">
        <f>'BLM STATS'!Y193</f>
        <v>0</v>
      </c>
      <c r="X169" s="82">
        <f>'BLM STATS'!Z193</f>
        <v>0</v>
      </c>
    </row>
    <row r="170" spans="1:24" x14ac:dyDescent="0.25">
      <c r="A170" s="68">
        <f>'BLM STATS'!A194</f>
        <v>0</v>
      </c>
      <c r="B170" s="507">
        <f>'BLM STATS'!B194</f>
        <v>0</v>
      </c>
      <c r="C170" s="501">
        <f>'BLM STATS'!F194</f>
        <v>0</v>
      </c>
      <c r="D170" s="501">
        <f>'BLM STATS'!I194</f>
        <v>0</v>
      </c>
      <c r="E170" s="501">
        <f>'BLM STATS'!J194</f>
        <v>0</v>
      </c>
      <c r="F170" s="501">
        <f>'BLM STATS'!K194</f>
        <v>0</v>
      </c>
      <c r="G170" s="501">
        <f>'BLM STATS'!L194</f>
        <v>0</v>
      </c>
      <c r="H170" s="508">
        <f>'BLM STATS'!C194</f>
        <v>0</v>
      </c>
      <c r="I170" s="201">
        <f t="shared" si="5"/>
        <v>0</v>
      </c>
      <c r="J170" s="15">
        <f>'BLM STATS'!P194</f>
        <v>0</v>
      </c>
      <c r="K170" s="16">
        <f>'BLM STATS'!Q194</f>
        <v>0</v>
      </c>
      <c r="L170" s="17">
        <f>'BLM STATS'!R194</f>
        <v>0</v>
      </c>
      <c r="M170" s="502">
        <f>'BLM STATS'!S194</f>
        <v>0</v>
      </c>
      <c r="N170" s="18">
        <f>'BLM STATS'!T194</f>
        <v>0</v>
      </c>
      <c r="O170" s="19">
        <f>'BLM STATS'!U194</f>
        <v>0</v>
      </c>
      <c r="P170" s="41">
        <f>'BLM STATS'!V194</f>
        <v>0</v>
      </c>
      <c r="Q170" s="187">
        <f>'BLM STATS'!W191</f>
        <v>0</v>
      </c>
      <c r="R170" s="76"/>
      <c r="S170" s="503"/>
      <c r="T170" s="17"/>
      <c r="U170" s="501"/>
      <c r="V170" s="187"/>
      <c r="W170" s="82">
        <f>'BLM STATS'!Y194</f>
        <v>0</v>
      </c>
      <c r="X170" s="82">
        <f>'BLM STATS'!Z194</f>
        <v>0</v>
      </c>
    </row>
    <row r="171" spans="1:24" x14ac:dyDescent="0.25">
      <c r="A171" s="68">
        <f>'BLM STATS'!A195</f>
        <v>0</v>
      </c>
      <c r="B171" s="507">
        <f>'BLM STATS'!B195</f>
        <v>0</v>
      </c>
      <c r="C171" s="501">
        <f>'BLM STATS'!F195</f>
        <v>0</v>
      </c>
      <c r="D171" s="501">
        <f>'BLM STATS'!I195</f>
        <v>0</v>
      </c>
      <c r="E171" s="501">
        <f>'BLM STATS'!J195</f>
        <v>0</v>
      </c>
      <c r="F171" s="501">
        <f>'BLM STATS'!K195</f>
        <v>0</v>
      </c>
      <c r="G171" s="501">
        <f>'BLM STATS'!L195</f>
        <v>0</v>
      </c>
      <c r="H171" s="508">
        <f>'BLM STATS'!C195</f>
        <v>0</v>
      </c>
      <c r="I171" s="201">
        <f t="shared" si="5"/>
        <v>0</v>
      </c>
      <c r="J171" s="15">
        <f>'BLM STATS'!P195</f>
        <v>0</v>
      </c>
      <c r="K171" s="16">
        <f>'BLM STATS'!Q195</f>
        <v>0</v>
      </c>
      <c r="L171" s="17">
        <f>'BLM STATS'!R195</f>
        <v>0</v>
      </c>
      <c r="M171" s="502">
        <f>'BLM STATS'!S195</f>
        <v>0</v>
      </c>
      <c r="N171" s="18">
        <f>'BLM STATS'!T195</f>
        <v>0</v>
      </c>
      <c r="O171" s="19">
        <f>'BLM STATS'!U195</f>
        <v>0</v>
      </c>
      <c r="P171" s="41">
        <f>'BLM STATS'!V195</f>
        <v>0</v>
      </c>
      <c r="Q171" s="187">
        <f>'BLM STATS'!W192</f>
        <v>0</v>
      </c>
      <c r="R171" s="76"/>
      <c r="S171" s="503"/>
      <c r="T171" s="17"/>
      <c r="U171" s="501"/>
      <c r="V171" s="187"/>
      <c r="W171" s="82">
        <f>'BLM STATS'!Y195</f>
        <v>0</v>
      </c>
      <c r="X171" s="82">
        <f>'BLM STATS'!Z195</f>
        <v>0</v>
      </c>
    </row>
    <row r="172" spans="1:24" x14ac:dyDescent="0.25">
      <c r="A172" s="68">
        <f>'BLM STATS'!A196</f>
        <v>0</v>
      </c>
      <c r="B172" s="507">
        <f>'BLM STATS'!B196</f>
        <v>0</v>
      </c>
      <c r="C172" s="501">
        <f>'BLM STATS'!F196</f>
        <v>0</v>
      </c>
      <c r="D172" s="501">
        <f>'BLM STATS'!I196</f>
        <v>0</v>
      </c>
      <c r="E172" s="501">
        <f>'BLM STATS'!J196</f>
        <v>0</v>
      </c>
      <c r="F172" s="501">
        <f>'BLM STATS'!K196</f>
        <v>0</v>
      </c>
      <c r="G172" s="501">
        <f>'BLM STATS'!L196</f>
        <v>0</v>
      </c>
      <c r="H172" s="508">
        <f>'BLM STATS'!C196</f>
        <v>0</v>
      </c>
      <c r="I172" s="201">
        <f t="shared" si="5"/>
        <v>0</v>
      </c>
      <c r="J172" s="15">
        <f>'BLM STATS'!P196</f>
        <v>0</v>
      </c>
      <c r="K172" s="16">
        <f>'BLM STATS'!Q196</f>
        <v>0</v>
      </c>
      <c r="L172" s="17">
        <f>'BLM STATS'!R196</f>
        <v>0</v>
      </c>
      <c r="M172" s="502">
        <f>'BLM STATS'!S196</f>
        <v>0</v>
      </c>
      <c r="N172" s="18">
        <f>'BLM STATS'!T196</f>
        <v>0</v>
      </c>
      <c r="O172" s="19">
        <f>'BLM STATS'!U196</f>
        <v>0</v>
      </c>
      <c r="P172" s="41">
        <f>'BLM STATS'!V196</f>
        <v>0</v>
      </c>
      <c r="Q172" s="187">
        <f>'BLM STATS'!W193</f>
        <v>0</v>
      </c>
      <c r="R172" s="76"/>
      <c r="S172" s="503"/>
      <c r="T172" s="17"/>
      <c r="U172" s="501"/>
      <c r="V172" s="187"/>
      <c r="W172" s="82">
        <f>'BLM STATS'!Y196</f>
        <v>0</v>
      </c>
      <c r="X172" s="82">
        <f>'BLM STATS'!Z196</f>
        <v>0</v>
      </c>
    </row>
    <row r="173" spans="1:24" x14ac:dyDescent="0.25">
      <c r="A173" s="68">
        <f>'BLM STATS'!A197</f>
        <v>0</v>
      </c>
      <c r="B173" s="507">
        <f>'BLM STATS'!B197</f>
        <v>0</v>
      </c>
      <c r="C173" s="501">
        <f>'BLM STATS'!F197</f>
        <v>0</v>
      </c>
      <c r="D173" s="501">
        <f>'BLM STATS'!I197</f>
        <v>0</v>
      </c>
      <c r="E173" s="501">
        <f>'BLM STATS'!J197</f>
        <v>0</v>
      </c>
      <c r="F173" s="501">
        <f>'BLM STATS'!K197</f>
        <v>0</v>
      </c>
      <c r="G173" s="501">
        <f>'BLM STATS'!L197</f>
        <v>0</v>
      </c>
      <c r="H173" s="508">
        <f>'BLM STATS'!C197</f>
        <v>0</v>
      </c>
      <c r="I173" s="201">
        <f t="shared" si="5"/>
        <v>0</v>
      </c>
      <c r="J173" s="15">
        <f>'BLM STATS'!P197</f>
        <v>0</v>
      </c>
      <c r="K173" s="16">
        <f>'BLM STATS'!Q197</f>
        <v>0</v>
      </c>
      <c r="L173" s="17">
        <f>'BLM STATS'!R197</f>
        <v>0</v>
      </c>
      <c r="M173" s="502">
        <f>'BLM STATS'!S197</f>
        <v>0</v>
      </c>
      <c r="N173" s="18">
        <f>'BLM STATS'!T197</f>
        <v>0</v>
      </c>
      <c r="O173" s="19">
        <f>'BLM STATS'!U197</f>
        <v>0</v>
      </c>
      <c r="P173" s="41">
        <f>'BLM STATS'!V197</f>
        <v>0</v>
      </c>
      <c r="Q173" s="187">
        <f>'BLM STATS'!W194</f>
        <v>0</v>
      </c>
      <c r="R173" s="76"/>
      <c r="S173" s="503"/>
      <c r="T173" s="17"/>
      <c r="U173" s="501"/>
      <c r="V173" s="187"/>
      <c r="W173" s="82">
        <f>'BLM STATS'!Y197</f>
        <v>0</v>
      </c>
      <c r="X173" s="82">
        <f>'BLM STATS'!Z197</f>
        <v>0</v>
      </c>
    </row>
    <row r="174" spans="1:24" x14ac:dyDescent="0.25">
      <c r="A174" s="68">
        <f>'BLM STATS'!A198</f>
        <v>0</v>
      </c>
      <c r="B174" s="507">
        <f>'BLM STATS'!B198</f>
        <v>0</v>
      </c>
      <c r="C174" s="501">
        <f>'BLM STATS'!F198</f>
        <v>0</v>
      </c>
      <c r="D174" s="501">
        <f>'BLM STATS'!I198</f>
        <v>0</v>
      </c>
      <c r="E174" s="501">
        <f>'BLM STATS'!J198</f>
        <v>0</v>
      </c>
      <c r="F174" s="501">
        <f>'BLM STATS'!K198</f>
        <v>0</v>
      </c>
      <c r="G174" s="501">
        <f>'BLM STATS'!L198</f>
        <v>0</v>
      </c>
      <c r="H174" s="508">
        <f>'BLM STATS'!C198</f>
        <v>0</v>
      </c>
      <c r="I174" s="201">
        <f t="shared" si="5"/>
        <v>0</v>
      </c>
      <c r="J174" s="15">
        <f>'BLM STATS'!P198</f>
        <v>0</v>
      </c>
      <c r="K174" s="16">
        <f>'BLM STATS'!Q198</f>
        <v>0</v>
      </c>
      <c r="L174" s="17">
        <f>'BLM STATS'!R198</f>
        <v>0</v>
      </c>
      <c r="M174" s="502">
        <f>'BLM STATS'!S198</f>
        <v>0</v>
      </c>
      <c r="N174" s="18">
        <f>'BLM STATS'!T198</f>
        <v>0</v>
      </c>
      <c r="O174" s="19">
        <f>'BLM STATS'!U198</f>
        <v>0</v>
      </c>
      <c r="P174" s="41">
        <f>'BLM STATS'!V198</f>
        <v>0</v>
      </c>
      <c r="Q174" s="187">
        <f>'BLM STATS'!W195</f>
        <v>0</v>
      </c>
      <c r="R174" s="76"/>
      <c r="S174" s="503"/>
      <c r="T174" s="17"/>
      <c r="U174" s="501"/>
      <c r="V174" s="187"/>
      <c r="W174" s="82">
        <f>'BLM STATS'!Y198</f>
        <v>0</v>
      </c>
      <c r="X174" s="82">
        <f>'BLM STATS'!Z198</f>
        <v>0</v>
      </c>
    </row>
    <row r="175" spans="1:24" x14ac:dyDescent="0.25">
      <c r="A175" s="68">
        <f>'BLM STATS'!A199</f>
        <v>0</v>
      </c>
      <c r="B175" s="507">
        <f>'BLM STATS'!B199</f>
        <v>0</v>
      </c>
      <c r="C175" s="501">
        <f>'BLM STATS'!F199</f>
        <v>0</v>
      </c>
      <c r="D175" s="501">
        <f>'BLM STATS'!I199</f>
        <v>0</v>
      </c>
      <c r="E175" s="501">
        <f>'BLM STATS'!J199</f>
        <v>0</v>
      </c>
      <c r="F175" s="501">
        <f>'BLM STATS'!K199</f>
        <v>0</v>
      </c>
      <c r="G175" s="501">
        <f>'BLM STATS'!L199</f>
        <v>0</v>
      </c>
      <c r="H175" s="508">
        <f>'BLM STATS'!C199</f>
        <v>0</v>
      </c>
      <c r="I175" s="201">
        <f t="shared" si="5"/>
        <v>0</v>
      </c>
      <c r="J175" s="15">
        <f>'BLM STATS'!P199</f>
        <v>0</v>
      </c>
      <c r="K175" s="16">
        <f>'BLM STATS'!Q199</f>
        <v>0</v>
      </c>
      <c r="L175" s="17">
        <f>'BLM STATS'!R199</f>
        <v>0</v>
      </c>
      <c r="M175" s="502">
        <f>'BLM STATS'!S199</f>
        <v>0</v>
      </c>
      <c r="N175" s="18">
        <f>'BLM STATS'!T199</f>
        <v>0</v>
      </c>
      <c r="O175" s="19">
        <f>'BLM STATS'!U199</f>
        <v>0</v>
      </c>
      <c r="P175" s="41">
        <f>'BLM STATS'!V199</f>
        <v>0</v>
      </c>
      <c r="Q175" s="187">
        <f>'BLM STATS'!W196</f>
        <v>0</v>
      </c>
      <c r="R175" s="76"/>
      <c r="S175" s="503"/>
      <c r="T175" s="17"/>
      <c r="U175" s="501"/>
      <c r="V175" s="187"/>
      <c r="W175" s="82">
        <f>'BLM STATS'!Y199</f>
        <v>0</v>
      </c>
      <c r="X175" s="82">
        <f>'BLM STATS'!Z199</f>
        <v>0</v>
      </c>
    </row>
    <row r="176" spans="1:24" x14ac:dyDescent="0.25">
      <c r="A176" s="68">
        <f>'BLM STATS'!A200</f>
        <v>0</v>
      </c>
      <c r="B176" s="507">
        <f>'BLM STATS'!B200</f>
        <v>0</v>
      </c>
      <c r="C176" s="501">
        <f>'BLM STATS'!F200</f>
        <v>0</v>
      </c>
      <c r="D176" s="501">
        <f>'BLM STATS'!I200</f>
        <v>0</v>
      </c>
      <c r="E176" s="501">
        <f>'BLM STATS'!J200</f>
        <v>0</v>
      </c>
      <c r="F176" s="501">
        <f>'BLM STATS'!K200</f>
        <v>0</v>
      </c>
      <c r="G176" s="501">
        <f>'BLM STATS'!L200</f>
        <v>0</v>
      </c>
      <c r="H176" s="508">
        <f>'BLM STATS'!C200</f>
        <v>0</v>
      </c>
      <c r="I176" s="201">
        <f t="shared" si="5"/>
        <v>0</v>
      </c>
      <c r="J176" s="15">
        <f>'BLM STATS'!P200</f>
        <v>0</v>
      </c>
      <c r="K176" s="16">
        <f>'BLM STATS'!Q200</f>
        <v>0</v>
      </c>
      <c r="L176" s="17">
        <f>'BLM STATS'!R200</f>
        <v>0</v>
      </c>
      <c r="M176" s="502">
        <f>'BLM STATS'!S200</f>
        <v>0</v>
      </c>
      <c r="N176" s="18">
        <f>'BLM STATS'!T200</f>
        <v>0</v>
      </c>
      <c r="O176" s="19">
        <f>'BLM STATS'!U200</f>
        <v>0</v>
      </c>
      <c r="P176" s="41">
        <f>'BLM STATS'!V200</f>
        <v>0</v>
      </c>
      <c r="Q176" s="187">
        <f>'BLM STATS'!W197</f>
        <v>0</v>
      </c>
      <c r="R176" s="76"/>
      <c r="S176" s="503"/>
      <c r="T176" s="17"/>
      <c r="U176" s="501"/>
      <c r="V176" s="187"/>
      <c r="W176" s="82">
        <f>'BLM STATS'!Y200</f>
        <v>0</v>
      </c>
      <c r="X176" s="82">
        <f>'BLM STATS'!Z200</f>
        <v>0</v>
      </c>
    </row>
    <row r="177" spans="1:24" x14ac:dyDescent="0.25">
      <c r="A177" s="68">
        <f>'BLM STATS'!A201</f>
        <v>0</v>
      </c>
      <c r="B177" s="507">
        <f>'BLM STATS'!B201</f>
        <v>0</v>
      </c>
      <c r="C177" s="501">
        <f>'BLM STATS'!F201</f>
        <v>0</v>
      </c>
      <c r="D177" s="501">
        <f>'BLM STATS'!I201</f>
        <v>0</v>
      </c>
      <c r="E177" s="501">
        <f>'BLM STATS'!J201</f>
        <v>0</v>
      </c>
      <c r="F177" s="501">
        <f>'BLM STATS'!K201</f>
        <v>0</v>
      </c>
      <c r="G177" s="501">
        <f>'BLM STATS'!L201</f>
        <v>0</v>
      </c>
      <c r="H177" s="508">
        <f>'BLM STATS'!C201</f>
        <v>0</v>
      </c>
      <c r="I177" s="201">
        <f t="shared" si="5"/>
        <v>0</v>
      </c>
      <c r="J177" s="15">
        <f>'BLM STATS'!P201</f>
        <v>0</v>
      </c>
      <c r="K177" s="16">
        <f>'BLM STATS'!Q201</f>
        <v>0</v>
      </c>
      <c r="L177" s="17">
        <f>'BLM STATS'!R201</f>
        <v>0</v>
      </c>
      <c r="M177" s="502">
        <f>'BLM STATS'!S201</f>
        <v>0</v>
      </c>
      <c r="N177" s="18">
        <f>'BLM STATS'!T201</f>
        <v>0</v>
      </c>
      <c r="O177" s="19">
        <f>'BLM STATS'!U201</f>
        <v>0</v>
      </c>
      <c r="P177" s="41">
        <f>'BLM STATS'!V201</f>
        <v>0</v>
      </c>
      <c r="Q177" s="187">
        <f>'BLM STATS'!W198</f>
        <v>0</v>
      </c>
      <c r="R177" s="76"/>
      <c r="S177" s="503"/>
      <c r="T177" s="17"/>
      <c r="U177" s="501"/>
      <c r="V177" s="187"/>
      <c r="W177" s="82">
        <f>'BLM STATS'!Y201</f>
        <v>0</v>
      </c>
      <c r="X177" s="82">
        <f>'BLM STATS'!Z201</f>
        <v>0</v>
      </c>
    </row>
    <row r="178" spans="1:24" x14ac:dyDescent="0.25">
      <c r="A178" s="68">
        <f>'BLM STATS'!A202</f>
        <v>0</v>
      </c>
      <c r="B178" s="507">
        <f>'BLM STATS'!B202</f>
        <v>0</v>
      </c>
      <c r="C178" s="501">
        <f>'BLM STATS'!F202</f>
        <v>0</v>
      </c>
      <c r="D178" s="501">
        <f>'BLM STATS'!I202</f>
        <v>0</v>
      </c>
      <c r="E178" s="501">
        <f>'BLM STATS'!J202</f>
        <v>0</v>
      </c>
      <c r="F178" s="501">
        <f>'BLM STATS'!K202</f>
        <v>0</v>
      </c>
      <c r="G178" s="501">
        <f>'BLM STATS'!L202</f>
        <v>0</v>
      </c>
      <c r="H178" s="508">
        <f>'BLM STATS'!C202</f>
        <v>0</v>
      </c>
      <c r="I178" s="201">
        <f t="shared" si="5"/>
        <v>0</v>
      </c>
      <c r="J178" s="15">
        <f>'BLM STATS'!P202</f>
        <v>0</v>
      </c>
      <c r="K178" s="16">
        <f>'BLM STATS'!Q202</f>
        <v>0</v>
      </c>
      <c r="L178" s="17">
        <f>'BLM STATS'!R202</f>
        <v>0</v>
      </c>
      <c r="M178" s="502">
        <f>'BLM STATS'!S202</f>
        <v>0</v>
      </c>
      <c r="N178" s="18">
        <f>'BLM STATS'!T202</f>
        <v>0</v>
      </c>
      <c r="O178" s="19">
        <f>'BLM STATS'!U202</f>
        <v>0</v>
      </c>
      <c r="P178" s="41">
        <f>'BLM STATS'!V202</f>
        <v>0</v>
      </c>
      <c r="Q178" s="187">
        <f>'BLM STATS'!W199</f>
        <v>0</v>
      </c>
      <c r="R178" s="76"/>
      <c r="S178" s="503"/>
      <c r="T178" s="17"/>
      <c r="U178" s="501"/>
      <c r="V178" s="187"/>
      <c r="W178" s="82">
        <f>'BLM STATS'!Y202</f>
        <v>0</v>
      </c>
      <c r="X178" s="82">
        <f>'BLM STATS'!Z202</f>
        <v>0</v>
      </c>
    </row>
    <row r="179" spans="1:24" x14ac:dyDescent="0.25">
      <c r="A179" s="68">
        <f>'BLM STATS'!A203</f>
        <v>0</v>
      </c>
      <c r="B179" s="507">
        <f>'BLM STATS'!B203</f>
        <v>0</v>
      </c>
      <c r="C179" s="501">
        <f>'BLM STATS'!F203</f>
        <v>0</v>
      </c>
      <c r="D179" s="501">
        <f>'BLM STATS'!I203</f>
        <v>0</v>
      </c>
      <c r="E179" s="501">
        <f>'BLM STATS'!J203</f>
        <v>0</v>
      </c>
      <c r="F179" s="501">
        <f>'BLM STATS'!K203</f>
        <v>0</v>
      </c>
      <c r="G179" s="501">
        <f>'BLM STATS'!L203</f>
        <v>0</v>
      </c>
      <c r="H179" s="508">
        <f>'BLM STATS'!C203</f>
        <v>0</v>
      </c>
      <c r="I179" s="201">
        <f t="shared" si="5"/>
        <v>0</v>
      </c>
      <c r="J179" s="15">
        <f>'BLM STATS'!P203</f>
        <v>0</v>
      </c>
      <c r="K179" s="16">
        <f>'BLM STATS'!Q203</f>
        <v>0</v>
      </c>
      <c r="L179" s="17">
        <f>'BLM STATS'!R203</f>
        <v>0</v>
      </c>
      <c r="M179" s="502">
        <f>'BLM STATS'!S203</f>
        <v>0</v>
      </c>
      <c r="N179" s="18">
        <f>'BLM STATS'!T203</f>
        <v>0</v>
      </c>
      <c r="O179" s="19">
        <f>'BLM STATS'!U203</f>
        <v>0</v>
      </c>
      <c r="P179" s="41">
        <f>'BLM STATS'!V203</f>
        <v>0</v>
      </c>
      <c r="Q179" s="187">
        <f>'BLM STATS'!W200</f>
        <v>0</v>
      </c>
      <c r="R179" s="76"/>
      <c r="S179" s="503"/>
      <c r="T179" s="17"/>
      <c r="U179" s="501"/>
      <c r="V179" s="187"/>
      <c r="W179" s="82">
        <f>'BLM STATS'!Y203</f>
        <v>0</v>
      </c>
      <c r="X179" s="82">
        <f>'BLM STATS'!Z203</f>
        <v>0</v>
      </c>
    </row>
    <row r="180" spans="1:24" x14ac:dyDescent="0.25">
      <c r="A180" s="68">
        <f>'BLM STATS'!A204</f>
        <v>0</v>
      </c>
      <c r="B180" s="507">
        <f>'BLM STATS'!B204</f>
        <v>0</v>
      </c>
      <c r="C180" s="501">
        <f>'BLM STATS'!F204</f>
        <v>0</v>
      </c>
      <c r="D180" s="501">
        <f>'BLM STATS'!I204</f>
        <v>0</v>
      </c>
      <c r="E180" s="501">
        <f>'BLM STATS'!J204</f>
        <v>0</v>
      </c>
      <c r="F180" s="501">
        <f>'BLM STATS'!K204</f>
        <v>0</v>
      </c>
      <c r="G180" s="501">
        <f>'BLM STATS'!L204</f>
        <v>0</v>
      </c>
      <c r="H180" s="508">
        <f>'BLM STATS'!C204</f>
        <v>0</v>
      </c>
      <c r="I180" s="201">
        <f t="shared" si="5"/>
        <v>0</v>
      </c>
      <c r="J180" s="15">
        <f>'BLM STATS'!P204</f>
        <v>0</v>
      </c>
      <c r="K180" s="16">
        <f>'BLM STATS'!Q204</f>
        <v>0</v>
      </c>
      <c r="L180" s="17">
        <f>'BLM STATS'!R204</f>
        <v>0</v>
      </c>
      <c r="M180" s="502">
        <f>'BLM STATS'!S204</f>
        <v>0</v>
      </c>
      <c r="N180" s="18">
        <f>'BLM STATS'!T204</f>
        <v>0</v>
      </c>
      <c r="O180" s="19">
        <f>'BLM STATS'!U204</f>
        <v>0</v>
      </c>
      <c r="P180" s="41">
        <f>'BLM STATS'!V204</f>
        <v>0</v>
      </c>
      <c r="Q180" s="187">
        <f>'BLM STATS'!W201</f>
        <v>0</v>
      </c>
      <c r="R180" s="76"/>
      <c r="S180" s="503"/>
      <c r="T180" s="17"/>
      <c r="U180" s="501"/>
      <c r="V180" s="187"/>
      <c r="W180" s="82">
        <f>'BLM STATS'!Y204</f>
        <v>0</v>
      </c>
      <c r="X180" s="82">
        <f>'BLM STATS'!Z204</f>
        <v>0</v>
      </c>
    </row>
    <row r="181" spans="1:24" x14ac:dyDescent="0.25">
      <c r="A181" s="68">
        <f>'BLM STATS'!A205</f>
        <v>0</v>
      </c>
      <c r="B181" s="507">
        <f>'BLM STATS'!B205</f>
        <v>0</v>
      </c>
      <c r="C181" s="501">
        <f>'BLM STATS'!F205</f>
        <v>0</v>
      </c>
      <c r="D181" s="501">
        <f>'BLM STATS'!I205</f>
        <v>0</v>
      </c>
      <c r="E181" s="501">
        <f>'BLM STATS'!J205</f>
        <v>0</v>
      </c>
      <c r="F181" s="501">
        <f>'BLM STATS'!K205</f>
        <v>0</v>
      </c>
      <c r="G181" s="501">
        <f>'BLM STATS'!L205</f>
        <v>0</v>
      </c>
      <c r="H181" s="508">
        <f>'BLM STATS'!C205</f>
        <v>0</v>
      </c>
      <c r="I181" s="201">
        <f t="shared" si="5"/>
        <v>0</v>
      </c>
      <c r="J181" s="15">
        <f>'BLM STATS'!P205</f>
        <v>0</v>
      </c>
      <c r="K181" s="16">
        <f>'BLM STATS'!Q205</f>
        <v>0</v>
      </c>
      <c r="L181" s="17">
        <f>'BLM STATS'!R205</f>
        <v>0</v>
      </c>
      <c r="M181" s="502">
        <f>'BLM STATS'!S205</f>
        <v>0</v>
      </c>
      <c r="N181" s="18">
        <f>'BLM STATS'!T205</f>
        <v>0</v>
      </c>
      <c r="O181" s="19">
        <f>'BLM STATS'!U205</f>
        <v>0</v>
      </c>
      <c r="P181" s="41">
        <f>'BLM STATS'!V205</f>
        <v>0</v>
      </c>
      <c r="Q181" s="187">
        <f>'BLM STATS'!W202</f>
        <v>0</v>
      </c>
      <c r="R181" s="76"/>
      <c r="S181" s="503"/>
      <c r="T181" s="17"/>
      <c r="U181" s="501"/>
      <c r="V181" s="187"/>
      <c r="W181" s="82">
        <f>'BLM STATS'!Y205</f>
        <v>0</v>
      </c>
      <c r="X181" s="82">
        <f>'BLM STATS'!Z205</f>
        <v>0</v>
      </c>
    </row>
    <row r="182" spans="1:24" x14ac:dyDescent="0.25">
      <c r="A182" s="68">
        <f>'BLM STATS'!A206</f>
        <v>0</v>
      </c>
      <c r="B182" s="507">
        <f>'BLM STATS'!B206</f>
        <v>0</v>
      </c>
      <c r="C182" s="501">
        <f>'BLM STATS'!F206</f>
        <v>0</v>
      </c>
      <c r="D182" s="501">
        <f>'BLM STATS'!I206</f>
        <v>0</v>
      </c>
      <c r="E182" s="501">
        <f>'BLM STATS'!J206</f>
        <v>0</v>
      </c>
      <c r="F182" s="501">
        <f>'BLM STATS'!K206</f>
        <v>0</v>
      </c>
      <c r="G182" s="501">
        <f>'BLM STATS'!L206</f>
        <v>0</v>
      </c>
      <c r="H182" s="508">
        <f>'BLM STATS'!C206</f>
        <v>0</v>
      </c>
      <c r="I182" s="201">
        <f t="shared" si="5"/>
        <v>0</v>
      </c>
      <c r="J182" s="15">
        <f>'BLM STATS'!P206</f>
        <v>0</v>
      </c>
      <c r="K182" s="16">
        <f>'BLM STATS'!Q206</f>
        <v>0</v>
      </c>
      <c r="L182" s="17">
        <f>'BLM STATS'!R206</f>
        <v>0</v>
      </c>
      <c r="M182" s="502">
        <f>'BLM STATS'!S206</f>
        <v>0</v>
      </c>
      <c r="N182" s="18">
        <f>'BLM STATS'!T206</f>
        <v>0</v>
      </c>
      <c r="O182" s="19">
        <f>'BLM STATS'!U206</f>
        <v>0</v>
      </c>
      <c r="P182" s="41">
        <f>'BLM STATS'!V206</f>
        <v>0</v>
      </c>
      <c r="Q182" s="187">
        <f>'BLM STATS'!W203</f>
        <v>0</v>
      </c>
      <c r="R182" s="76"/>
      <c r="S182" s="503"/>
      <c r="T182" s="17"/>
      <c r="U182" s="501"/>
      <c r="V182" s="187"/>
      <c r="W182" s="82">
        <f>'BLM STATS'!Y206</f>
        <v>0</v>
      </c>
      <c r="X182" s="82">
        <f>'BLM STATS'!Z206</f>
        <v>0</v>
      </c>
    </row>
    <row r="183" spans="1:24" x14ac:dyDescent="0.25">
      <c r="A183" s="68">
        <f>'BLM STATS'!A207</f>
        <v>0</v>
      </c>
      <c r="B183" s="507">
        <f>'BLM STATS'!B207</f>
        <v>0</v>
      </c>
      <c r="C183" s="501">
        <f>'BLM STATS'!F207</f>
        <v>0</v>
      </c>
      <c r="D183" s="501">
        <f>'BLM STATS'!I207</f>
        <v>0</v>
      </c>
      <c r="E183" s="501">
        <f>'BLM STATS'!J207</f>
        <v>0</v>
      </c>
      <c r="F183" s="501">
        <f>'BLM STATS'!K207</f>
        <v>0</v>
      </c>
      <c r="G183" s="501">
        <f>'BLM STATS'!L207</f>
        <v>0</v>
      </c>
      <c r="H183" s="508">
        <f>'BLM STATS'!C207</f>
        <v>0</v>
      </c>
      <c r="I183" s="201">
        <f t="shared" si="5"/>
        <v>0</v>
      </c>
      <c r="J183" s="15">
        <f>'BLM STATS'!P207</f>
        <v>0</v>
      </c>
      <c r="K183" s="16">
        <f>'BLM STATS'!Q207</f>
        <v>0</v>
      </c>
      <c r="L183" s="17">
        <f>'BLM STATS'!R207</f>
        <v>0</v>
      </c>
      <c r="M183" s="502">
        <f>'BLM STATS'!S207</f>
        <v>0</v>
      </c>
      <c r="N183" s="18">
        <f>'BLM STATS'!T207</f>
        <v>0</v>
      </c>
      <c r="O183" s="19">
        <f>'BLM STATS'!U207</f>
        <v>0</v>
      </c>
      <c r="P183" s="41">
        <f>'BLM STATS'!V207</f>
        <v>0</v>
      </c>
      <c r="Q183" s="187">
        <f>'BLM STATS'!W204</f>
        <v>0</v>
      </c>
      <c r="R183" s="76"/>
      <c r="S183" s="503"/>
      <c r="T183" s="17"/>
      <c r="U183" s="501"/>
      <c r="V183" s="187"/>
      <c r="W183" s="82">
        <f>'BLM STATS'!Y207</f>
        <v>0</v>
      </c>
      <c r="X183" s="82">
        <f>'BLM STATS'!Z207</f>
        <v>0</v>
      </c>
    </row>
    <row r="184" spans="1:24" x14ac:dyDescent="0.25">
      <c r="A184" s="68">
        <f>'BLM STATS'!A208</f>
        <v>0</v>
      </c>
      <c r="B184" s="507">
        <f>'BLM STATS'!B208</f>
        <v>0</v>
      </c>
      <c r="C184" s="501">
        <f>'BLM STATS'!F208</f>
        <v>0</v>
      </c>
      <c r="D184" s="501">
        <f>'BLM STATS'!I208</f>
        <v>0</v>
      </c>
      <c r="E184" s="501">
        <f>'BLM STATS'!J208</f>
        <v>0</v>
      </c>
      <c r="F184" s="501">
        <f>'BLM STATS'!K208</f>
        <v>0</v>
      </c>
      <c r="G184" s="501">
        <f>'BLM STATS'!L208</f>
        <v>0</v>
      </c>
      <c r="H184" s="508">
        <f>'BLM STATS'!C208</f>
        <v>0</v>
      </c>
      <c r="I184" s="201">
        <f t="shared" si="5"/>
        <v>0</v>
      </c>
      <c r="J184" s="15">
        <f>'BLM STATS'!P208</f>
        <v>0</v>
      </c>
      <c r="K184" s="16">
        <f>'BLM STATS'!Q208</f>
        <v>0</v>
      </c>
      <c r="L184" s="17">
        <f>'BLM STATS'!R208</f>
        <v>0</v>
      </c>
      <c r="M184" s="502">
        <f>'BLM STATS'!S208</f>
        <v>0</v>
      </c>
      <c r="N184" s="18">
        <f>'BLM STATS'!T208</f>
        <v>0</v>
      </c>
      <c r="O184" s="19">
        <f>'BLM STATS'!U208</f>
        <v>0</v>
      </c>
      <c r="P184" s="41">
        <f>'BLM STATS'!V208</f>
        <v>0</v>
      </c>
      <c r="Q184" s="187">
        <f>'BLM STATS'!W205</f>
        <v>0</v>
      </c>
      <c r="R184" s="76"/>
      <c r="S184" s="503"/>
      <c r="T184" s="17"/>
      <c r="U184" s="501"/>
      <c r="V184" s="187"/>
      <c r="W184" s="82">
        <f>'BLM STATS'!Y208</f>
        <v>0</v>
      </c>
      <c r="X184" s="82">
        <f>'BLM STATS'!Z208</f>
        <v>0</v>
      </c>
    </row>
    <row r="185" spans="1:24" x14ac:dyDescent="0.25">
      <c r="A185" s="68">
        <f>'BLM STATS'!A209</f>
        <v>0</v>
      </c>
      <c r="B185" s="507">
        <f>'BLM STATS'!B209</f>
        <v>0</v>
      </c>
      <c r="C185" s="501">
        <f>'BLM STATS'!F209</f>
        <v>0</v>
      </c>
      <c r="D185" s="501">
        <f>'BLM STATS'!I209</f>
        <v>0</v>
      </c>
      <c r="E185" s="501">
        <f>'BLM STATS'!J209</f>
        <v>0</v>
      </c>
      <c r="F185" s="501">
        <f>'BLM STATS'!K209</f>
        <v>0</v>
      </c>
      <c r="G185" s="501">
        <f>'BLM STATS'!L209</f>
        <v>0</v>
      </c>
      <c r="H185" s="508">
        <f>'BLM STATS'!C209</f>
        <v>0</v>
      </c>
      <c r="I185" s="201">
        <f t="shared" si="5"/>
        <v>0</v>
      </c>
      <c r="J185" s="15">
        <f>'BLM STATS'!P209</f>
        <v>0</v>
      </c>
      <c r="K185" s="16">
        <f>'BLM STATS'!Q209</f>
        <v>0</v>
      </c>
      <c r="L185" s="17">
        <f>'BLM STATS'!R209</f>
        <v>0</v>
      </c>
      <c r="M185" s="502">
        <f>'BLM STATS'!S209</f>
        <v>0</v>
      </c>
      <c r="N185" s="18">
        <f>'BLM STATS'!T209</f>
        <v>0</v>
      </c>
      <c r="O185" s="19">
        <f>'BLM STATS'!U209</f>
        <v>0</v>
      </c>
      <c r="P185" s="41">
        <f>'BLM STATS'!V209</f>
        <v>0</v>
      </c>
      <c r="Q185" s="187">
        <f>'BLM STATS'!W206</f>
        <v>0</v>
      </c>
      <c r="R185" s="76"/>
      <c r="S185" s="503"/>
      <c r="T185" s="17"/>
      <c r="U185" s="501"/>
      <c r="V185" s="187"/>
      <c r="W185" s="82">
        <f>'BLM STATS'!Y209</f>
        <v>0</v>
      </c>
      <c r="X185" s="82">
        <f>'BLM STATS'!Z209</f>
        <v>0</v>
      </c>
    </row>
    <row r="186" spans="1:24" x14ac:dyDescent="0.25">
      <c r="A186" s="68">
        <f>'BLM STATS'!A210</f>
        <v>0</v>
      </c>
      <c r="B186" s="507">
        <f>'BLM STATS'!B210</f>
        <v>0</v>
      </c>
      <c r="C186" s="501">
        <f>'BLM STATS'!F210</f>
        <v>0</v>
      </c>
      <c r="D186" s="501">
        <f>'BLM STATS'!I210</f>
        <v>0</v>
      </c>
      <c r="E186" s="501">
        <f>'BLM STATS'!J210</f>
        <v>0</v>
      </c>
      <c r="F186" s="501">
        <f>'BLM STATS'!K210</f>
        <v>0</v>
      </c>
      <c r="G186" s="501">
        <f>'BLM STATS'!L210</f>
        <v>0</v>
      </c>
      <c r="H186" s="508">
        <f>'BLM STATS'!C210</f>
        <v>0</v>
      </c>
      <c r="I186" s="201">
        <f t="shared" si="5"/>
        <v>0</v>
      </c>
      <c r="J186" s="15">
        <f>'BLM STATS'!P210</f>
        <v>0</v>
      </c>
      <c r="K186" s="16">
        <f>'BLM STATS'!Q210</f>
        <v>0</v>
      </c>
      <c r="L186" s="17">
        <f>'BLM STATS'!R210</f>
        <v>0</v>
      </c>
      <c r="M186" s="502">
        <f>'BLM STATS'!S210</f>
        <v>0</v>
      </c>
      <c r="N186" s="18">
        <f>'BLM STATS'!T210</f>
        <v>0</v>
      </c>
      <c r="O186" s="19">
        <f>'BLM STATS'!U210</f>
        <v>0</v>
      </c>
      <c r="P186" s="41">
        <f>'BLM STATS'!V210</f>
        <v>0</v>
      </c>
      <c r="Q186" s="187">
        <f>'BLM STATS'!W207</f>
        <v>0</v>
      </c>
      <c r="R186" s="76"/>
      <c r="S186" s="503"/>
      <c r="T186" s="17"/>
      <c r="U186" s="501"/>
      <c r="V186" s="187"/>
      <c r="W186" s="82">
        <f>'BLM STATS'!Y210</f>
        <v>0</v>
      </c>
      <c r="X186" s="82">
        <f>'BLM STATS'!Z210</f>
        <v>0</v>
      </c>
    </row>
    <row r="187" spans="1:24" x14ac:dyDescent="0.25">
      <c r="A187" s="68">
        <f>'BLM STATS'!A211</f>
        <v>0</v>
      </c>
      <c r="B187" s="507">
        <f>'BLM STATS'!B211</f>
        <v>0</v>
      </c>
      <c r="C187" s="501">
        <f>'BLM STATS'!F211</f>
        <v>0</v>
      </c>
      <c r="D187" s="501">
        <f>'BLM STATS'!I211</f>
        <v>0</v>
      </c>
      <c r="E187" s="501">
        <f>'BLM STATS'!J211</f>
        <v>0</v>
      </c>
      <c r="F187" s="501">
        <f>'BLM STATS'!K211</f>
        <v>0</v>
      </c>
      <c r="G187" s="501">
        <f>'BLM STATS'!L211</f>
        <v>0</v>
      </c>
      <c r="H187" s="508">
        <f>'BLM STATS'!C211</f>
        <v>0</v>
      </c>
      <c r="I187" s="201">
        <f t="shared" si="5"/>
        <v>0</v>
      </c>
      <c r="J187" s="15">
        <f>'BLM STATS'!P211</f>
        <v>0</v>
      </c>
      <c r="K187" s="16">
        <f>'BLM STATS'!Q211</f>
        <v>0</v>
      </c>
      <c r="L187" s="17">
        <f>'BLM STATS'!R211</f>
        <v>0</v>
      </c>
      <c r="M187" s="502">
        <f>'BLM STATS'!S211</f>
        <v>0</v>
      </c>
      <c r="N187" s="18">
        <f>'BLM STATS'!T211</f>
        <v>0</v>
      </c>
      <c r="O187" s="19">
        <f>'BLM STATS'!U211</f>
        <v>0</v>
      </c>
      <c r="P187" s="41">
        <f>'BLM STATS'!V211</f>
        <v>0</v>
      </c>
      <c r="Q187" s="187">
        <f>'BLM STATS'!W208</f>
        <v>0</v>
      </c>
      <c r="R187" s="76"/>
      <c r="S187" s="503"/>
      <c r="T187" s="17"/>
      <c r="U187" s="501"/>
      <c r="V187" s="187"/>
      <c r="W187" s="82">
        <f>'BLM STATS'!Y211</f>
        <v>0</v>
      </c>
      <c r="X187" s="82">
        <f>'BLM STATS'!Z211</f>
        <v>0</v>
      </c>
    </row>
    <row r="188" spans="1:24" x14ac:dyDescent="0.25">
      <c r="A188" s="68">
        <f>'BLM STATS'!A212</f>
        <v>0</v>
      </c>
      <c r="B188" s="507">
        <f>'BLM STATS'!B212</f>
        <v>0</v>
      </c>
      <c r="C188" s="501">
        <f>'BLM STATS'!F212</f>
        <v>0</v>
      </c>
      <c r="D188" s="501">
        <f>'BLM STATS'!I212</f>
        <v>0</v>
      </c>
      <c r="E188" s="501">
        <f>'BLM STATS'!J212</f>
        <v>0</v>
      </c>
      <c r="F188" s="501">
        <f>'BLM STATS'!K212</f>
        <v>0</v>
      </c>
      <c r="G188" s="501">
        <f>'BLM STATS'!L212</f>
        <v>0</v>
      </c>
      <c r="H188" s="508">
        <f>'BLM STATS'!C212</f>
        <v>0</v>
      </c>
      <c r="I188" s="201">
        <f t="shared" ref="I188:I231" si="6">SUM(J188:X188)</f>
        <v>0</v>
      </c>
      <c r="J188" s="15">
        <f>'BLM STATS'!P212</f>
        <v>0</v>
      </c>
      <c r="K188" s="16">
        <f>'BLM STATS'!Q212</f>
        <v>0</v>
      </c>
      <c r="L188" s="17">
        <f>'BLM STATS'!R212</f>
        <v>0</v>
      </c>
      <c r="M188" s="502">
        <f>'BLM STATS'!S212</f>
        <v>0</v>
      </c>
      <c r="N188" s="18">
        <f>'BLM STATS'!T212</f>
        <v>0</v>
      </c>
      <c r="O188" s="19">
        <f>'BLM STATS'!U212</f>
        <v>0</v>
      </c>
      <c r="P188" s="41">
        <f>'BLM STATS'!V212</f>
        <v>0</v>
      </c>
      <c r="Q188" s="187">
        <f>'BLM STATS'!W209</f>
        <v>0</v>
      </c>
      <c r="R188" s="76"/>
      <c r="S188" s="503"/>
      <c r="T188" s="17"/>
      <c r="U188" s="501"/>
      <c r="V188" s="187"/>
      <c r="W188" s="82">
        <f>'BLM STATS'!Y212</f>
        <v>0</v>
      </c>
      <c r="X188" s="82">
        <f>'BLM STATS'!Z212</f>
        <v>0</v>
      </c>
    </row>
    <row r="189" spans="1:24" x14ac:dyDescent="0.25">
      <c r="A189" s="68">
        <f>'BLM STATS'!A213</f>
        <v>0</v>
      </c>
      <c r="B189" s="507">
        <f>'BLM STATS'!B213</f>
        <v>0</v>
      </c>
      <c r="C189" s="501">
        <f>'BLM STATS'!F213</f>
        <v>0</v>
      </c>
      <c r="D189" s="501">
        <f>'BLM STATS'!I213</f>
        <v>0</v>
      </c>
      <c r="E189" s="501">
        <f>'BLM STATS'!J213</f>
        <v>0</v>
      </c>
      <c r="F189" s="501">
        <f>'BLM STATS'!K213</f>
        <v>0</v>
      </c>
      <c r="G189" s="501">
        <f>'BLM STATS'!L213</f>
        <v>0</v>
      </c>
      <c r="H189" s="508">
        <f>'BLM STATS'!C213</f>
        <v>0</v>
      </c>
      <c r="I189" s="201">
        <f t="shared" si="6"/>
        <v>0</v>
      </c>
      <c r="J189" s="15">
        <f>'BLM STATS'!P213</f>
        <v>0</v>
      </c>
      <c r="K189" s="16">
        <f>'BLM STATS'!Q213</f>
        <v>0</v>
      </c>
      <c r="L189" s="17">
        <f>'BLM STATS'!R213</f>
        <v>0</v>
      </c>
      <c r="M189" s="502">
        <f>'BLM STATS'!S213</f>
        <v>0</v>
      </c>
      <c r="N189" s="18">
        <f>'BLM STATS'!T213</f>
        <v>0</v>
      </c>
      <c r="O189" s="19">
        <f>'BLM STATS'!U213</f>
        <v>0</v>
      </c>
      <c r="P189" s="41">
        <f>'BLM STATS'!V213</f>
        <v>0</v>
      </c>
      <c r="Q189" s="187">
        <f>'BLM STATS'!W210</f>
        <v>0</v>
      </c>
      <c r="R189" s="76"/>
      <c r="S189" s="503"/>
      <c r="T189" s="17"/>
      <c r="U189" s="501"/>
      <c r="V189" s="187"/>
      <c r="W189" s="82">
        <f>'BLM STATS'!Y213</f>
        <v>0</v>
      </c>
      <c r="X189" s="82">
        <f>'BLM STATS'!Z213</f>
        <v>0</v>
      </c>
    </row>
    <row r="190" spans="1:24" x14ac:dyDescent="0.25">
      <c r="A190" s="68">
        <f>'BLM STATS'!A214</f>
        <v>0</v>
      </c>
      <c r="B190" s="507">
        <f>'BLM STATS'!B214</f>
        <v>0</v>
      </c>
      <c r="C190" s="501">
        <f>'BLM STATS'!F214</f>
        <v>0</v>
      </c>
      <c r="D190" s="501">
        <f>'BLM STATS'!I214</f>
        <v>0</v>
      </c>
      <c r="E190" s="501">
        <f>'BLM STATS'!J214</f>
        <v>0</v>
      </c>
      <c r="F190" s="501">
        <f>'BLM STATS'!K214</f>
        <v>0</v>
      </c>
      <c r="G190" s="501">
        <f>'BLM STATS'!L214</f>
        <v>0</v>
      </c>
      <c r="H190" s="508">
        <f>'BLM STATS'!C214</f>
        <v>0</v>
      </c>
      <c r="I190" s="201">
        <f t="shared" si="6"/>
        <v>0</v>
      </c>
      <c r="J190" s="15">
        <f>'BLM STATS'!P214</f>
        <v>0</v>
      </c>
      <c r="K190" s="16">
        <f>'BLM STATS'!Q214</f>
        <v>0</v>
      </c>
      <c r="L190" s="17">
        <f>'BLM STATS'!R214</f>
        <v>0</v>
      </c>
      <c r="M190" s="502">
        <f>'BLM STATS'!S214</f>
        <v>0</v>
      </c>
      <c r="N190" s="18">
        <f>'BLM STATS'!T214</f>
        <v>0</v>
      </c>
      <c r="O190" s="19">
        <f>'BLM STATS'!U214</f>
        <v>0</v>
      </c>
      <c r="P190" s="41">
        <f>'BLM STATS'!V214</f>
        <v>0</v>
      </c>
      <c r="Q190" s="187">
        <f>'BLM STATS'!W211</f>
        <v>0</v>
      </c>
      <c r="R190" s="76"/>
      <c r="S190" s="503"/>
      <c r="T190" s="17"/>
      <c r="U190" s="501"/>
      <c r="V190" s="187"/>
      <c r="W190" s="82">
        <f>'BLM STATS'!Y214</f>
        <v>0</v>
      </c>
      <c r="X190" s="82">
        <f>'BLM STATS'!Z214</f>
        <v>0</v>
      </c>
    </row>
    <row r="191" spans="1:24" x14ac:dyDescent="0.25">
      <c r="A191" s="68">
        <f>'BLM STATS'!A215</f>
        <v>0</v>
      </c>
      <c r="B191" s="507">
        <f>'BLM STATS'!B215</f>
        <v>0</v>
      </c>
      <c r="C191" s="501">
        <f>'BLM STATS'!F215</f>
        <v>0</v>
      </c>
      <c r="D191" s="501">
        <f>'BLM STATS'!I215</f>
        <v>0</v>
      </c>
      <c r="E191" s="501">
        <f>'BLM STATS'!J215</f>
        <v>0</v>
      </c>
      <c r="F191" s="501">
        <f>'BLM STATS'!K215</f>
        <v>0</v>
      </c>
      <c r="G191" s="501">
        <f>'BLM STATS'!L215</f>
        <v>0</v>
      </c>
      <c r="H191" s="508">
        <f>'BLM STATS'!C215</f>
        <v>0</v>
      </c>
      <c r="I191" s="201">
        <f t="shared" si="6"/>
        <v>0</v>
      </c>
      <c r="J191" s="15">
        <f>'BLM STATS'!P215</f>
        <v>0</v>
      </c>
      <c r="K191" s="16">
        <f>'BLM STATS'!Q215</f>
        <v>0</v>
      </c>
      <c r="L191" s="17">
        <f>'BLM STATS'!R215</f>
        <v>0</v>
      </c>
      <c r="M191" s="502">
        <f>'BLM STATS'!S215</f>
        <v>0</v>
      </c>
      <c r="N191" s="18">
        <f>'BLM STATS'!T215</f>
        <v>0</v>
      </c>
      <c r="O191" s="19">
        <f>'BLM STATS'!U215</f>
        <v>0</v>
      </c>
      <c r="P191" s="41">
        <f>'BLM STATS'!V215</f>
        <v>0</v>
      </c>
      <c r="Q191" s="187">
        <f>'BLM STATS'!W212</f>
        <v>0</v>
      </c>
      <c r="R191" s="76"/>
      <c r="S191" s="503"/>
      <c r="T191" s="17"/>
      <c r="U191" s="501"/>
      <c r="V191" s="187"/>
      <c r="W191" s="82">
        <f>'BLM STATS'!Y215</f>
        <v>0</v>
      </c>
      <c r="X191" s="82">
        <f>'BLM STATS'!Z215</f>
        <v>0</v>
      </c>
    </row>
    <row r="192" spans="1:24" x14ac:dyDescent="0.25">
      <c r="A192" s="68">
        <f>'BLM STATS'!A216</f>
        <v>0</v>
      </c>
      <c r="B192" s="507">
        <f>'BLM STATS'!B216</f>
        <v>0</v>
      </c>
      <c r="C192" s="501">
        <f>'BLM STATS'!F216</f>
        <v>0</v>
      </c>
      <c r="D192" s="501">
        <f>'BLM STATS'!I216</f>
        <v>0</v>
      </c>
      <c r="E192" s="501">
        <f>'BLM STATS'!J216</f>
        <v>0</v>
      </c>
      <c r="F192" s="501">
        <f>'BLM STATS'!K216</f>
        <v>0</v>
      </c>
      <c r="G192" s="501">
        <f>'BLM STATS'!L216</f>
        <v>0</v>
      </c>
      <c r="H192" s="508">
        <f>'BLM STATS'!C216</f>
        <v>0</v>
      </c>
      <c r="I192" s="201">
        <f t="shared" si="6"/>
        <v>0</v>
      </c>
      <c r="J192" s="15">
        <f>'BLM STATS'!P216</f>
        <v>0</v>
      </c>
      <c r="K192" s="16">
        <f>'BLM STATS'!Q216</f>
        <v>0</v>
      </c>
      <c r="L192" s="17">
        <f>'BLM STATS'!R216</f>
        <v>0</v>
      </c>
      <c r="M192" s="502">
        <f>'BLM STATS'!S216</f>
        <v>0</v>
      </c>
      <c r="N192" s="18">
        <f>'BLM STATS'!T216</f>
        <v>0</v>
      </c>
      <c r="O192" s="19">
        <f>'BLM STATS'!U216</f>
        <v>0</v>
      </c>
      <c r="P192" s="41">
        <f>'BLM STATS'!V216</f>
        <v>0</v>
      </c>
      <c r="Q192" s="187">
        <f>'BLM STATS'!W213</f>
        <v>0</v>
      </c>
      <c r="R192" s="76"/>
      <c r="S192" s="503"/>
      <c r="T192" s="17"/>
      <c r="U192" s="501"/>
      <c r="V192" s="187"/>
      <c r="W192" s="82">
        <f>'BLM STATS'!Y216</f>
        <v>0</v>
      </c>
      <c r="X192" s="82">
        <f>'BLM STATS'!Z216</f>
        <v>0</v>
      </c>
    </row>
    <row r="193" spans="1:24" x14ac:dyDescent="0.25">
      <c r="A193" s="68">
        <f>'BLM STATS'!A217</f>
        <v>0</v>
      </c>
      <c r="B193" s="507">
        <f>'BLM STATS'!B217</f>
        <v>0</v>
      </c>
      <c r="C193" s="501">
        <f>'BLM STATS'!F217</f>
        <v>0</v>
      </c>
      <c r="D193" s="501">
        <f>'BLM STATS'!I217</f>
        <v>0</v>
      </c>
      <c r="E193" s="501">
        <f>'BLM STATS'!J217</f>
        <v>0</v>
      </c>
      <c r="F193" s="501">
        <f>'BLM STATS'!K217</f>
        <v>0</v>
      </c>
      <c r="G193" s="501">
        <f>'BLM STATS'!L217</f>
        <v>0</v>
      </c>
      <c r="H193" s="508">
        <f>'BLM STATS'!C217</f>
        <v>0</v>
      </c>
      <c r="I193" s="201">
        <f t="shared" si="6"/>
        <v>0</v>
      </c>
      <c r="J193" s="15">
        <f>'BLM STATS'!P217</f>
        <v>0</v>
      </c>
      <c r="K193" s="16">
        <f>'BLM STATS'!Q217</f>
        <v>0</v>
      </c>
      <c r="L193" s="17">
        <f>'BLM STATS'!R217</f>
        <v>0</v>
      </c>
      <c r="M193" s="502">
        <f>'BLM STATS'!S217</f>
        <v>0</v>
      </c>
      <c r="N193" s="18">
        <f>'BLM STATS'!T217</f>
        <v>0</v>
      </c>
      <c r="O193" s="19">
        <f>'BLM STATS'!U217</f>
        <v>0</v>
      </c>
      <c r="P193" s="41">
        <f>'BLM STATS'!V217</f>
        <v>0</v>
      </c>
      <c r="Q193" s="187">
        <f>'BLM STATS'!W214</f>
        <v>0</v>
      </c>
      <c r="R193" s="76"/>
      <c r="S193" s="503"/>
      <c r="T193" s="17"/>
      <c r="U193" s="501"/>
      <c r="V193" s="187"/>
      <c r="W193" s="82">
        <f>'BLM STATS'!Y217</f>
        <v>0</v>
      </c>
      <c r="X193" s="82">
        <f>'BLM STATS'!Z217</f>
        <v>0</v>
      </c>
    </row>
    <row r="194" spans="1:24" x14ac:dyDescent="0.25">
      <c r="A194" s="68">
        <f>'BLM STATS'!A218</f>
        <v>0</v>
      </c>
      <c r="B194" s="507">
        <f>'BLM STATS'!B218</f>
        <v>0</v>
      </c>
      <c r="C194" s="501">
        <f>'BLM STATS'!F218</f>
        <v>0</v>
      </c>
      <c r="D194" s="501">
        <f>'BLM STATS'!I218</f>
        <v>0</v>
      </c>
      <c r="E194" s="501">
        <f>'BLM STATS'!J218</f>
        <v>0</v>
      </c>
      <c r="F194" s="501">
        <f>'BLM STATS'!K218</f>
        <v>0</v>
      </c>
      <c r="G194" s="501">
        <f>'BLM STATS'!L218</f>
        <v>0</v>
      </c>
      <c r="H194" s="508">
        <f>'BLM STATS'!C218</f>
        <v>0</v>
      </c>
      <c r="I194" s="201">
        <f t="shared" si="6"/>
        <v>0</v>
      </c>
      <c r="J194" s="15">
        <f>'BLM STATS'!P218</f>
        <v>0</v>
      </c>
      <c r="K194" s="16">
        <f>'BLM STATS'!Q218</f>
        <v>0</v>
      </c>
      <c r="L194" s="17">
        <f>'BLM STATS'!R218</f>
        <v>0</v>
      </c>
      <c r="M194" s="502">
        <f>'BLM STATS'!S218</f>
        <v>0</v>
      </c>
      <c r="N194" s="18">
        <f>'BLM STATS'!T218</f>
        <v>0</v>
      </c>
      <c r="O194" s="19">
        <f>'BLM STATS'!U218</f>
        <v>0</v>
      </c>
      <c r="P194" s="41">
        <f>'BLM STATS'!V218</f>
        <v>0</v>
      </c>
      <c r="Q194" s="187">
        <f>'BLM STATS'!W215</f>
        <v>0</v>
      </c>
      <c r="R194" s="76"/>
      <c r="S194" s="503"/>
      <c r="T194" s="17"/>
      <c r="U194" s="501"/>
      <c r="V194" s="187"/>
      <c r="W194" s="82">
        <f>'BLM STATS'!Y218</f>
        <v>0</v>
      </c>
      <c r="X194" s="82">
        <f>'BLM STATS'!Z218</f>
        <v>0</v>
      </c>
    </row>
    <row r="195" spans="1:24" x14ac:dyDescent="0.25">
      <c r="A195" s="68">
        <f>'BLM STATS'!A219</f>
        <v>0</v>
      </c>
      <c r="B195" s="507">
        <f>'BLM STATS'!B219</f>
        <v>0</v>
      </c>
      <c r="C195" s="501">
        <f>'BLM STATS'!F219</f>
        <v>0</v>
      </c>
      <c r="D195" s="501">
        <f>'BLM STATS'!I219</f>
        <v>0</v>
      </c>
      <c r="E195" s="501">
        <f>'BLM STATS'!J219</f>
        <v>0</v>
      </c>
      <c r="F195" s="501">
        <f>'BLM STATS'!K219</f>
        <v>0</v>
      </c>
      <c r="G195" s="501">
        <f>'BLM STATS'!L219</f>
        <v>0</v>
      </c>
      <c r="H195" s="508">
        <f>'BLM STATS'!C219</f>
        <v>0</v>
      </c>
      <c r="I195" s="201">
        <f t="shared" si="6"/>
        <v>0</v>
      </c>
      <c r="J195" s="15">
        <f>'BLM STATS'!P219</f>
        <v>0</v>
      </c>
      <c r="K195" s="16">
        <f>'BLM STATS'!Q219</f>
        <v>0</v>
      </c>
      <c r="L195" s="17">
        <f>'BLM STATS'!R219</f>
        <v>0</v>
      </c>
      <c r="M195" s="502">
        <f>'BLM STATS'!S219</f>
        <v>0</v>
      </c>
      <c r="N195" s="18">
        <f>'BLM STATS'!T219</f>
        <v>0</v>
      </c>
      <c r="O195" s="19">
        <f>'BLM STATS'!U219</f>
        <v>0</v>
      </c>
      <c r="P195" s="41">
        <f>'BLM STATS'!V219</f>
        <v>0</v>
      </c>
      <c r="Q195" s="187">
        <f>'BLM STATS'!W216</f>
        <v>0</v>
      </c>
      <c r="R195" s="76"/>
      <c r="S195" s="503"/>
      <c r="T195" s="17"/>
      <c r="U195" s="501"/>
      <c r="V195" s="187"/>
      <c r="W195" s="82">
        <f>'BLM STATS'!Y219</f>
        <v>0</v>
      </c>
      <c r="X195" s="82">
        <f>'BLM STATS'!Z219</f>
        <v>0</v>
      </c>
    </row>
    <row r="196" spans="1:24" x14ac:dyDescent="0.25">
      <c r="A196" s="68">
        <f>'BLM STATS'!A220</f>
        <v>0</v>
      </c>
      <c r="B196" s="507">
        <f>'BLM STATS'!B220</f>
        <v>0</v>
      </c>
      <c r="C196" s="501">
        <f>'BLM STATS'!F220</f>
        <v>0</v>
      </c>
      <c r="D196" s="501">
        <f>'BLM STATS'!I220</f>
        <v>0</v>
      </c>
      <c r="E196" s="501">
        <f>'BLM STATS'!J220</f>
        <v>0</v>
      </c>
      <c r="F196" s="501">
        <f>'BLM STATS'!K220</f>
        <v>0</v>
      </c>
      <c r="G196" s="501">
        <f>'BLM STATS'!L220</f>
        <v>0</v>
      </c>
      <c r="H196" s="508">
        <f>'BLM STATS'!C220</f>
        <v>0</v>
      </c>
      <c r="I196" s="201">
        <f t="shared" si="6"/>
        <v>0</v>
      </c>
      <c r="J196" s="15">
        <f>'BLM STATS'!P220</f>
        <v>0</v>
      </c>
      <c r="K196" s="16">
        <f>'BLM STATS'!Q220</f>
        <v>0</v>
      </c>
      <c r="L196" s="17">
        <f>'BLM STATS'!R220</f>
        <v>0</v>
      </c>
      <c r="M196" s="502">
        <f>'BLM STATS'!S220</f>
        <v>0</v>
      </c>
      <c r="N196" s="18">
        <f>'BLM STATS'!T220</f>
        <v>0</v>
      </c>
      <c r="O196" s="19">
        <f>'BLM STATS'!U220</f>
        <v>0</v>
      </c>
      <c r="P196" s="41">
        <f>'BLM STATS'!V220</f>
        <v>0</v>
      </c>
      <c r="Q196" s="187">
        <f>'BLM STATS'!W217</f>
        <v>0</v>
      </c>
      <c r="R196" s="76"/>
      <c r="S196" s="503"/>
      <c r="T196" s="17"/>
      <c r="U196" s="501"/>
      <c r="V196" s="187"/>
      <c r="W196" s="82">
        <f>'BLM STATS'!Y220</f>
        <v>0</v>
      </c>
      <c r="X196" s="82">
        <f>'BLM STATS'!Z220</f>
        <v>0</v>
      </c>
    </row>
    <row r="197" spans="1:24" x14ac:dyDescent="0.25">
      <c r="A197" s="68">
        <f>'BLM STATS'!A221</f>
        <v>0</v>
      </c>
      <c r="B197" s="507">
        <f>'BLM STATS'!B221</f>
        <v>0</v>
      </c>
      <c r="C197" s="501">
        <f>'BLM STATS'!F221</f>
        <v>0</v>
      </c>
      <c r="D197" s="501">
        <f>'BLM STATS'!I221</f>
        <v>0</v>
      </c>
      <c r="E197" s="501">
        <f>'BLM STATS'!J221</f>
        <v>0</v>
      </c>
      <c r="F197" s="501">
        <f>'BLM STATS'!K221</f>
        <v>0</v>
      </c>
      <c r="G197" s="501">
        <f>'BLM STATS'!L221</f>
        <v>0</v>
      </c>
      <c r="H197" s="508">
        <f>'BLM STATS'!C221</f>
        <v>0</v>
      </c>
      <c r="I197" s="201">
        <f t="shared" si="6"/>
        <v>0</v>
      </c>
      <c r="J197" s="15">
        <f>'BLM STATS'!P221</f>
        <v>0</v>
      </c>
      <c r="K197" s="16">
        <f>'BLM STATS'!Q221</f>
        <v>0</v>
      </c>
      <c r="L197" s="17">
        <f>'BLM STATS'!R221</f>
        <v>0</v>
      </c>
      <c r="M197" s="502">
        <f>'BLM STATS'!S221</f>
        <v>0</v>
      </c>
      <c r="N197" s="18">
        <f>'BLM STATS'!T221</f>
        <v>0</v>
      </c>
      <c r="O197" s="19">
        <f>'BLM STATS'!U221</f>
        <v>0</v>
      </c>
      <c r="P197" s="41">
        <f>'BLM STATS'!V221</f>
        <v>0</v>
      </c>
      <c r="Q197" s="187">
        <f>'BLM STATS'!W218</f>
        <v>0</v>
      </c>
      <c r="R197" s="76"/>
      <c r="S197" s="503"/>
      <c r="T197" s="17"/>
      <c r="U197" s="501"/>
      <c r="V197" s="187"/>
      <c r="W197" s="82">
        <f>'BLM STATS'!Y221</f>
        <v>0</v>
      </c>
      <c r="X197" s="82">
        <f>'BLM STATS'!Z221</f>
        <v>0</v>
      </c>
    </row>
    <row r="198" spans="1:24" x14ac:dyDescent="0.25">
      <c r="A198" s="68">
        <f>'BLM STATS'!A222</f>
        <v>0</v>
      </c>
      <c r="B198" s="507">
        <f>'BLM STATS'!B222</f>
        <v>0</v>
      </c>
      <c r="C198" s="501">
        <f>'BLM STATS'!F222</f>
        <v>0</v>
      </c>
      <c r="D198" s="501">
        <f>'BLM STATS'!I222</f>
        <v>0</v>
      </c>
      <c r="E198" s="501">
        <f>'BLM STATS'!J222</f>
        <v>0</v>
      </c>
      <c r="F198" s="501">
        <f>'BLM STATS'!K222</f>
        <v>0</v>
      </c>
      <c r="G198" s="501">
        <f>'BLM STATS'!L222</f>
        <v>0</v>
      </c>
      <c r="H198" s="508">
        <f>'BLM STATS'!C222</f>
        <v>0</v>
      </c>
      <c r="I198" s="201">
        <f t="shared" si="6"/>
        <v>0</v>
      </c>
      <c r="J198" s="15">
        <f>'BLM STATS'!P222</f>
        <v>0</v>
      </c>
      <c r="K198" s="16">
        <f>'BLM STATS'!Q222</f>
        <v>0</v>
      </c>
      <c r="L198" s="17">
        <f>'BLM STATS'!R222</f>
        <v>0</v>
      </c>
      <c r="M198" s="502">
        <f>'BLM STATS'!S222</f>
        <v>0</v>
      </c>
      <c r="N198" s="18">
        <f>'BLM STATS'!T222</f>
        <v>0</v>
      </c>
      <c r="O198" s="19">
        <f>'BLM STATS'!U222</f>
        <v>0</v>
      </c>
      <c r="P198" s="41">
        <f>'BLM STATS'!V222</f>
        <v>0</v>
      </c>
      <c r="Q198" s="187">
        <f>'BLM STATS'!W219</f>
        <v>0</v>
      </c>
      <c r="R198" s="76"/>
      <c r="S198" s="503"/>
      <c r="T198" s="17"/>
      <c r="U198" s="501"/>
      <c r="V198" s="187"/>
      <c r="W198" s="82">
        <f>'BLM STATS'!Y222</f>
        <v>0</v>
      </c>
      <c r="X198" s="82">
        <f>'BLM STATS'!Z222</f>
        <v>0</v>
      </c>
    </row>
    <row r="199" spans="1:24" x14ac:dyDescent="0.25">
      <c r="A199" s="68">
        <f>'BLM STATS'!A223</f>
        <v>0</v>
      </c>
      <c r="B199" s="507">
        <f>'BLM STATS'!B223</f>
        <v>0</v>
      </c>
      <c r="C199" s="501">
        <f>'BLM STATS'!F223</f>
        <v>0</v>
      </c>
      <c r="D199" s="501">
        <f>'BLM STATS'!I223</f>
        <v>0</v>
      </c>
      <c r="E199" s="501">
        <f>'BLM STATS'!J223</f>
        <v>0</v>
      </c>
      <c r="F199" s="501">
        <f>'BLM STATS'!K223</f>
        <v>0</v>
      </c>
      <c r="G199" s="501">
        <f>'BLM STATS'!L223</f>
        <v>0</v>
      </c>
      <c r="H199" s="508">
        <f>'BLM STATS'!C223</f>
        <v>0</v>
      </c>
      <c r="I199" s="201">
        <f t="shared" si="6"/>
        <v>0</v>
      </c>
      <c r="J199" s="15">
        <f>'BLM STATS'!P223</f>
        <v>0</v>
      </c>
      <c r="K199" s="16">
        <f>'BLM STATS'!Q223</f>
        <v>0</v>
      </c>
      <c r="L199" s="17">
        <f>'BLM STATS'!R223</f>
        <v>0</v>
      </c>
      <c r="M199" s="502">
        <f>'BLM STATS'!S223</f>
        <v>0</v>
      </c>
      <c r="N199" s="18">
        <f>'BLM STATS'!T223</f>
        <v>0</v>
      </c>
      <c r="O199" s="19">
        <f>'BLM STATS'!U223</f>
        <v>0</v>
      </c>
      <c r="P199" s="41">
        <f>'BLM STATS'!V223</f>
        <v>0</v>
      </c>
      <c r="Q199" s="187">
        <f>'BLM STATS'!W220</f>
        <v>0</v>
      </c>
      <c r="R199" s="76"/>
      <c r="S199" s="503"/>
      <c r="T199" s="17"/>
      <c r="U199" s="501"/>
      <c r="V199" s="187"/>
      <c r="W199" s="82">
        <f>'BLM STATS'!Y223</f>
        <v>0</v>
      </c>
      <c r="X199" s="82">
        <f>'BLM STATS'!Z223</f>
        <v>0</v>
      </c>
    </row>
    <row r="200" spans="1:24" x14ac:dyDescent="0.25">
      <c r="A200" s="68">
        <f>'BLM STATS'!A224</f>
        <v>0</v>
      </c>
      <c r="B200" s="507">
        <f>'BLM STATS'!B224</f>
        <v>0</v>
      </c>
      <c r="C200" s="501">
        <f>'BLM STATS'!F224</f>
        <v>0</v>
      </c>
      <c r="D200" s="501">
        <f>'BLM STATS'!I224</f>
        <v>0</v>
      </c>
      <c r="E200" s="501">
        <f>'BLM STATS'!J224</f>
        <v>0</v>
      </c>
      <c r="F200" s="501">
        <f>'BLM STATS'!K224</f>
        <v>0</v>
      </c>
      <c r="G200" s="501">
        <f>'BLM STATS'!L224</f>
        <v>0</v>
      </c>
      <c r="H200" s="508">
        <f>'BLM STATS'!C224</f>
        <v>0</v>
      </c>
      <c r="I200" s="201">
        <f t="shared" si="6"/>
        <v>0</v>
      </c>
      <c r="J200" s="15">
        <f>'BLM STATS'!P224</f>
        <v>0</v>
      </c>
      <c r="K200" s="16">
        <f>'BLM STATS'!Q224</f>
        <v>0</v>
      </c>
      <c r="L200" s="17">
        <f>'BLM STATS'!R224</f>
        <v>0</v>
      </c>
      <c r="M200" s="502">
        <f>'BLM STATS'!S224</f>
        <v>0</v>
      </c>
      <c r="N200" s="18">
        <f>'BLM STATS'!T224</f>
        <v>0</v>
      </c>
      <c r="O200" s="19">
        <f>'BLM STATS'!U224</f>
        <v>0</v>
      </c>
      <c r="P200" s="41">
        <f>'BLM STATS'!V224</f>
        <v>0</v>
      </c>
      <c r="Q200" s="187">
        <f>'BLM STATS'!W221</f>
        <v>0</v>
      </c>
      <c r="R200" s="76"/>
      <c r="S200" s="503"/>
      <c r="T200" s="17"/>
      <c r="U200" s="501"/>
      <c r="V200" s="187"/>
      <c r="W200" s="82">
        <f>'BLM STATS'!Y224</f>
        <v>0</v>
      </c>
      <c r="X200" s="82">
        <f>'BLM STATS'!Z224</f>
        <v>0</v>
      </c>
    </row>
    <row r="201" spans="1:24" x14ac:dyDescent="0.25">
      <c r="A201" s="68">
        <f>'BLM STATS'!A225</f>
        <v>0</v>
      </c>
      <c r="B201" s="507">
        <f>'BLM STATS'!B225</f>
        <v>0</v>
      </c>
      <c r="C201" s="501">
        <f>'BLM STATS'!F225</f>
        <v>0</v>
      </c>
      <c r="D201" s="501">
        <f>'BLM STATS'!I225</f>
        <v>0</v>
      </c>
      <c r="E201" s="501">
        <f>'BLM STATS'!J225</f>
        <v>0</v>
      </c>
      <c r="F201" s="501">
        <f>'BLM STATS'!K225</f>
        <v>0</v>
      </c>
      <c r="G201" s="501">
        <f>'BLM STATS'!L225</f>
        <v>0</v>
      </c>
      <c r="H201" s="508">
        <f>'BLM STATS'!C225</f>
        <v>0</v>
      </c>
      <c r="I201" s="201">
        <f t="shared" si="6"/>
        <v>0</v>
      </c>
      <c r="J201" s="15">
        <f>'BLM STATS'!P225</f>
        <v>0</v>
      </c>
      <c r="K201" s="16">
        <f>'BLM STATS'!Q225</f>
        <v>0</v>
      </c>
      <c r="L201" s="17">
        <f>'BLM STATS'!R225</f>
        <v>0</v>
      </c>
      <c r="M201" s="502">
        <f>'BLM STATS'!S225</f>
        <v>0</v>
      </c>
      <c r="N201" s="18">
        <f>'BLM STATS'!T225</f>
        <v>0</v>
      </c>
      <c r="O201" s="19">
        <f>'BLM STATS'!U225</f>
        <v>0</v>
      </c>
      <c r="P201" s="41">
        <f>'BLM STATS'!V225</f>
        <v>0</v>
      </c>
      <c r="Q201" s="187">
        <f>'BLM STATS'!W222</f>
        <v>0</v>
      </c>
      <c r="R201" s="76"/>
      <c r="S201" s="503"/>
      <c r="T201" s="17"/>
      <c r="U201" s="501"/>
      <c r="V201" s="187"/>
      <c r="W201" s="82">
        <f>'BLM STATS'!Y225</f>
        <v>0</v>
      </c>
      <c r="X201" s="82">
        <f>'BLM STATS'!Z225</f>
        <v>0</v>
      </c>
    </row>
    <row r="202" spans="1:24" x14ac:dyDescent="0.25">
      <c r="A202" s="68">
        <f>'BLM STATS'!A226</f>
        <v>0</v>
      </c>
      <c r="B202" s="507">
        <f>'BLM STATS'!B226</f>
        <v>0</v>
      </c>
      <c r="C202" s="501">
        <f>'BLM STATS'!F226</f>
        <v>0</v>
      </c>
      <c r="D202" s="501">
        <f>'BLM STATS'!I226</f>
        <v>0</v>
      </c>
      <c r="E202" s="501">
        <f>'BLM STATS'!J226</f>
        <v>0</v>
      </c>
      <c r="F202" s="501">
        <f>'BLM STATS'!K226</f>
        <v>0</v>
      </c>
      <c r="G202" s="501">
        <f>'BLM STATS'!L226</f>
        <v>0</v>
      </c>
      <c r="H202" s="508">
        <f>'BLM STATS'!C226</f>
        <v>0</v>
      </c>
      <c r="I202" s="201">
        <f t="shared" si="6"/>
        <v>0</v>
      </c>
      <c r="J202" s="15">
        <f>'BLM STATS'!P226</f>
        <v>0</v>
      </c>
      <c r="K202" s="16">
        <f>'BLM STATS'!Q226</f>
        <v>0</v>
      </c>
      <c r="L202" s="17">
        <f>'BLM STATS'!R226</f>
        <v>0</v>
      </c>
      <c r="M202" s="502">
        <f>'BLM STATS'!S226</f>
        <v>0</v>
      </c>
      <c r="N202" s="18">
        <f>'BLM STATS'!T226</f>
        <v>0</v>
      </c>
      <c r="O202" s="19">
        <f>'BLM STATS'!U226</f>
        <v>0</v>
      </c>
      <c r="P202" s="41">
        <f>'BLM STATS'!V226</f>
        <v>0</v>
      </c>
      <c r="Q202" s="187">
        <f>'BLM STATS'!W223</f>
        <v>0</v>
      </c>
      <c r="R202" s="76"/>
      <c r="S202" s="503"/>
      <c r="T202" s="17"/>
      <c r="U202" s="501"/>
      <c r="V202" s="187"/>
      <c r="W202" s="82">
        <f>'BLM STATS'!Y226</f>
        <v>0</v>
      </c>
      <c r="X202" s="82">
        <f>'BLM STATS'!Z226</f>
        <v>0</v>
      </c>
    </row>
    <row r="203" spans="1:24" x14ac:dyDescent="0.25">
      <c r="A203" s="68">
        <f>'BLM STATS'!A227</f>
        <v>0</v>
      </c>
      <c r="B203" s="507">
        <f>'BLM STATS'!B227</f>
        <v>0</v>
      </c>
      <c r="C203" s="501">
        <f>'BLM STATS'!F227</f>
        <v>0</v>
      </c>
      <c r="D203" s="501">
        <f>'BLM STATS'!I227</f>
        <v>0</v>
      </c>
      <c r="E203" s="501">
        <f>'BLM STATS'!J227</f>
        <v>0</v>
      </c>
      <c r="F203" s="501">
        <f>'BLM STATS'!K227</f>
        <v>0</v>
      </c>
      <c r="G203" s="501">
        <f>'BLM STATS'!L227</f>
        <v>0</v>
      </c>
      <c r="H203" s="508">
        <f>'BLM STATS'!C227</f>
        <v>0</v>
      </c>
      <c r="I203" s="201">
        <f t="shared" si="6"/>
        <v>0</v>
      </c>
      <c r="J203" s="15">
        <f>'BLM STATS'!P227</f>
        <v>0</v>
      </c>
      <c r="K203" s="16">
        <f>'BLM STATS'!Q227</f>
        <v>0</v>
      </c>
      <c r="L203" s="17">
        <f>'BLM STATS'!R227</f>
        <v>0</v>
      </c>
      <c r="M203" s="502">
        <f>'BLM STATS'!S227</f>
        <v>0</v>
      </c>
      <c r="N203" s="18">
        <f>'BLM STATS'!T227</f>
        <v>0</v>
      </c>
      <c r="O203" s="19">
        <f>'BLM STATS'!U227</f>
        <v>0</v>
      </c>
      <c r="P203" s="41">
        <f>'BLM STATS'!V227</f>
        <v>0</v>
      </c>
      <c r="Q203" s="187">
        <f>'BLM STATS'!W224</f>
        <v>0</v>
      </c>
      <c r="R203" s="76"/>
      <c r="S203" s="503"/>
      <c r="T203" s="17"/>
      <c r="U203" s="501"/>
      <c r="V203" s="187"/>
      <c r="W203" s="82">
        <f>'BLM STATS'!Y227</f>
        <v>0</v>
      </c>
      <c r="X203" s="82">
        <f>'BLM STATS'!Z227</f>
        <v>0</v>
      </c>
    </row>
    <row r="204" spans="1:24" x14ac:dyDescent="0.25">
      <c r="A204" s="68">
        <f>'BLM STATS'!A228</f>
        <v>0</v>
      </c>
      <c r="B204" s="507">
        <f>'BLM STATS'!B228</f>
        <v>0</v>
      </c>
      <c r="C204" s="501">
        <f>'BLM STATS'!F228</f>
        <v>0</v>
      </c>
      <c r="D204" s="501">
        <f>'BLM STATS'!I228</f>
        <v>0</v>
      </c>
      <c r="E204" s="501">
        <f>'BLM STATS'!J228</f>
        <v>0</v>
      </c>
      <c r="F204" s="501">
        <f>'BLM STATS'!K228</f>
        <v>0</v>
      </c>
      <c r="G204" s="501">
        <f>'BLM STATS'!L228</f>
        <v>0</v>
      </c>
      <c r="H204" s="508">
        <f>'BLM STATS'!C228</f>
        <v>0</v>
      </c>
      <c r="I204" s="201">
        <f t="shared" si="6"/>
        <v>0</v>
      </c>
      <c r="J204" s="15">
        <f>'BLM STATS'!P228</f>
        <v>0</v>
      </c>
      <c r="K204" s="16">
        <f>'BLM STATS'!Q228</f>
        <v>0</v>
      </c>
      <c r="L204" s="17">
        <f>'BLM STATS'!R228</f>
        <v>0</v>
      </c>
      <c r="M204" s="502">
        <f>'BLM STATS'!S228</f>
        <v>0</v>
      </c>
      <c r="N204" s="18">
        <f>'BLM STATS'!T228</f>
        <v>0</v>
      </c>
      <c r="O204" s="19">
        <f>'BLM STATS'!U228</f>
        <v>0</v>
      </c>
      <c r="P204" s="41">
        <f>'BLM STATS'!V228</f>
        <v>0</v>
      </c>
      <c r="Q204" s="187">
        <f>'BLM STATS'!W225</f>
        <v>0</v>
      </c>
      <c r="R204" s="76"/>
      <c r="S204" s="503"/>
      <c r="T204" s="17"/>
      <c r="U204" s="501"/>
      <c r="V204" s="187"/>
      <c r="W204" s="82">
        <f>'BLM STATS'!Y228</f>
        <v>0</v>
      </c>
      <c r="X204" s="82">
        <f>'BLM STATS'!Z228</f>
        <v>0</v>
      </c>
    </row>
    <row r="205" spans="1:24" x14ac:dyDescent="0.25">
      <c r="A205" s="68">
        <f>'BLM STATS'!A229</f>
        <v>0</v>
      </c>
      <c r="B205" s="507">
        <f>'BLM STATS'!B229</f>
        <v>0</v>
      </c>
      <c r="C205" s="501">
        <f>'BLM STATS'!F229</f>
        <v>0</v>
      </c>
      <c r="D205" s="501">
        <f>'BLM STATS'!I229</f>
        <v>0</v>
      </c>
      <c r="E205" s="501">
        <f>'BLM STATS'!J229</f>
        <v>0</v>
      </c>
      <c r="F205" s="501">
        <f>'BLM STATS'!K229</f>
        <v>0</v>
      </c>
      <c r="G205" s="501">
        <f>'BLM STATS'!L229</f>
        <v>0</v>
      </c>
      <c r="H205" s="508">
        <f>'BLM STATS'!C229</f>
        <v>0</v>
      </c>
      <c r="I205" s="201">
        <f t="shared" si="6"/>
        <v>0</v>
      </c>
      <c r="J205" s="15">
        <f>'BLM STATS'!P229</f>
        <v>0</v>
      </c>
      <c r="K205" s="16">
        <f>'BLM STATS'!Q229</f>
        <v>0</v>
      </c>
      <c r="L205" s="17">
        <f>'BLM STATS'!R229</f>
        <v>0</v>
      </c>
      <c r="M205" s="502">
        <f>'BLM STATS'!S229</f>
        <v>0</v>
      </c>
      <c r="N205" s="18">
        <f>'BLM STATS'!T229</f>
        <v>0</v>
      </c>
      <c r="O205" s="19">
        <f>'BLM STATS'!U229</f>
        <v>0</v>
      </c>
      <c r="P205" s="41">
        <f>'BLM STATS'!V229</f>
        <v>0</v>
      </c>
      <c r="Q205" s="187">
        <f>'BLM STATS'!W226</f>
        <v>0</v>
      </c>
      <c r="R205" s="76"/>
      <c r="S205" s="503"/>
      <c r="T205" s="17"/>
      <c r="U205" s="501"/>
      <c r="V205" s="187"/>
      <c r="W205" s="82">
        <f>'BLM STATS'!Y229</f>
        <v>0</v>
      </c>
      <c r="X205" s="82">
        <f>'BLM STATS'!Z229</f>
        <v>0</v>
      </c>
    </row>
    <row r="206" spans="1:24" x14ac:dyDescent="0.25">
      <c r="A206" s="68">
        <f>'BLM STATS'!A230</f>
        <v>0</v>
      </c>
      <c r="B206" s="507">
        <f>'BLM STATS'!B230</f>
        <v>0</v>
      </c>
      <c r="C206" s="501">
        <f>'BLM STATS'!F230</f>
        <v>0</v>
      </c>
      <c r="D206" s="501">
        <f>'BLM STATS'!I230</f>
        <v>0</v>
      </c>
      <c r="E206" s="501">
        <f>'BLM STATS'!J230</f>
        <v>0</v>
      </c>
      <c r="F206" s="501">
        <f>'BLM STATS'!K230</f>
        <v>0</v>
      </c>
      <c r="G206" s="501">
        <f>'BLM STATS'!L230</f>
        <v>0</v>
      </c>
      <c r="H206" s="508">
        <f>'BLM STATS'!C230</f>
        <v>0</v>
      </c>
      <c r="I206" s="201">
        <f t="shared" si="6"/>
        <v>0</v>
      </c>
      <c r="J206" s="15">
        <f>'BLM STATS'!P230</f>
        <v>0</v>
      </c>
      <c r="K206" s="16">
        <f>'BLM STATS'!Q230</f>
        <v>0</v>
      </c>
      <c r="L206" s="17">
        <f>'BLM STATS'!R230</f>
        <v>0</v>
      </c>
      <c r="M206" s="502">
        <f>'BLM STATS'!S230</f>
        <v>0</v>
      </c>
      <c r="N206" s="18">
        <f>'BLM STATS'!T230</f>
        <v>0</v>
      </c>
      <c r="O206" s="19">
        <f>'BLM STATS'!U230</f>
        <v>0</v>
      </c>
      <c r="P206" s="41">
        <f>'BLM STATS'!V230</f>
        <v>0</v>
      </c>
      <c r="Q206" s="187">
        <f>'BLM STATS'!W227</f>
        <v>0</v>
      </c>
      <c r="R206" s="76"/>
      <c r="S206" s="503"/>
      <c r="T206" s="17"/>
      <c r="U206" s="501"/>
      <c r="V206" s="187"/>
      <c r="W206" s="82">
        <f>'BLM STATS'!Y230</f>
        <v>0</v>
      </c>
      <c r="X206" s="82">
        <f>'BLM STATS'!Z230</f>
        <v>0</v>
      </c>
    </row>
    <row r="207" spans="1:24" x14ac:dyDescent="0.25">
      <c r="A207" s="68">
        <f>'BLM STATS'!A231</f>
        <v>0</v>
      </c>
      <c r="B207" s="507">
        <f>'BLM STATS'!B231</f>
        <v>0</v>
      </c>
      <c r="C207" s="501">
        <f>'BLM STATS'!F231</f>
        <v>0</v>
      </c>
      <c r="D207" s="501">
        <f>'BLM STATS'!I231</f>
        <v>0</v>
      </c>
      <c r="E207" s="501">
        <f>'BLM STATS'!J231</f>
        <v>0</v>
      </c>
      <c r="F207" s="501">
        <f>'BLM STATS'!K231</f>
        <v>0</v>
      </c>
      <c r="G207" s="501">
        <f>'BLM STATS'!L231</f>
        <v>0</v>
      </c>
      <c r="H207" s="508">
        <f>'BLM STATS'!C231</f>
        <v>0</v>
      </c>
      <c r="I207" s="201">
        <f t="shared" si="6"/>
        <v>0</v>
      </c>
      <c r="J207" s="15">
        <f>'BLM STATS'!P231</f>
        <v>0</v>
      </c>
      <c r="K207" s="16">
        <f>'BLM STATS'!Q231</f>
        <v>0</v>
      </c>
      <c r="L207" s="17">
        <f>'BLM STATS'!R231</f>
        <v>0</v>
      </c>
      <c r="M207" s="502">
        <f>'BLM STATS'!S231</f>
        <v>0</v>
      </c>
      <c r="N207" s="18">
        <f>'BLM STATS'!T231</f>
        <v>0</v>
      </c>
      <c r="O207" s="19">
        <f>'BLM STATS'!U231</f>
        <v>0</v>
      </c>
      <c r="P207" s="41">
        <f>'BLM STATS'!V231</f>
        <v>0</v>
      </c>
      <c r="Q207" s="187">
        <f>'BLM STATS'!W228</f>
        <v>0</v>
      </c>
      <c r="R207" s="76"/>
      <c r="S207" s="503"/>
      <c r="T207" s="17"/>
      <c r="U207" s="501"/>
      <c r="V207" s="187"/>
      <c r="W207" s="82">
        <f>'BLM STATS'!Y231</f>
        <v>0</v>
      </c>
      <c r="X207" s="82">
        <f>'BLM STATS'!Z231</f>
        <v>0</v>
      </c>
    </row>
    <row r="208" spans="1:24" x14ac:dyDescent="0.25">
      <c r="A208" s="68">
        <f>'BLM STATS'!A232</f>
        <v>0</v>
      </c>
      <c r="B208" s="507">
        <f>'BLM STATS'!B232</f>
        <v>0</v>
      </c>
      <c r="C208" s="501">
        <f>'BLM STATS'!F232</f>
        <v>0</v>
      </c>
      <c r="D208" s="501">
        <f>'BLM STATS'!I232</f>
        <v>0</v>
      </c>
      <c r="E208" s="501">
        <f>'BLM STATS'!J232</f>
        <v>0</v>
      </c>
      <c r="F208" s="501">
        <f>'BLM STATS'!K232</f>
        <v>0</v>
      </c>
      <c r="G208" s="501">
        <f>'BLM STATS'!L232</f>
        <v>0</v>
      </c>
      <c r="H208" s="508">
        <f>'BLM STATS'!C232</f>
        <v>0</v>
      </c>
      <c r="I208" s="201">
        <f t="shared" si="6"/>
        <v>0</v>
      </c>
      <c r="J208" s="15">
        <f>'BLM STATS'!P232</f>
        <v>0</v>
      </c>
      <c r="K208" s="16">
        <f>'BLM STATS'!Q232</f>
        <v>0</v>
      </c>
      <c r="L208" s="17">
        <f>'BLM STATS'!R232</f>
        <v>0</v>
      </c>
      <c r="M208" s="502">
        <f>'BLM STATS'!S232</f>
        <v>0</v>
      </c>
      <c r="N208" s="18">
        <f>'BLM STATS'!T232</f>
        <v>0</v>
      </c>
      <c r="O208" s="19">
        <f>'BLM STATS'!U232</f>
        <v>0</v>
      </c>
      <c r="P208" s="41">
        <f>'BLM STATS'!V232</f>
        <v>0</v>
      </c>
      <c r="Q208" s="187">
        <f>'BLM STATS'!W229</f>
        <v>0</v>
      </c>
      <c r="R208" s="76"/>
      <c r="S208" s="503"/>
      <c r="T208" s="17"/>
      <c r="U208" s="501"/>
      <c r="V208" s="187"/>
      <c r="W208" s="82">
        <f>'BLM STATS'!Y232</f>
        <v>0</v>
      </c>
      <c r="X208" s="82">
        <f>'BLM STATS'!Z232</f>
        <v>0</v>
      </c>
    </row>
    <row r="209" spans="1:24" x14ac:dyDescent="0.25">
      <c r="A209" s="68">
        <f>'BLM STATS'!A233</f>
        <v>0</v>
      </c>
      <c r="B209" s="507">
        <f>'BLM STATS'!B233</f>
        <v>0</v>
      </c>
      <c r="C209" s="501">
        <f>'BLM STATS'!F233</f>
        <v>0</v>
      </c>
      <c r="D209" s="501">
        <f>'BLM STATS'!I233</f>
        <v>0</v>
      </c>
      <c r="E209" s="501">
        <f>'BLM STATS'!J233</f>
        <v>0</v>
      </c>
      <c r="F209" s="501">
        <f>'BLM STATS'!K233</f>
        <v>0</v>
      </c>
      <c r="G209" s="501">
        <f>'BLM STATS'!L233</f>
        <v>0</v>
      </c>
      <c r="H209" s="508">
        <f>'BLM STATS'!C233</f>
        <v>0</v>
      </c>
      <c r="I209" s="201">
        <f t="shared" si="6"/>
        <v>0</v>
      </c>
      <c r="J209" s="15">
        <f>'BLM STATS'!P233</f>
        <v>0</v>
      </c>
      <c r="K209" s="16">
        <f>'BLM STATS'!Q233</f>
        <v>0</v>
      </c>
      <c r="L209" s="17">
        <f>'BLM STATS'!R233</f>
        <v>0</v>
      </c>
      <c r="M209" s="502">
        <f>'BLM STATS'!S233</f>
        <v>0</v>
      </c>
      <c r="N209" s="18">
        <f>'BLM STATS'!T233</f>
        <v>0</v>
      </c>
      <c r="O209" s="19">
        <f>'BLM STATS'!U233</f>
        <v>0</v>
      </c>
      <c r="P209" s="41">
        <f>'BLM STATS'!V233</f>
        <v>0</v>
      </c>
      <c r="Q209" s="187">
        <f>'BLM STATS'!W230</f>
        <v>0</v>
      </c>
      <c r="R209" s="76"/>
      <c r="S209" s="503"/>
      <c r="T209" s="17"/>
      <c r="U209" s="501"/>
      <c r="V209" s="187"/>
      <c r="W209" s="82">
        <f>'BLM STATS'!Y233</f>
        <v>0</v>
      </c>
      <c r="X209" s="82">
        <f>'BLM STATS'!Z233</f>
        <v>0</v>
      </c>
    </row>
    <row r="210" spans="1:24" x14ac:dyDescent="0.25">
      <c r="A210" s="68">
        <f>'BLM STATS'!A234</f>
        <v>0</v>
      </c>
      <c r="B210" s="507">
        <f>'BLM STATS'!B234</f>
        <v>0</v>
      </c>
      <c r="C210" s="501">
        <f>'BLM STATS'!F234</f>
        <v>0</v>
      </c>
      <c r="D210" s="501">
        <f>'BLM STATS'!I234</f>
        <v>0</v>
      </c>
      <c r="E210" s="501">
        <f>'BLM STATS'!J234</f>
        <v>0</v>
      </c>
      <c r="F210" s="501">
        <f>'BLM STATS'!K234</f>
        <v>0</v>
      </c>
      <c r="G210" s="501">
        <f>'BLM STATS'!L234</f>
        <v>0</v>
      </c>
      <c r="H210" s="508">
        <f>'BLM STATS'!C234</f>
        <v>0</v>
      </c>
      <c r="I210" s="201">
        <f t="shared" si="6"/>
        <v>0</v>
      </c>
      <c r="J210" s="15">
        <f>'BLM STATS'!P234</f>
        <v>0</v>
      </c>
      <c r="K210" s="16">
        <f>'BLM STATS'!Q234</f>
        <v>0</v>
      </c>
      <c r="L210" s="17">
        <f>'BLM STATS'!R234</f>
        <v>0</v>
      </c>
      <c r="M210" s="502">
        <f>'BLM STATS'!S234</f>
        <v>0</v>
      </c>
      <c r="N210" s="18">
        <f>'BLM STATS'!T234</f>
        <v>0</v>
      </c>
      <c r="O210" s="19">
        <f>'BLM STATS'!U234</f>
        <v>0</v>
      </c>
      <c r="P210" s="41">
        <f>'BLM STATS'!V234</f>
        <v>0</v>
      </c>
      <c r="Q210" s="187">
        <f>'BLM STATS'!W231</f>
        <v>0</v>
      </c>
      <c r="R210" s="76"/>
      <c r="S210" s="503"/>
      <c r="T210" s="17"/>
      <c r="U210" s="501"/>
      <c r="V210" s="187"/>
      <c r="W210" s="82">
        <f>'BLM STATS'!Y234</f>
        <v>0</v>
      </c>
      <c r="X210" s="82">
        <f>'BLM STATS'!Z234</f>
        <v>0</v>
      </c>
    </row>
    <row r="211" spans="1:24" x14ac:dyDescent="0.25">
      <c r="A211" s="68">
        <f>'BLM STATS'!A235</f>
        <v>0</v>
      </c>
      <c r="B211" s="507">
        <f>'BLM STATS'!B235</f>
        <v>0</v>
      </c>
      <c r="C211" s="501">
        <f>'BLM STATS'!F235</f>
        <v>0</v>
      </c>
      <c r="D211" s="501">
        <f>'BLM STATS'!I235</f>
        <v>0</v>
      </c>
      <c r="E211" s="501">
        <f>'BLM STATS'!J235</f>
        <v>0</v>
      </c>
      <c r="F211" s="501">
        <f>'BLM STATS'!K235</f>
        <v>0</v>
      </c>
      <c r="G211" s="501">
        <f>'BLM STATS'!L235</f>
        <v>0</v>
      </c>
      <c r="H211" s="508">
        <f>'BLM STATS'!C235</f>
        <v>0</v>
      </c>
      <c r="I211" s="201">
        <f t="shared" si="6"/>
        <v>0</v>
      </c>
      <c r="J211" s="15">
        <f>'BLM STATS'!P235</f>
        <v>0</v>
      </c>
      <c r="K211" s="16">
        <f>'BLM STATS'!Q235</f>
        <v>0</v>
      </c>
      <c r="L211" s="17">
        <f>'BLM STATS'!R235</f>
        <v>0</v>
      </c>
      <c r="M211" s="502">
        <f>'BLM STATS'!S235</f>
        <v>0</v>
      </c>
      <c r="N211" s="18">
        <f>'BLM STATS'!T235</f>
        <v>0</v>
      </c>
      <c r="O211" s="19">
        <f>'BLM STATS'!U235</f>
        <v>0</v>
      </c>
      <c r="P211" s="41">
        <f>'BLM STATS'!V235</f>
        <v>0</v>
      </c>
      <c r="Q211" s="187">
        <f>'BLM STATS'!W232</f>
        <v>0</v>
      </c>
      <c r="R211" s="76"/>
      <c r="S211" s="503"/>
      <c r="T211" s="17"/>
      <c r="U211" s="501"/>
      <c r="V211" s="187"/>
      <c r="W211" s="82">
        <f>'BLM STATS'!Y235</f>
        <v>0</v>
      </c>
      <c r="X211" s="82">
        <f>'BLM STATS'!Z235</f>
        <v>0</v>
      </c>
    </row>
    <row r="212" spans="1:24" x14ac:dyDescent="0.25">
      <c r="A212" s="68">
        <f>'BLM STATS'!A236</f>
        <v>0</v>
      </c>
      <c r="B212" s="507">
        <f>'BLM STATS'!B236</f>
        <v>0</v>
      </c>
      <c r="C212" s="501">
        <f>'BLM STATS'!F236</f>
        <v>0</v>
      </c>
      <c r="D212" s="501">
        <f>'BLM STATS'!I236</f>
        <v>0</v>
      </c>
      <c r="E212" s="501">
        <f>'BLM STATS'!J236</f>
        <v>0</v>
      </c>
      <c r="F212" s="501">
        <f>'BLM STATS'!K236</f>
        <v>0</v>
      </c>
      <c r="G212" s="501">
        <f>'BLM STATS'!L236</f>
        <v>0</v>
      </c>
      <c r="H212" s="508">
        <f>'BLM STATS'!C236</f>
        <v>0</v>
      </c>
      <c r="I212" s="201">
        <f t="shared" si="6"/>
        <v>0</v>
      </c>
      <c r="J212" s="15">
        <f>'BLM STATS'!P236</f>
        <v>0</v>
      </c>
      <c r="K212" s="16">
        <f>'BLM STATS'!Q236</f>
        <v>0</v>
      </c>
      <c r="L212" s="17">
        <f>'BLM STATS'!R236</f>
        <v>0</v>
      </c>
      <c r="M212" s="502">
        <f>'BLM STATS'!S236</f>
        <v>0</v>
      </c>
      <c r="N212" s="18">
        <f>'BLM STATS'!T236</f>
        <v>0</v>
      </c>
      <c r="O212" s="19">
        <f>'BLM STATS'!U236</f>
        <v>0</v>
      </c>
      <c r="P212" s="41">
        <f>'BLM STATS'!V236</f>
        <v>0</v>
      </c>
      <c r="Q212" s="187">
        <f>'BLM STATS'!W233</f>
        <v>0</v>
      </c>
      <c r="R212" s="76"/>
      <c r="S212" s="503"/>
      <c r="T212" s="17"/>
      <c r="U212" s="501"/>
      <c r="V212" s="187"/>
      <c r="W212" s="82">
        <f>'BLM STATS'!Y236</f>
        <v>0</v>
      </c>
      <c r="X212" s="82">
        <f>'BLM STATS'!Z236</f>
        <v>0</v>
      </c>
    </row>
    <row r="213" spans="1:24" x14ac:dyDescent="0.25">
      <c r="A213" s="68">
        <f>'BLM STATS'!A237</f>
        <v>0</v>
      </c>
      <c r="B213" s="507">
        <f>'BLM STATS'!B237</f>
        <v>0</v>
      </c>
      <c r="C213" s="501">
        <f>'BLM STATS'!F237</f>
        <v>0</v>
      </c>
      <c r="D213" s="501">
        <f>'BLM STATS'!I237</f>
        <v>0</v>
      </c>
      <c r="E213" s="501">
        <f>'BLM STATS'!J237</f>
        <v>0</v>
      </c>
      <c r="F213" s="501">
        <f>'BLM STATS'!K237</f>
        <v>0</v>
      </c>
      <c r="G213" s="501">
        <f>'BLM STATS'!L237</f>
        <v>0</v>
      </c>
      <c r="H213" s="508">
        <f>'BLM STATS'!C237</f>
        <v>0</v>
      </c>
      <c r="I213" s="201">
        <f t="shared" si="6"/>
        <v>0</v>
      </c>
      <c r="J213" s="15">
        <f>'BLM STATS'!P237</f>
        <v>0</v>
      </c>
      <c r="K213" s="16">
        <f>'BLM STATS'!Q237</f>
        <v>0</v>
      </c>
      <c r="L213" s="17">
        <f>'BLM STATS'!R237</f>
        <v>0</v>
      </c>
      <c r="M213" s="502">
        <f>'BLM STATS'!S237</f>
        <v>0</v>
      </c>
      <c r="N213" s="18">
        <f>'BLM STATS'!T237</f>
        <v>0</v>
      </c>
      <c r="O213" s="19">
        <f>'BLM STATS'!U237</f>
        <v>0</v>
      </c>
      <c r="P213" s="41">
        <f>'BLM STATS'!V237</f>
        <v>0</v>
      </c>
      <c r="Q213" s="187">
        <f>'BLM STATS'!W234</f>
        <v>0</v>
      </c>
      <c r="R213" s="76"/>
      <c r="S213" s="503"/>
      <c r="T213" s="17"/>
      <c r="U213" s="501"/>
      <c r="V213" s="187"/>
      <c r="W213" s="82">
        <f>'BLM STATS'!Y237</f>
        <v>0</v>
      </c>
      <c r="X213" s="82">
        <f>'BLM STATS'!Z237</f>
        <v>0</v>
      </c>
    </row>
    <row r="214" spans="1:24" x14ac:dyDescent="0.25">
      <c r="A214" s="68">
        <f>'BLM STATS'!A238</f>
        <v>0</v>
      </c>
      <c r="B214" s="507">
        <f>'BLM STATS'!B238</f>
        <v>0</v>
      </c>
      <c r="C214" s="501">
        <f>'BLM STATS'!F238</f>
        <v>0</v>
      </c>
      <c r="D214" s="501">
        <f>'BLM STATS'!I238</f>
        <v>0</v>
      </c>
      <c r="E214" s="501">
        <f>'BLM STATS'!J238</f>
        <v>0</v>
      </c>
      <c r="F214" s="501">
        <f>'BLM STATS'!K238</f>
        <v>0</v>
      </c>
      <c r="G214" s="501">
        <f>'BLM STATS'!L238</f>
        <v>0</v>
      </c>
      <c r="H214" s="508">
        <f>'BLM STATS'!C238</f>
        <v>0</v>
      </c>
      <c r="I214" s="201">
        <f t="shared" si="6"/>
        <v>0</v>
      </c>
      <c r="J214" s="15">
        <f>'BLM STATS'!P238</f>
        <v>0</v>
      </c>
      <c r="K214" s="16">
        <f>'BLM STATS'!Q238</f>
        <v>0</v>
      </c>
      <c r="L214" s="17">
        <f>'BLM STATS'!R238</f>
        <v>0</v>
      </c>
      <c r="M214" s="502">
        <f>'BLM STATS'!S238</f>
        <v>0</v>
      </c>
      <c r="N214" s="18">
        <f>'BLM STATS'!T238</f>
        <v>0</v>
      </c>
      <c r="O214" s="19">
        <f>'BLM STATS'!U238</f>
        <v>0</v>
      </c>
      <c r="P214" s="41">
        <f>'BLM STATS'!V238</f>
        <v>0</v>
      </c>
      <c r="Q214" s="187">
        <f>'BLM STATS'!W235</f>
        <v>0</v>
      </c>
      <c r="R214" s="76"/>
      <c r="S214" s="503"/>
      <c r="T214" s="17"/>
      <c r="U214" s="501"/>
      <c r="V214" s="187"/>
      <c r="W214" s="82">
        <f>'BLM STATS'!Y238</f>
        <v>0</v>
      </c>
      <c r="X214" s="82">
        <f>'BLM STATS'!Z238</f>
        <v>0</v>
      </c>
    </row>
    <row r="215" spans="1:24" x14ac:dyDescent="0.25">
      <c r="A215" s="68">
        <f>'BLM STATS'!A239</f>
        <v>0</v>
      </c>
      <c r="B215" s="507">
        <f>'BLM STATS'!B239</f>
        <v>0</v>
      </c>
      <c r="C215" s="501">
        <f>'BLM STATS'!F239</f>
        <v>0</v>
      </c>
      <c r="D215" s="501">
        <f>'BLM STATS'!I239</f>
        <v>0</v>
      </c>
      <c r="E215" s="501">
        <f>'BLM STATS'!J239</f>
        <v>0</v>
      </c>
      <c r="F215" s="501">
        <f>'BLM STATS'!K239</f>
        <v>0</v>
      </c>
      <c r="G215" s="501">
        <f>'BLM STATS'!L239</f>
        <v>0</v>
      </c>
      <c r="H215" s="508">
        <f>'BLM STATS'!C239</f>
        <v>0</v>
      </c>
      <c r="I215" s="201">
        <f t="shared" si="6"/>
        <v>0</v>
      </c>
      <c r="J215" s="15">
        <f>'BLM STATS'!P239</f>
        <v>0</v>
      </c>
      <c r="K215" s="16">
        <f>'BLM STATS'!Q239</f>
        <v>0</v>
      </c>
      <c r="L215" s="17">
        <f>'BLM STATS'!R239</f>
        <v>0</v>
      </c>
      <c r="M215" s="502">
        <f>'BLM STATS'!S239</f>
        <v>0</v>
      </c>
      <c r="N215" s="18">
        <f>'BLM STATS'!T239</f>
        <v>0</v>
      </c>
      <c r="O215" s="19">
        <f>'BLM STATS'!U239</f>
        <v>0</v>
      </c>
      <c r="P215" s="41">
        <f>'BLM STATS'!V239</f>
        <v>0</v>
      </c>
      <c r="Q215" s="187">
        <f>'BLM STATS'!W236</f>
        <v>0</v>
      </c>
      <c r="R215" s="76"/>
      <c r="S215" s="503"/>
      <c r="T215" s="17"/>
      <c r="U215" s="501"/>
      <c r="V215" s="187"/>
      <c r="W215" s="82">
        <f>'BLM STATS'!Y239</f>
        <v>0</v>
      </c>
      <c r="X215" s="82">
        <f>'BLM STATS'!Z239</f>
        <v>0</v>
      </c>
    </row>
    <row r="216" spans="1:24" x14ac:dyDescent="0.25">
      <c r="A216" s="68">
        <f>'BLM STATS'!A240</f>
        <v>0</v>
      </c>
      <c r="B216" s="507">
        <f>'BLM STATS'!B240</f>
        <v>0</v>
      </c>
      <c r="C216" s="501">
        <f>'BLM STATS'!F240</f>
        <v>0</v>
      </c>
      <c r="D216" s="501">
        <f>'BLM STATS'!I240</f>
        <v>0</v>
      </c>
      <c r="E216" s="501">
        <f>'BLM STATS'!J240</f>
        <v>0</v>
      </c>
      <c r="F216" s="501">
        <f>'BLM STATS'!K240</f>
        <v>0</v>
      </c>
      <c r="G216" s="501">
        <f>'BLM STATS'!L240</f>
        <v>0</v>
      </c>
      <c r="H216" s="508">
        <f>'BLM STATS'!C240</f>
        <v>0</v>
      </c>
      <c r="I216" s="201">
        <f t="shared" si="6"/>
        <v>0</v>
      </c>
      <c r="J216" s="15">
        <f>'BLM STATS'!P240</f>
        <v>0</v>
      </c>
      <c r="K216" s="16">
        <f>'BLM STATS'!Q240</f>
        <v>0</v>
      </c>
      <c r="L216" s="17">
        <f>'BLM STATS'!R240</f>
        <v>0</v>
      </c>
      <c r="M216" s="502">
        <f>'BLM STATS'!S240</f>
        <v>0</v>
      </c>
      <c r="N216" s="18">
        <f>'BLM STATS'!T240</f>
        <v>0</v>
      </c>
      <c r="O216" s="19">
        <f>'BLM STATS'!U240</f>
        <v>0</v>
      </c>
      <c r="P216" s="41">
        <f>'BLM STATS'!V240</f>
        <v>0</v>
      </c>
      <c r="Q216" s="187">
        <f>'BLM STATS'!W237</f>
        <v>0</v>
      </c>
      <c r="R216" s="76"/>
      <c r="S216" s="503"/>
      <c r="T216" s="17"/>
      <c r="U216" s="501"/>
      <c r="V216" s="187"/>
      <c r="W216" s="82">
        <f>'BLM STATS'!Y240</f>
        <v>0</v>
      </c>
      <c r="X216" s="82">
        <f>'BLM STATS'!Z240</f>
        <v>0</v>
      </c>
    </row>
    <row r="217" spans="1:24" x14ac:dyDescent="0.25">
      <c r="A217" s="68">
        <f>'BLM STATS'!A241</f>
        <v>0</v>
      </c>
      <c r="B217" s="507">
        <f>'BLM STATS'!B241</f>
        <v>0</v>
      </c>
      <c r="C217" s="501">
        <f>'BLM STATS'!F241</f>
        <v>0</v>
      </c>
      <c r="D217" s="501">
        <f>'BLM STATS'!I241</f>
        <v>0</v>
      </c>
      <c r="E217" s="501">
        <f>'BLM STATS'!J241</f>
        <v>0</v>
      </c>
      <c r="F217" s="501">
        <f>'BLM STATS'!K241</f>
        <v>0</v>
      </c>
      <c r="G217" s="501">
        <f>'BLM STATS'!L241</f>
        <v>0</v>
      </c>
      <c r="H217" s="508">
        <f>'BLM STATS'!C241</f>
        <v>0</v>
      </c>
      <c r="I217" s="201">
        <f t="shared" si="6"/>
        <v>0</v>
      </c>
      <c r="J217" s="15">
        <f>'BLM STATS'!P241</f>
        <v>0</v>
      </c>
      <c r="K217" s="16">
        <f>'BLM STATS'!Q241</f>
        <v>0</v>
      </c>
      <c r="L217" s="17">
        <f>'BLM STATS'!R241</f>
        <v>0</v>
      </c>
      <c r="M217" s="502">
        <f>'BLM STATS'!S241</f>
        <v>0</v>
      </c>
      <c r="N217" s="18">
        <f>'BLM STATS'!T241</f>
        <v>0</v>
      </c>
      <c r="O217" s="19">
        <f>'BLM STATS'!U241</f>
        <v>0</v>
      </c>
      <c r="P217" s="41">
        <f>'BLM STATS'!V241</f>
        <v>0</v>
      </c>
      <c r="Q217" s="187">
        <f>'BLM STATS'!W238</f>
        <v>0</v>
      </c>
      <c r="R217" s="76"/>
      <c r="S217" s="503"/>
      <c r="T217" s="17"/>
      <c r="U217" s="501"/>
      <c r="V217" s="187"/>
      <c r="W217" s="82">
        <f>'BLM STATS'!Y241</f>
        <v>0</v>
      </c>
      <c r="X217" s="82">
        <f>'BLM STATS'!Z241</f>
        <v>0</v>
      </c>
    </row>
    <row r="218" spans="1:24" x14ac:dyDescent="0.25">
      <c r="A218" s="68">
        <f>'BLM STATS'!A242</f>
        <v>0</v>
      </c>
      <c r="B218" s="507">
        <f>'BLM STATS'!B242</f>
        <v>0</v>
      </c>
      <c r="C218" s="501">
        <f>'BLM STATS'!F242</f>
        <v>0</v>
      </c>
      <c r="D218" s="501">
        <f>'BLM STATS'!I242</f>
        <v>0</v>
      </c>
      <c r="E218" s="501">
        <f>'BLM STATS'!J242</f>
        <v>0</v>
      </c>
      <c r="F218" s="501">
        <f>'BLM STATS'!K242</f>
        <v>0</v>
      </c>
      <c r="G218" s="501">
        <f>'BLM STATS'!L242</f>
        <v>0</v>
      </c>
      <c r="H218" s="508">
        <f>'BLM STATS'!C242</f>
        <v>0</v>
      </c>
      <c r="I218" s="201">
        <f t="shared" si="6"/>
        <v>0</v>
      </c>
      <c r="J218" s="15">
        <f>'BLM STATS'!P242</f>
        <v>0</v>
      </c>
      <c r="K218" s="16">
        <f>'BLM STATS'!Q242</f>
        <v>0</v>
      </c>
      <c r="L218" s="17">
        <f>'BLM STATS'!R242</f>
        <v>0</v>
      </c>
      <c r="M218" s="502">
        <f>'BLM STATS'!S242</f>
        <v>0</v>
      </c>
      <c r="N218" s="18">
        <f>'BLM STATS'!T242</f>
        <v>0</v>
      </c>
      <c r="O218" s="19">
        <f>'BLM STATS'!U242</f>
        <v>0</v>
      </c>
      <c r="P218" s="41">
        <f>'BLM STATS'!V242</f>
        <v>0</v>
      </c>
      <c r="Q218" s="187">
        <f>'BLM STATS'!W239</f>
        <v>0</v>
      </c>
      <c r="R218" s="76"/>
      <c r="S218" s="503"/>
      <c r="T218" s="17"/>
      <c r="U218" s="501"/>
      <c r="V218" s="187"/>
      <c r="W218" s="82">
        <f>'BLM STATS'!Y242</f>
        <v>0</v>
      </c>
      <c r="X218" s="82">
        <f>'BLM STATS'!Z242</f>
        <v>0</v>
      </c>
    </row>
    <row r="219" spans="1:24" x14ac:dyDescent="0.25">
      <c r="A219" s="68">
        <f>'BLM STATS'!A243</f>
        <v>0</v>
      </c>
      <c r="B219" s="507">
        <f>'BLM STATS'!B243</f>
        <v>0</v>
      </c>
      <c r="C219" s="501">
        <f>'BLM STATS'!F243</f>
        <v>0</v>
      </c>
      <c r="D219" s="501">
        <f>'BLM STATS'!I243</f>
        <v>0</v>
      </c>
      <c r="E219" s="501">
        <f>'BLM STATS'!J243</f>
        <v>0</v>
      </c>
      <c r="F219" s="501">
        <f>'BLM STATS'!K243</f>
        <v>0</v>
      </c>
      <c r="G219" s="501">
        <f>'BLM STATS'!L243</f>
        <v>0</v>
      </c>
      <c r="H219" s="508">
        <f>'BLM STATS'!C243</f>
        <v>0</v>
      </c>
      <c r="I219" s="201">
        <f t="shared" si="6"/>
        <v>0</v>
      </c>
      <c r="J219" s="15">
        <f>'BLM STATS'!P243</f>
        <v>0</v>
      </c>
      <c r="K219" s="16">
        <f>'BLM STATS'!Q243</f>
        <v>0</v>
      </c>
      <c r="L219" s="17">
        <f>'BLM STATS'!R243</f>
        <v>0</v>
      </c>
      <c r="M219" s="502">
        <f>'BLM STATS'!S243</f>
        <v>0</v>
      </c>
      <c r="N219" s="18">
        <f>'BLM STATS'!T243</f>
        <v>0</v>
      </c>
      <c r="O219" s="19">
        <f>'BLM STATS'!U243</f>
        <v>0</v>
      </c>
      <c r="P219" s="41">
        <f>'BLM STATS'!V243</f>
        <v>0</v>
      </c>
      <c r="Q219" s="187">
        <f>'BLM STATS'!W240</f>
        <v>0</v>
      </c>
      <c r="R219" s="76"/>
      <c r="S219" s="503"/>
      <c r="T219" s="17"/>
      <c r="U219" s="501"/>
      <c r="V219" s="187"/>
      <c r="W219" s="82">
        <f>'BLM STATS'!Y243</f>
        <v>0</v>
      </c>
      <c r="X219" s="82">
        <f>'BLM STATS'!Z243</f>
        <v>0</v>
      </c>
    </row>
    <row r="220" spans="1:24" x14ac:dyDescent="0.25">
      <c r="A220" s="68">
        <f>'BLM STATS'!A244</f>
        <v>0</v>
      </c>
      <c r="B220" s="507">
        <f>'BLM STATS'!B244</f>
        <v>0</v>
      </c>
      <c r="C220" s="501">
        <f>'BLM STATS'!F244</f>
        <v>0</v>
      </c>
      <c r="D220" s="501">
        <f>'BLM STATS'!I244</f>
        <v>0</v>
      </c>
      <c r="E220" s="501">
        <f>'BLM STATS'!J244</f>
        <v>0</v>
      </c>
      <c r="F220" s="501">
        <f>'BLM STATS'!K244</f>
        <v>0</v>
      </c>
      <c r="G220" s="501">
        <f>'BLM STATS'!L244</f>
        <v>0</v>
      </c>
      <c r="H220" s="508">
        <f>'BLM STATS'!C244</f>
        <v>0</v>
      </c>
      <c r="I220" s="201">
        <f t="shared" si="6"/>
        <v>0</v>
      </c>
      <c r="J220" s="15">
        <f>'BLM STATS'!P244</f>
        <v>0</v>
      </c>
      <c r="K220" s="16">
        <f>'BLM STATS'!Q244</f>
        <v>0</v>
      </c>
      <c r="L220" s="17">
        <f>'BLM STATS'!R244</f>
        <v>0</v>
      </c>
      <c r="M220" s="502">
        <f>'BLM STATS'!S244</f>
        <v>0</v>
      </c>
      <c r="N220" s="18">
        <f>'BLM STATS'!T244</f>
        <v>0</v>
      </c>
      <c r="O220" s="19">
        <f>'BLM STATS'!U244</f>
        <v>0</v>
      </c>
      <c r="P220" s="41">
        <f>'BLM STATS'!V244</f>
        <v>0</v>
      </c>
      <c r="Q220" s="187">
        <f>'BLM STATS'!W241</f>
        <v>0</v>
      </c>
      <c r="R220" s="76"/>
      <c r="S220" s="503"/>
      <c r="T220" s="17"/>
      <c r="U220" s="501"/>
      <c r="V220" s="187"/>
      <c r="W220" s="82">
        <f>'BLM STATS'!Y244</f>
        <v>0</v>
      </c>
      <c r="X220" s="82">
        <f>'BLM STATS'!Z244</f>
        <v>0</v>
      </c>
    </row>
    <row r="221" spans="1:24" x14ac:dyDescent="0.25">
      <c r="A221" s="68">
        <f>'BLM STATS'!A245</f>
        <v>0</v>
      </c>
      <c r="B221" s="507">
        <f>'BLM STATS'!B245</f>
        <v>0</v>
      </c>
      <c r="C221" s="501">
        <f>'BLM STATS'!F245</f>
        <v>0</v>
      </c>
      <c r="D221" s="501">
        <f>'BLM STATS'!I245</f>
        <v>0</v>
      </c>
      <c r="E221" s="501">
        <f>'BLM STATS'!J245</f>
        <v>0</v>
      </c>
      <c r="F221" s="501">
        <f>'BLM STATS'!K245</f>
        <v>0</v>
      </c>
      <c r="G221" s="501">
        <f>'BLM STATS'!L245</f>
        <v>0</v>
      </c>
      <c r="H221" s="508">
        <f>'BLM STATS'!C245</f>
        <v>0</v>
      </c>
      <c r="I221" s="201">
        <f t="shared" si="6"/>
        <v>0</v>
      </c>
      <c r="J221" s="15">
        <f>'BLM STATS'!P245</f>
        <v>0</v>
      </c>
      <c r="K221" s="16">
        <f>'BLM STATS'!Q245</f>
        <v>0</v>
      </c>
      <c r="L221" s="17">
        <f>'BLM STATS'!R245</f>
        <v>0</v>
      </c>
      <c r="M221" s="502">
        <f>'BLM STATS'!S245</f>
        <v>0</v>
      </c>
      <c r="N221" s="18">
        <f>'BLM STATS'!T245</f>
        <v>0</v>
      </c>
      <c r="O221" s="19">
        <f>'BLM STATS'!U245</f>
        <v>0</v>
      </c>
      <c r="P221" s="41">
        <f>'BLM STATS'!V245</f>
        <v>0</v>
      </c>
      <c r="Q221" s="187">
        <f>'BLM STATS'!W242</f>
        <v>0</v>
      </c>
      <c r="R221" s="76"/>
      <c r="S221" s="503"/>
      <c r="T221" s="17"/>
      <c r="U221" s="501"/>
      <c r="V221" s="187"/>
      <c r="W221" s="82">
        <f>'BLM STATS'!Y245</f>
        <v>0</v>
      </c>
      <c r="X221" s="82">
        <f>'BLM STATS'!Z245</f>
        <v>0</v>
      </c>
    </row>
    <row r="222" spans="1:24" x14ac:dyDescent="0.25">
      <c r="A222" s="68">
        <f>'BLM STATS'!A246</f>
        <v>0</v>
      </c>
      <c r="B222" s="507">
        <f>'BLM STATS'!B246</f>
        <v>0</v>
      </c>
      <c r="C222" s="501">
        <f>'BLM STATS'!F246</f>
        <v>0</v>
      </c>
      <c r="D222" s="501">
        <f>'BLM STATS'!I246</f>
        <v>0</v>
      </c>
      <c r="E222" s="501">
        <f>'BLM STATS'!J246</f>
        <v>0</v>
      </c>
      <c r="F222" s="501">
        <f>'BLM STATS'!K246</f>
        <v>0</v>
      </c>
      <c r="G222" s="501">
        <f>'BLM STATS'!L246</f>
        <v>0</v>
      </c>
      <c r="H222" s="508">
        <f>'BLM STATS'!C246</f>
        <v>0</v>
      </c>
      <c r="I222" s="201">
        <f t="shared" si="6"/>
        <v>0</v>
      </c>
      <c r="J222" s="15">
        <f>'BLM STATS'!P246</f>
        <v>0</v>
      </c>
      <c r="K222" s="16">
        <f>'BLM STATS'!Q246</f>
        <v>0</v>
      </c>
      <c r="L222" s="17">
        <f>'BLM STATS'!R246</f>
        <v>0</v>
      </c>
      <c r="M222" s="502">
        <f>'BLM STATS'!S246</f>
        <v>0</v>
      </c>
      <c r="N222" s="18">
        <f>'BLM STATS'!T246</f>
        <v>0</v>
      </c>
      <c r="O222" s="19">
        <f>'BLM STATS'!U246</f>
        <v>0</v>
      </c>
      <c r="P222" s="41">
        <f>'BLM STATS'!V246</f>
        <v>0</v>
      </c>
      <c r="Q222" s="187">
        <f>'BLM STATS'!W243</f>
        <v>0</v>
      </c>
      <c r="R222" s="76"/>
      <c r="S222" s="503"/>
      <c r="T222" s="17"/>
      <c r="U222" s="501"/>
      <c r="V222" s="187"/>
      <c r="W222" s="82">
        <f>'BLM STATS'!Y246</f>
        <v>0</v>
      </c>
      <c r="X222" s="82">
        <f>'BLM STATS'!Z246</f>
        <v>0</v>
      </c>
    </row>
    <row r="223" spans="1:24" x14ac:dyDescent="0.25">
      <c r="A223" s="68">
        <f>'BLM STATS'!A247</f>
        <v>0</v>
      </c>
      <c r="B223" s="507">
        <f>'BLM STATS'!B247</f>
        <v>0</v>
      </c>
      <c r="C223" s="501">
        <f>'BLM STATS'!F247</f>
        <v>0</v>
      </c>
      <c r="D223" s="501">
        <f>'BLM STATS'!I247</f>
        <v>0</v>
      </c>
      <c r="E223" s="501">
        <f>'BLM STATS'!J247</f>
        <v>0</v>
      </c>
      <c r="F223" s="501">
        <f>'BLM STATS'!K247</f>
        <v>0</v>
      </c>
      <c r="G223" s="501">
        <f>'BLM STATS'!L247</f>
        <v>0</v>
      </c>
      <c r="H223" s="508">
        <f>'BLM STATS'!C247</f>
        <v>0</v>
      </c>
      <c r="I223" s="201">
        <f t="shared" si="6"/>
        <v>0</v>
      </c>
      <c r="J223" s="15">
        <f>'BLM STATS'!P247</f>
        <v>0</v>
      </c>
      <c r="K223" s="16">
        <f>'BLM STATS'!Q247</f>
        <v>0</v>
      </c>
      <c r="L223" s="17">
        <f>'BLM STATS'!R247</f>
        <v>0</v>
      </c>
      <c r="M223" s="502">
        <f>'BLM STATS'!S247</f>
        <v>0</v>
      </c>
      <c r="N223" s="18">
        <f>'BLM STATS'!T247</f>
        <v>0</v>
      </c>
      <c r="O223" s="19">
        <f>'BLM STATS'!U247</f>
        <v>0</v>
      </c>
      <c r="P223" s="41">
        <f>'BLM STATS'!V247</f>
        <v>0</v>
      </c>
      <c r="Q223" s="187">
        <f>'BLM STATS'!W244</f>
        <v>0</v>
      </c>
      <c r="R223" s="76"/>
      <c r="S223" s="503"/>
      <c r="T223" s="17"/>
      <c r="U223" s="501"/>
      <c r="V223" s="187"/>
      <c r="W223" s="82">
        <f>'BLM STATS'!Y247</f>
        <v>0</v>
      </c>
      <c r="X223" s="82">
        <f>'BLM STATS'!Z247</f>
        <v>0</v>
      </c>
    </row>
    <row r="224" spans="1:24" x14ac:dyDescent="0.25">
      <c r="A224" s="68">
        <f>'BLM STATS'!A248</f>
        <v>0</v>
      </c>
      <c r="B224" s="507">
        <f>'BLM STATS'!B248</f>
        <v>0</v>
      </c>
      <c r="C224" s="501">
        <f>'BLM STATS'!F248</f>
        <v>0</v>
      </c>
      <c r="D224" s="501">
        <f>'BLM STATS'!I248</f>
        <v>0</v>
      </c>
      <c r="E224" s="501">
        <f>'BLM STATS'!J248</f>
        <v>0</v>
      </c>
      <c r="F224" s="501">
        <f>'BLM STATS'!K248</f>
        <v>0</v>
      </c>
      <c r="G224" s="501">
        <f>'BLM STATS'!L248</f>
        <v>0</v>
      </c>
      <c r="H224" s="508">
        <f>'BLM STATS'!C248</f>
        <v>0</v>
      </c>
      <c r="I224" s="201">
        <f t="shared" si="6"/>
        <v>0</v>
      </c>
      <c r="J224" s="15">
        <f>'BLM STATS'!P248</f>
        <v>0</v>
      </c>
      <c r="K224" s="16">
        <f>'BLM STATS'!Q248</f>
        <v>0</v>
      </c>
      <c r="L224" s="17">
        <f>'BLM STATS'!R248</f>
        <v>0</v>
      </c>
      <c r="M224" s="502">
        <f>'BLM STATS'!S248</f>
        <v>0</v>
      </c>
      <c r="N224" s="18">
        <f>'BLM STATS'!T248</f>
        <v>0</v>
      </c>
      <c r="O224" s="19">
        <f>'BLM STATS'!U248</f>
        <v>0</v>
      </c>
      <c r="P224" s="41">
        <f>'BLM STATS'!V248</f>
        <v>0</v>
      </c>
      <c r="Q224" s="187">
        <f>'BLM STATS'!W245</f>
        <v>0</v>
      </c>
      <c r="R224" s="76"/>
      <c r="S224" s="503"/>
      <c r="T224" s="17"/>
      <c r="U224" s="501"/>
      <c r="V224" s="187"/>
      <c r="W224" s="82">
        <f>'BLM STATS'!Y248</f>
        <v>0</v>
      </c>
      <c r="X224" s="82">
        <f>'BLM STATS'!Z248</f>
        <v>0</v>
      </c>
    </row>
    <row r="225" spans="1:24" x14ac:dyDescent="0.25">
      <c r="A225" s="68">
        <f>'BLM STATS'!A249</f>
        <v>0</v>
      </c>
      <c r="B225" s="507">
        <f>'BLM STATS'!B249</f>
        <v>0</v>
      </c>
      <c r="C225" s="501">
        <f>'BLM STATS'!F249</f>
        <v>0</v>
      </c>
      <c r="D225" s="501">
        <f>'BLM STATS'!I249</f>
        <v>0</v>
      </c>
      <c r="E225" s="501">
        <f>'BLM STATS'!J249</f>
        <v>0</v>
      </c>
      <c r="F225" s="501">
        <f>'BLM STATS'!K249</f>
        <v>0</v>
      </c>
      <c r="G225" s="501">
        <f>'BLM STATS'!L249</f>
        <v>0</v>
      </c>
      <c r="H225" s="508">
        <f>'BLM STATS'!C249</f>
        <v>0</v>
      </c>
      <c r="I225" s="201">
        <f t="shared" si="6"/>
        <v>0</v>
      </c>
      <c r="J225" s="15">
        <f>'BLM STATS'!P249</f>
        <v>0</v>
      </c>
      <c r="K225" s="16">
        <f>'BLM STATS'!Q249</f>
        <v>0</v>
      </c>
      <c r="L225" s="17">
        <f>'BLM STATS'!R249</f>
        <v>0</v>
      </c>
      <c r="M225" s="502">
        <f>'BLM STATS'!S249</f>
        <v>0</v>
      </c>
      <c r="N225" s="18">
        <f>'BLM STATS'!T249</f>
        <v>0</v>
      </c>
      <c r="O225" s="19">
        <f>'BLM STATS'!U249</f>
        <v>0</v>
      </c>
      <c r="P225" s="41">
        <f>'BLM STATS'!V249</f>
        <v>0</v>
      </c>
      <c r="Q225" s="187">
        <f>'BLM STATS'!W246</f>
        <v>0</v>
      </c>
      <c r="R225" s="76"/>
      <c r="S225" s="503"/>
      <c r="T225" s="17"/>
      <c r="U225" s="501"/>
      <c r="V225" s="187"/>
      <c r="W225" s="82">
        <f>'BLM STATS'!Y249</f>
        <v>0</v>
      </c>
      <c r="X225" s="82">
        <f>'BLM STATS'!Z249</f>
        <v>0</v>
      </c>
    </row>
    <row r="226" spans="1:24" x14ac:dyDescent="0.25">
      <c r="A226" s="68">
        <f>'BLM STATS'!A250</f>
        <v>0</v>
      </c>
      <c r="B226" s="507">
        <f>'BLM STATS'!B250</f>
        <v>0</v>
      </c>
      <c r="C226" s="501">
        <f>'BLM STATS'!F250</f>
        <v>0</v>
      </c>
      <c r="D226" s="501">
        <f>'BLM STATS'!I250</f>
        <v>0</v>
      </c>
      <c r="E226" s="501">
        <f>'BLM STATS'!J250</f>
        <v>0</v>
      </c>
      <c r="F226" s="501">
        <f>'BLM STATS'!K250</f>
        <v>0</v>
      </c>
      <c r="G226" s="501">
        <f>'BLM STATS'!L250</f>
        <v>0</v>
      </c>
      <c r="H226" s="508">
        <f>'BLM STATS'!C250</f>
        <v>0</v>
      </c>
      <c r="I226" s="201">
        <f t="shared" si="6"/>
        <v>0</v>
      </c>
      <c r="J226" s="15">
        <f>'BLM STATS'!P250</f>
        <v>0</v>
      </c>
      <c r="K226" s="16">
        <f>'BLM STATS'!Q250</f>
        <v>0</v>
      </c>
      <c r="L226" s="17">
        <f>'BLM STATS'!R250</f>
        <v>0</v>
      </c>
      <c r="M226" s="502">
        <f>'BLM STATS'!S250</f>
        <v>0</v>
      </c>
      <c r="N226" s="18">
        <f>'BLM STATS'!T250</f>
        <v>0</v>
      </c>
      <c r="O226" s="19">
        <f>'BLM STATS'!U250</f>
        <v>0</v>
      </c>
      <c r="P226" s="41">
        <f>'BLM STATS'!V250</f>
        <v>0</v>
      </c>
      <c r="Q226" s="187">
        <f>'BLM STATS'!W247</f>
        <v>0</v>
      </c>
      <c r="R226" s="76"/>
      <c r="S226" s="503"/>
      <c r="T226" s="17"/>
      <c r="U226" s="501"/>
      <c r="V226" s="187"/>
      <c r="W226" s="82">
        <f>'BLM STATS'!Y250</f>
        <v>0</v>
      </c>
      <c r="X226" s="82">
        <f>'BLM STATS'!Z250</f>
        <v>0</v>
      </c>
    </row>
    <row r="227" spans="1:24" x14ac:dyDescent="0.25">
      <c r="A227" s="68">
        <f>'BLM STATS'!A251</f>
        <v>0</v>
      </c>
      <c r="B227" s="507">
        <f>'BLM STATS'!B251</f>
        <v>0</v>
      </c>
      <c r="C227" s="501">
        <f>'BLM STATS'!F251</f>
        <v>0</v>
      </c>
      <c r="D227" s="501">
        <f>'BLM STATS'!I251</f>
        <v>0</v>
      </c>
      <c r="E227" s="501">
        <f>'BLM STATS'!J251</f>
        <v>0</v>
      </c>
      <c r="F227" s="501">
        <f>'BLM STATS'!K251</f>
        <v>0</v>
      </c>
      <c r="G227" s="501">
        <f>'BLM STATS'!L251</f>
        <v>0</v>
      </c>
      <c r="H227" s="508">
        <f>'BLM STATS'!C251</f>
        <v>0</v>
      </c>
      <c r="I227" s="201">
        <f t="shared" si="6"/>
        <v>0</v>
      </c>
      <c r="J227" s="15">
        <f>'BLM STATS'!P251</f>
        <v>0</v>
      </c>
      <c r="K227" s="16">
        <f>'BLM STATS'!Q251</f>
        <v>0</v>
      </c>
      <c r="L227" s="17">
        <f>'BLM STATS'!R251</f>
        <v>0</v>
      </c>
      <c r="M227" s="502">
        <f>'BLM STATS'!S251</f>
        <v>0</v>
      </c>
      <c r="N227" s="18">
        <f>'BLM STATS'!T251</f>
        <v>0</v>
      </c>
      <c r="O227" s="19">
        <f>'BLM STATS'!U251</f>
        <v>0</v>
      </c>
      <c r="P227" s="41">
        <f>'BLM STATS'!V251</f>
        <v>0</v>
      </c>
      <c r="Q227" s="187">
        <f>'BLM STATS'!W248</f>
        <v>0</v>
      </c>
      <c r="R227" s="76"/>
      <c r="S227" s="503"/>
      <c r="T227" s="17"/>
      <c r="U227" s="501"/>
      <c r="V227" s="187"/>
      <c r="W227" s="82">
        <f>'BLM STATS'!Y251</f>
        <v>0</v>
      </c>
      <c r="X227" s="82">
        <f>'BLM STATS'!Z251</f>
        <v>0</v>
      </c>
    </row>
    <row r="228" spans="1:24" x14ac:dyDescent="0.25">
      <c r="A228" s="68">
        <f>'BLM STATS'!A252</f>
        <v>0</v>
      </c>
      <c r="B228" s="507">
        <f>'BLM STATS'!B252</f>
        <v>0</v>
      </c>
      <c r="C228" s="501">
        <f>'BLM STATS'!F252</f>
        <v>0</v>
      </c>
      <c r="D228" s="501">
        <f>'BLM STATS'!I252</f>
        <v>0</v>
      </c>
      <c r="E228" s="501">
        <f>'BLM STATS'!J252</f>
        <v>0</v>
      </c>
      <c r="F228" s="501">
        <f>'BLM STATS'!K252</f>
        <v>0</v>
      </c>
      <c r="G228" s="501">
        <f>'BLM STATS'!L252</f>
        <v>0</v>
      </c>
      <c r="H228" s="508">
        <f>'BLM STATS'!C252</f>
        <v>0</v>
      </c>
      <c r="I228" s="201">
        <f t="shared" si="6"/>
        <v>0</v>
      </c>
      <c r="J228" s="15">
        <f>'BLM STATS'!P252</f>
        <v>0</v>
      </c>
      <c r="K228" s="16">
        <f>'BLM STATS'!Q252</f>
        <v>0</v>
      </c>
      <c r="L228" s="17">
        <f>'BLM STATS'!R252</f>
        <v>0</v>
      </c>
      <c r="M228" s="502">
        <f>'BLM STATS'!S252</f>
        <v>0</v>
      </c>
      <c r="N228" s="18">
        <f>'BLM STATS'!T252</f>
        <v>0</v>
      </c>
      <c r="O228" s="19">
        <f>'BLM STATS'!U252</f>
        <v>0</v>
      </c>
      <c r="P228" s="41">
        <f>'BLM STATS'!V252</f>
        <v>0</v>
      </c>
      <c r="Q228" s="187">
        <f>'BLM STATS'!W249</f>
        <v>0</v>
      </c>
      <c r="R228" s="76"/>
      <c r="S228" s="503"/>
      <c r="T228" s="17"/>
      <c r="U228" s="501"/>
      <c r="V228" s="187"/>
      <c r="W228" s="82">
        <f>'BLM STATS'!Y252</f>
        <v>0</v>
      </c>
      <c r="X228" s="82">
        <f>'BLM STATS'!Z252</f>
        <v>0</v>
      </c>
    </row>
    <row r="229" spans="1:24" x14ac:dyDescent="0.25">
      <c r="A229" s="68">
        <f>'BLM STATS'!A253</f>
        <v>0</v>
      </c>
      <c r="B229" s="507">
        <f>'BLM STATS'!B253</f>
        <v>0</v>
      </c>
      <c r="C229" s="501">
        <f>'BLM STATS'!F253</f>
        <v>0</v>
      </c>
      <c r="D229" s="501">
        <f>'BLM STATS'!I253</f>
        <v>0</v>
      </c>
      <c r="E229" s="501">
        <f>'BLM STATS'!J253</f>
        <v>0</v>
      </c>
      <c r="F229" s="501">
        <f>'BLM STATS'!K253</f>
        <v>0</v>
      </c>
      <c r="G229" s="501">
        <f>'BLM STATS'!L253</f>
        <v>0</v>
      </c>
      <c r="H229" s="508">
        <f>'BLM STATS'!C253</f>
        <v>0</v>
      </c>
      <c r="I229" s="201">
        <f t="shared" si="6"/>
        <v>0</v>
      </c>
      <c r="J229" s="15">
        <f>'BLM STATS'!P253</f>
        <v>0</v>
      </c>
      <c r="K229" s="16">
        <f>'BLM STATS'!Q253</f>
        <v>0</v>
      </c>
      <c r="L229" s="17">
        <f>'BLM STATS'!R253</f>
        <v>0</v>
      </c>
      <c r="M229" s="502">
        <f>'BLM STATS'!S253</f>
        <v>0</v>
      </c>
      <c r="N229" s="18">
        <f>'BLM STATS'!T253</f>
        <v>0</v>
      </c>
      <c r="O229" s="19">
        <f>'BLM STATS'!U253</f>
        <v>0</v>
      </c>
      <c r="P229" s="41">
        <f>'BLM STATS'!V253</f>
        <v>0</v>
      </c>
      <c r="Q229" s="187">
        <f>'BLM STATS'!W250</f>
        <v>0</v>
      </c>
      <c r="R229" s="76"/>
      <c r="S229" s="503"/>
      <c r="T229" s="17"/>
      <c r="U229" s="501"/>
      <c r="V229" s="187"/>
      <c r="W229" s="82">
        <f>'BLM STATS'!Y253</f>
        <v>0</v>
      </c>
      <c r="X229" s="82">
        <f>'BLM STATS'!Z253</f>
        <v>0</v>
      </c>
    </row>
    <row r="230" spans="1:24" x14ac:dyDescent="0.25">
      <c r="A230" s="68">
        <f>'BLM STATS'!A254</f>
        <v>0</v>
      </c>
      <c r="B230" s="507">
        <f>'BLM STATS'!B254</f>
        <v>0</v>
      </c>
      <c r="C230" s="501">
        <f>'BLM STATS'!F254</f>
        <v>0</v>
      </c>
      <c r="D230" s="501">
        <f>'BLM STATS'!I254</f>
        <v>0</v>
      </c>
      <c r="E230" s="501">
        <f>'BLM STATS'!J254</f>
        <v>0</v>
      </c>
      <c r="F230" s="501">
        <f>'BLM STATS'!K254</f>
        <v>0</v>
      </c>
      <c r="G230" s="501">
        <f>'BLM STATS'!L254</f>
        <v>0</v>
      </c>
      <c r="H230" s="508">
        <f>'BLM STATS'!C254</f>
        <v>0</v>
      </c>
      <c r="I230" s="201">
        <f t="shared" si="6"/>
        <v>0</v>
      </c>
      <c r="J230" s="15">
        <f>'BLM STATS'!P254</f>
        <v>0</v>
      </c>
      <c r="K230" s="16">
        <f>'BLM STATS'!Q254</f>
        <v>0</v>
      </c>
      <c r="L230" s="17">
        <f>'BLM STATS'!R254</f>
        <v>0</v>
      </c>
      <c r="M230" s="502">
        <f>'BLM STATS'!S254</f>
        <v>0</v>
      </c>
      <c r="N230" s="18">
        <f>'BLM STATS'!T254</f>
        <v>0</v>
      </c>
      <c r="O230" s="19">
        <f>'BLM STATS'!U254</f>
        <v>0</v>
      </c>
      <c r="P230" s="41">
        <f>'BLM STATS'!V253</f>
        <v>0</v>
      </c>
      <c r="Q230" s="187">
        <f>'BLM STATS'!W251</f>
        <v>0</v>
      </c>
      <c r="R230" s="76"/>
      <c r="S230" s="503"/>
      <c r="T230" s="17"/>
      <c r="U230" s="501"/>
      <c r="V230" s="187"/>
      <c r="W230" s="82">
        <f>'BLM STATS'!Y254</f>
        <v>0</v>
      </c>
      <c r="X230" s="82">
        <f>'BLM STATS'!Z254</f>
        <v>0</v>
      </c>
    </row>
    <row r="231" spans="1:24" x14ac:dyDescent="0.25">
      <c r="A231" s="68">
        <f>'BLM STATS'!A255</f>
        <v>0</v>
      </c>
      <c r="B231" s="507">
        <f>'BLM STATS'!B255</f>
        <v>0</v>
      </c>
      <c r="C231" s="501">
        <f>'BLM STATS'!F255</f>
        <v>0</v>
      </c>
      <c r="D231" s="501">
        <f>'BLM STATS'!I255</f>
        <v>0</v>
      </c>
      <c r="E231" s="501">
        <f>'BLM STATS'!J255</f>
        <v>0</v>
      </c>
      <c r="F231" s="501">
        <f>'BLM STATS'!K255</f>
        <v>0</v>
      </c>
      <c r="G231" s="501">
        <f>'BLM STATS'!L255</f>
        <v>0</v>
      </c>
      <c r="H231" s="508">
        <f>'BLM STATS'!C255</f>
        <v>0</v>
      </c>
      <c r="I231" s="201">
        <f t="shared" si="6"/>
        <v>0</v>
      </c>
      <c r="J231" s="15">
        <f>'BLM STATS'!P255</f>
        <v>0</v>
      </c>
      <c r="K231" s="16">
        <f>'BLM STATS'!Q255</f>
        <v>0</v>
      </c>
      <c r="L231" s="17">
        <f>'BLM STATS'!R255</f>
        <v>0</v>
      </c>
      <c r="M231" s="502">
        <f>'BLM STATS'!S255</f>
        <v>0</v>
      </c>
      <c r="N231" s="18">
        <f>'BLM STATS'!T255</f>
        <v>0</v>
      </c>
      <c r="O231" s="19">
        <f>'BLM STATS'!U255</f>
        <v>0</v>
      </c>
      <c r="P231" s="41">
        <f>'BLM STATS'!V254</f>
        <v>0</v>
      </c>
      <c r="Q231" s="187">
        <f>'BLM STATS'!W252</f>
        <v>0</v>
      </c>
      <c r="R231" s="76"/>
      <c r="S231" s="503"/>
      <c r="T231" s="17"/>
      <c r="U231" s="501"/>
      <c r="V231" s="187"/>
      <c r="W231" s="82">
        <f>'BLM STATS'!Y255</f>
        <v>0</v>
      </c>
      <c r="X231" s="82">
        <f>'BLM STATS'!Z255</f>
        <v>0</v>
      </c>
    </row>
    <row r="232" spans="1:24" x14ac:dyDescent="0.25">
      <c r="P232" s="455"/>
      <c r="W232" s="455"/>
    </row>
  </sheetData>
  <mergeCells count="9">
    <mergeCell ref="A4:H4"/>
    <mergeCell ref="A1:J1"/>
    <mergeCell ref="A2:A3"/>
    <mergeCell ref="B2:B3"/>
    <mergeCell ref="C2:C3"/>
    <mergeCell ref="D2:D3"/>
    <mergeCell ref="E2:G2"/>
    <mergeCell ref="H2:H3"/>
    <mergeCell ref="I2:X2"/>
  </mergeCells>
  <pageMargins left="0.7" right="0.7" top="0.75" bottom="0.75" header="0.3" footer="0.3"/>
  <pageSetup paperSize="17" scale="91" fitToHeight="0" orientation="landscape" r:id="rId1"/>
  <ignoredErrors>
    <ignoredError sqref="Q45:Q47 Q49:Q50 Q52 P5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26"/>
  <sheetViews>
    <sheetView zoomScale="80" zoomScaleNormal="80" workbookViewId="0">
      <selection activeCell="N171" sqref="N171"/>
    </sheetView>
  </sheetViews>
  <sheetFormatPr defaultRowHeight="50.1" customHeight="1" x14ac:dyDescent="0.25"/>
  <cols>
    <col min="1" max="2" width="9.140625" style="735"/>
    <col min="3" max="3" width="20.5703125" style="735" bestFit="1" customWidth="1"/>
    <col min="4" max="4" width="16.5703125" style="735" customWidth="1"/>
    <col min="5" max="5" width="15.42578125" style="806" customWidth="1"/>
    <col min="6" max="6" width="17.7109375" style="735" customWidth="1"/>
    <col min="7" max="7" width="39.28515625" style="735" customWidth="1"/>
    <col min="8" max="8" width="11.5703125" style="735" customWidth="1"/>
    <col min="9" max="9" width="13.28515625" style="735" customWidth="1"/>
    <col min="10" max="10" width="13.5703125" style="807" customWidth="1"/>
    <col min="11" max="11" width="14.28515625" style="807" customWidth="1"/>
    <col min="12" max="12" width="14.28515625" style="735" bestFit="1" customWidth="1"/>
    <col min="13" max="13" width="16.5703125" style="735" customWidth="1"/>
    <col min="14" max="16384" width="9.140625" style="735"/>
  </cols>
  <sheetData>
    <row r="1" spans="1:13" s="786" customFormat="1" ht="15" x14ac:dyDescent="0.25">
      <c r="A1" s="782" t="s">
        <v>290</v>
      </c>
      <c r="B1" s="782" t="s">
        <v>291</v>
      </c>
      <c r="C1" s="782" t="s">
        <v>292</v>
      </c>
      <c r="D1" s="783" t="s">
        <v>293</v>
      </c>
      <c r="E1" s="784" t="s">
        <v>294</v>
      </c>
      <c r="F1" s="783" t="s">
        <v>295</v>
      </c>
      <c r="G1" s="783" t="s">
        <v>296</v>
      </c>
      <c r="H1" s="783" t="s">
        <v>297</v>
      </c>
      <c r="I1" s="783" t="s">
        <v>298</v>
      </c>
      <c r="J1" s="785" t="s">
        <v>299</v>
      </c>
      <c r="K1" s="785" t="s">
        <v>300</v>
      </c>
      <c r="L1" s="783" t="s">
        <v>301</v>
      </c>
      <c r="M1" s="783" t="s">
        <v>293</v>
      </c>
    </row>
    <row r="2" spans="1:13" ht="15" x14ac:dyDescent="0.25">
      <c r="A2" s="736"/>
      <c r="B2" s="736"/>
      <c r="C2" s="736"/>
      <c r="D2" s="787"/>
      <c r="E2" s="788"/>
      <c r="F2" s="789"/>
      <c r="G2" s="787"/>
      <c r="H2" s="787"/>
      <c r="I2" s="787"/>
      <c r="J2" s="790"/>
      <c r="K2" s="791"/>
      <c r="L2" s="787"/>
      <c r="M2" s="787"/>
    </row>
    <row r="3" spans="1:13" ht="15" x14ac:dyDescent="0.25">
      <c r="A3" s="736"/>
      <c r="B3" s="736"/>
      <c r="C3" s="736"/>
      <c r="D3" s="787"/>
      <c r="E3" s="788"/>
      <c r="F3" s="789"/>
      <c r="G3" s="787"/>
      <c r="H3" s="787"/>
      <c r="I3" s="787"/>
      <c r="J3" s="790"/>
      <c r="K3" s="790"/>
      <c r="L3" s="787"/>
      <c r="M3" s="787"/>
    </row>
    <row r="4" spans="1:13" ht="15" x14ac:dyDescent="0.25">
      <c r="A4" s="736"/>
      <c r="B4" s="736"/>
      <c r="C4" s="736"/>
      <c r="D4" s="787"/>
      <c r="E4" s="788"/>
      <c r="F4" s="789"/>
      <c r="G4" s="787"/>
      <c r="H4" s="787"/>
      <c r="I4" s="787"/>
      <c r="J4" s="790"/>
      <c r="K4" s="790"/>
      <c r="L4" s="787"/>
      <c r="M4" s="787"/>
    </row>
    <row r="5" spans="1:13" ht="15" x14ac:dyDescent="0.25">
      <c r="A5" s="736"/>
      <c r="B5" s="736"/>
      <c r="C5" s="736"/>
      <c r="D5" s="787"/>
      <c r="E5" s="788"/>
      <c r="F5" s="789"/>
      <c r="G5" s="787"/>
      <c r="H5" s="787"/>
      <c r="I5" s="787"/>
      <c r="J5" s="790"/>
      <c r="K5" s="790"/>
      <c r="L5" s="787"/>
      <c r="M5" s="787"/>
    </row>
    <row r="6" spans="1:13" ht="15" x14ac:dyDescent="0.25">
      <c r="A6" s="736"/>
      <c r="B6" s="736"/>
      <c r="C6" s="736"/>
      <c r="D6" s="787"/>
      <c r="E6" s="788"/>
      <c r="F6" s="789"/>
      <c r="G6" s="787"/>
      <c r="H6" s="787"/>
      <c r="I6" s="787"/>
      <c r="J6" s="790"/>
      <c r="K6" s="790"/>
      <c r="L6" s="787"/>
      <c r="M6" s="787"/>
    </row>
    <row r="7" spans="1:13" ht="15" x14ac:dyDescent="0.25">
      <c r="A7" s="736"/>
      <c r="B7" s="736"/>
      <c r="C7" s="736"/>
      <c r="D7" s="787"/>
      <c r="E7" s="788"/>
      <c r="F7" s="787"/>
      <c r="G7" s="787"/>
      <c r="H7" s="787"/>
      <c r="I7" s="787"/>
      <c r="J7" s="790"/>
      <c r="K7" s="790"/>
      <c r="L7" s="787"/>
      <c r="M7" s="787"/>
    </row>
    <row r="8" spans="1:13" ht="15" x14ac:dyDescent="0.25">
      <c r="A8" s="736"/>
      <c r="B8" s="736"/>
      <c r="C8" s="736"/>
      <c r="D8" s="787"/>
      <c r="E8" s="788"/>
      <c r="F8" s="789"/>
      <c r="G8" s="787"/>
      <c r="H8" s="787"/>
      <c r="I8" s="787"/>
      <c r="J8" s="790"/>
      <c r="K8" s="790"/>
      <c r="L8" s="787"/>
      <c r="M8" s="787"/>
    </row>
    <row r="9" spans="1:13" ht="15" x14ac:dyDescent="0.25">
      <c r="A9" s="736"/>
      <c r="B9" s="736"/>
      <c r="C9" s="736"/>
      <c r="D9" s="787"/>
      <c r="E9" s="788"/>
      <c r="F9" s="789"/>
      <c r="G9" s="787"/>
      <c r="H9" s="787"/>
      <c r="I9" s="787"/>
      <c r="J9" s="790"/>
      <c r="K9" s="790"/>
      <c r="L9" s="787"/>
      <c r="M9" s="787"/>
    </row>
    <row r="10" spans="1:13" ht="15" x14ac:dyDescent="0.25">
      <c r="A10" s="736"/>
      <c r="B10" s="736"/>
      <c r="C10" s="736"/>
      <c r="D10" s="787"/>
      <c r="E10" s="788"/>
      <c r="F10" s="789"/>
      <c r="G10" s="787"/>
      <c r="H10" s="787"/>
      <c r="I10" s="787"/>
      <c r="J10" s="790"/>
      <c r="K10" s="790"/>
      <c r="L10" s="787"/>
      <c r="M10" s="787"/>
    </row>
    <row r="11" spans="1:13" ht="15" x14ac:dyDescent="0.25">
      <c r="A11" s="736"/>
      <c r="B11" s="736"/>
      <c r="C11" s="736"/>
      <c r="D11" s="787"/>
      <c r="E11" s="788"/>
      <c r="F11" s="789"/>
      <c r="G11" s="787"/>
      <c r="H11" s="787"/>
      <c r="I11" s="787"/>
      <c r="J11" s="790"/>
      <c r="K11" s="790"/>
      <c r="L11" s="787"/>
      <c r="M11" s="787"/>
    </row>
    <row r="12" spans="1:13" ht="15" x14ac:dyDescent="0.25">
      <c r="A12" s="736"/>
      <c r="B12" s="736"/>
      <c r="C12" s="736"/>
      <c r="D12" s="787"/>
      <c r="E12" s="788"/>
      <c r="F12" s="789"/>
      <c r="G12" s="787"/>
      <c r="H12" s="787"/>
      <c r="I12" s="787"/>
      <c r="J12" s="790"/>
      <c r="K12" s="790"/>
      <c r="L12" s="787"/>
      <c r="M12" s="787"/>
    </row>
    <row r="13" spans="1:13" ht="15" x14ac:dyDescent="0.25">
      <c r="A13" s="736"/>
      <c r="B13" s="736"/>
      <c r="C13" s="736"/>
      <c r="D13" s="787"/>
      <c r="E13" s="788"/>
      <c r="F13" s="789"/>
      <c r="G13" s="787"/>
      <c r="H13" s="787"/>
      <c r="I13" s="787"/>
      <c r="J13" s="790"/>
      <c r="K13" s="790"/>
      <c r="L13" s="787"/>
      <c r="M13" s="787"/>
    </row>
    <row r="14" spans="1:13" ht="15" x14ac:dyDescent="0.25">
      <c r="A14" s="736"/>
      <c r="B14" s="736"/>
      <c r="C14" s="736"/>
      <c r="D14" s="787"/>
      <c r="E14" s="788"/>
      <c r="F14" s="789"/>
      <c r="G14" s="787"/>
      <c r="H14" s="787"/>
      <c r="I14" s="787"/>
      <c r="J14" s="790"/>
      <c r="K14" s="790"/>
      <c r="L14" s="787"/>
      <c r="M14" s="787"/>
    </row>
    <row r="15" spans="1:13" ht="15" x14ac:dyDescent="0.25">
      <c r="A15" s="736"/>
      <c r="B15" s="736"/>
      <c r="C15" s="736"/>
      <c r="D15" s="787"/>
      <c r="E15" s="788"/>
      <c r="F15" s="789"/>
      <c r="G15" s="787"/>
      <c r="H15" s="787"/>
      <c r="I15" s="787"/>
      <c r="J15" s="790"/>
      <c r="K15" s="790"/>
      <c r="L15" s="787"/>
      <c r="M15" s="787"/>
    </row>
    <row r="16" spans="1:13" ht="15" x14ac:dyDescent="0.25">
      <c r="A16" s="736"/>
      <c r="B16" s="736"/>
      <c r="C16" s="736"/>
      <c r="D16" s="787"/>
      <c r="E16" s="788"/>
      <c r="F16" s="789"/>
      <c r="G16" s="787"/>
      <c r="H16" s="787"/>
      <c r="I16" s="787"/>
      <c r="J16" s="790"/>
      <c r="K16" s="790"/>
      <c r="L16" s="787"/>
      <c r="M16" s="787"/>
    </row>
    <row r="17" spans="1:13" ht="15" x14ac:dyDescent="0.25">
      <c r="A17" s="736"/>
      <c r="B17" s="736"/>
      <c r="C17" s="736"/>
      <c r="D17" s="787"/>
      <c r="E17" s="788"/>
      <c r="F17" s="789"/>
      <c r="G17" s="787"/>
      <c r="H17" s="787"/>
      <c r="I17" s="787"/>
      <c r="J17" s="790"/>
      <c r="K17" s="790"/>
      <c r="L17" s="787"/>
      <c r="M17" s="787"/>
    </row>
    <row r="18" spans="1:13" ht="15" x14ac:dyDescent="0.25">
      <c r="A18" s="736"/>
      <c r="B18" s="736"/>
      <c r="C18" s="736"/>
      <c r="D18" s="787"/>
      <c r="E18" s="788"/>
      <c r="F18" s="789"/>
      <c r="G18" s="787"/>
      <c r="H18" s="787"/>
      <c r="I18" s="787"/>
      <c r="J18" s="790"/>
      <c r="K18" s="790"/>
      <c r="L18" s="787"/>
      <c r="M18" s="787"/>
    </row>
    <row r="19" spans="1:13" ht="15" x14ac:dyDescent="0.25">
      <c r="A19" s="736"/>
      <c r="B19" s="736"/>
      <c r="C19" s="736"/>
      <c r="D19" s="787"/>
      <c r="E19" s="788"/>
      <c r="F19" s="789"/>
      <c r="G19" s="787"/>
      <c r="H19" s="787"/>
      <c r="I19" s="787"/>
      <c r="J19" s="790"/>
      <c r="K19" s="790"/>
      <c r="L19" s="787"/>
      <c r="M19" s="787"/>
    </row>
    <row r="20" spans="1:13" ht="15" x14ac:dyDescent="0.25">
      <c r="A20" s="736"/>
      <c r="B20" s="736"/>
      <c r="C20" s="736"/>
      <c r="D20" s="787"/>
      <c r="E20" s="788"/>
      <c r="F20" s="789"/>
      <c r="G20" s="787"/>
      <c r="H20" s="787"/>
      <c r="I20" s="787"/>
      <c r="J20" s="790"/>
      <c r="K20" s="790"/>
      <c r="L20" s="787"/>
      <c r="M20" s="787"/>
    </row>
    <row r="21" spans="1:13" ht="15" x14ac:dyDescent="0.25">
      <c r="A21" s="736"/>
      <c r="B21" s="736"/>
      <c r="C21" s="736"/>
      <c r="D21" s="787"/>
      <c r="E21" s="788"/>
      <c r="F21" s="789"/>
      <c r="G21" s="787"/>
      <c r="H21" s="787"/>
      <c r="I21" s="787"/>
      <c r="J21" s="790"/>
      <c r="K21" s="790"/>
      <c r="L21" s="787"/>
      <c r="M21" s="787"/>
    </row>
    <row r="22" spans="1:13" ht="15" x14ac:dyDescent="0.25">
      <c r="A22" s="736"/>
      <c r="B22" s="736"/>
      <c r="C22" s="736"/>
      <c r="D22" s="787"/>
      <c r="E22" s="788"/>
      <c r="F22" s="789"/>
      <c r="G22" s="787"/>
      <c r="H22" s="787"/>
      <c r="I22" s="787"/>
      <c r="J22" s="790"/>
      <c r="K22" s="790"/>
      <c r="L22" s="787"/>
      <c r="M22" s="787"/>
    </row>
    <row r="23" spans="1:13" ht="15" x14ac:dyDescent="0.25">
      <c r="A23" s="736"/>
      <c r="B23" s="736"/>
      <c r="C23" s="736"/>
      <c r="D23" s="787"/>
      <c r="E23" s="788"/>
      <c r="F23" s="789"/>
      <c r="G23" s="787"/>
      <c r="H23" s="787"/>
      <c r="I23" s="787"/>
      <c r="J23" s="790"/>
      <c r="K23" s="790"/>
      <c r="L23" s="787"/>
      <c r="M23" s="787"/>
    </row>
    <row r="24" spans="1:13" ht="15" x14ac:dyDescent="0.25">
      <c r="A24" s="736"/>
      <c r="B24" s="736"/>
      <c r="C24" s="736"/>
      <c r="D24" s="792"/>
      <c r="E24" s="793"/>
      <c r="F24" s="794"/>
      <c r="G24" s="792"/>
      <c r="H24" s="792"/>
      <c r="I24" s="792"/>
      <c r="J24" s="795"/>
      <c r="K24" s="795"/>
      <c r="L24" s="792"/>
      <c r="M24" s="792"/>
    </row>
    <row r="25" spans="1:13" ht="15" x14ac:dyDescent="0.25">
      <c r="A25" s="736"/>
      <c r="B25" s="736"/>
      <c r="C25" s="736"/>
      <c r="D25" s="787"/>
      <c r="E25" s="788"/>
      <c r="F25" s="789"/>
      <c r="G25" s="787"/>
      <c r="H25" s="787"/>
      <c r="I25" s="787"/>
      <c r="J25" s="790"/>
      <c r="K25" s="790"/>
      <c r="L25" s="787"/>
      <c r="M25" s="787"/>
    </row>
    <row r="26" spans="1:13" ht="15" x14ac:dyDescent="0.25">
      <c r="A26" s="736"/>
      <c r="B26" s="736"/>
      <c r="C26" s="736"/>
      <c r="D26" s="792"/>
      <c r="E26" s="793"/>
      <c r="F26" s="794"/>
      <c r="G26" s="792"/>
      <c r="H26" s="792"/>
      <c r="I26" s="792"/>
      <c r="J26" s="795"/>
      <c r="K26" s="795"/>
      <c r="L26" s="792"/>
      <c r="M26" s="792"/>
    </row>
    <row r="27" spans="1:13" ht="15" x14ac:dyDescent="0.25">
      <c r="A27" s="736"/>
      <c r="B27" s="736"/>
      <c r="C27" s="736"/>
      <c r="D27" s="787"/>
      <c r="E27" s="788"/>
      <c r="F27" s="789"/>
      <c r="G27" s="787"/>
      <c r="H27" s="787"/>
      <c r="I27" s="787"/>
      <c r="J27" s="790"/>
      <c r="K27" s="790"/>
      <c r="L27" s="787"/>
      <c r="M27" s="787"/>
    </row>
    <row r="28" spans="1:13" ht="15" x14ac:dyDescent="0.25">
      <c r="A28" s="736"/>
      <c r="B28" s="736"/>
      <c r="C28" s="736"/>
      <c r="D28" s="792"/>
      <c r="E28" s="793"/>
      <c r="F28" s="794"/>
      <c r="G28" s="792"/>
      <c r="H28" s="792"/>
      <c r="I28" s="792"/>
      <c r="J28" s="795"/>
      <c r="K28" s="795"/>
      <c r="L28" s="792"/>
      <c r="M28" s="792"/>
    </row>
    <row r="29" spans="1:13" ht="15" x14ac:dyDescent="0.25">
      <c r="A29" s="736"/>
      <c r="B29" s="736"/>
      <c r="C29" s="736"/>
      <c r="D29" s="787"/>
      <c r="E29" s="788"/>
      <c r="F29" s="789"/>
      <c r="G29" s="787"/>
      <c r="H29" s="787"/>
      <c r="I29" s="787"/>
      <c r="J29" s="790"/>
      <c r="K29" s="790"/>
      <c r="L29" s="787"/>
      <c r="M29" s="787"/>
    </row>
    <row r="30" spans="1:13" ht="15" x14ac:dyDescent="0.25">
      <c r="A30" s="736"/>
      <c r="B30" s="736"/>
      <c r="C30" s="736"/>
      <c r="D30" s="792"/>
      <c r="E30" s="793"/>
      <c r="F30" s="794"/>
      <c r="G30" s="792"/>
      <c r="H30" s="792"/>
      <c r="I30" s="792"/>
      <c r="J30" s="795"/>
      <c r="K30" s="795"/>
      <c r="L30" s="792"/>
      <c r="M30" s="792"/>
    </row>
    <row r="31" spans="1:13" ht="15" x14ac:dyDescent="0.25">
      <c r="A31" s="736"/>
      <c r="B31" s="736"/>
      <c r="C31" s="736"/>
      <c r="D31" s="787"/>
      <c r="E31" s="788"/>
      <c r="F31" s="789"/>
      <c r="G31" s="787"/>
      <c r="H31" s="787"/>
      <c r="I31" s="787"/>
      <c r="J31" s="790"/>
      <c r="K31" s="790"/>
      <c r="L31" s="787"/>
      <c r="M31" s="787"/>
    </row>
    <row r="32" spans="1:13" ht="15" x14ac:dyDescent="0.25">
      <c r="A32" s="736"/>
      <c r="B32" s="736"/>
      <c r="C32" s="736"/>
      <c r="D32" s="787"/>
      <c r="E32" s="788"/>
      <c r="F32" s="789"/>
      <c r="G32" s="787"/>
      <c r="H32" s="787"/>
      <c r="I32" s="787"/>
      <c r="J32" s="790"/>
      <c r="K32" s="790"/>
      <c r="L32" s="787"/>
      <c r="M32" s="787"/>
    </row>
    <row r="33" spans="1:13" ht="15" x14ac:dyDescent="0.25">
      <c r="A33" s="736"/>
      <c r="B33" s="736"/>
      <c r="C33" s="736"/>
      <c r="D33" s="787"/>
      <c r="E33" s="788"/>
      <c r="F33" s="789"/>
      <c r="G33" s="787"/>
      <c r="H33" s="787"/>
      <c r="I33" s="787"/>
      <c r="J33" s="790"/>
      <c r="K33" s="790"/>
      <c r="L33" s="787"/>
      <c r="M33" s="787"/>
    </row>
    <row r="34" spans="1:13" ht="15" x14ac:dyDescent="0.25">
      <c r="A34" s="736"/>
      <c r="B34" s="736"/>
      <c r="C34" s="736"/>
      <c r="D34" s="787"/>
      <c r="E34" s="788"/>
      <c r="F34" s="789"/>
      <c r="G34" s="787"/>
      <c r="H34" s="787"/>
      <c r="I34" s="787"/>
      <c r="J34" s="790"/>
      <c r="K34" s="790"/>
      <c r="L34" s="787"/>
      <c r="M34" s="787"/>
    </row>
    <row r="35" spans="1:13" ht="15" x14ac:dyDescent="0.25">
      <c r="A35" s="736"/>
      <c r="B35" s="736"/>
      <c r="C35" s="736"/>
      <c r="D35" s="787"/>
      <c r="E35" s="788"/>
      <c r="F35" s="789"/>
      <c r="G35" s="787"/>
      <c r="H35" s="787"/>
      <c r="I35" s="787"/>
      <c r="J35" s="790"/>
      <c r="K35" s="790"/>
      <c r="L35" s="787"/>
      <c r="M35" s="787"/>
    </row>
    <row r="36" spans="1:13" ht="15" x14ac:dyDescent="0.25">
      <c r="A36" s="736"/>
      <c r="B36" s="736"/>
      <c r="C36" s="736"/>
      <c r="D36" s="787"/>
      <c r="E36" s="788"/>
      <c r="F36" s="789"/>
      <c r="G36" s="787"/>
      <c r="H36" s="787"/>
      <c r="I36" s="787"/>
      <c r="J36" s="790"/>
      <c r="K36" s="790"/>
      <c r="L36" s="787"/>
      <c r="M36" s="787"/>
    </row>
    <row r="37" spans="1:13" ht="15" x14ac:dyDescent="0.25">
      <c r="A37" s="736"/>
      <c r="B37" s="736"/>
      <c r="C37" s="736"/>
      <c r="D37" s="787"/>
      <c r="E37" s="788"/>
      <c r="F37" s="789"/>
      <c r="G37" s="787"/>
      <c r="H37" s="787"/>
      <c r="I37" s="787"/>
      <c r="J37" s="790"/>
      <c r="K37" s="790"/>
      <c r="L37" s="787"/>
      <c r="M37" s="787"/>
    </row>
    <row r="38" spans="1:13" ht="15" x14ac:dyDescent="0.25">
      <c r="A38" s="736"/>
      <c r="B38" s="736"/>
      <c r="C38" s="736"/>
      <c r="D38" s="787"/>
      <c r="E38" s="788"/>
      <c r="F38" s="789"/>
      <c r="G38" s="787"/>
      <c r="H38" s="787"/>
      <c r="I38" s="787"/>
      <c r="J38" s="790"/>
      <c r="K38" s="790"/>
      <c r="L38" s="787"/>
      <c r="M38" s="787"/>
    </row>
    <row r="39" spans="1:13" ht="15" x14ac:dyDescent="0.25">
      <c r="A39" s="736"/>
      <c r="B39" s="736"/>
      <c r="C39" s="736"/>
      <c r="D39" s="792"/>
      <c r="E39" s="793"/>
      <c r="F39" s="794"/>
      <c r="G39" s="792"/>
      <c r="H39" s="792"/>
      <c r="I39" s="792"/>
      <c r="J39" s="795"/>
      <c r="K39" s="795"/>
      <c r="L39" s="792"/>
      <c r="M39" s="792"/>
    </row>
    <row r="40" spans="1:13" ht="15" x14ac:dyDescent="0.25">
      <c r="A40" s="736"/>
      <c r="B40" s="736"/>
      <c r="C40" s="736"/>
      <c r="D40" s="787"/>
      <c r="E40" s="788"/>
      <c r="F40" s="789"/>
      <c r="G40" s="787"/>
      <c r="H40" s="787"/>
      <c r="I40" s="787"/>
      <c r="J40" s="790"/>
      <c r="K40" s="790"/>
      <c r="L40" s="787"/>
      <c r="M40" s="787"/>
    </row>
    <row r="41" spans="1:13" ht="15" x14ac:dyDescent="0.25">
      <c r="A41" s="736"/>
      <c r="B41" s="736"/>
      <c r="C41" s="736"/>
      <c r="D41" s="787"/>
      <c r="E41" s="788"/>
      <c r="F41" s="789"/>
      <c r="G41" s="787"/>
      <c r="H41" s="787"/>
      <c r="I41" s="787"/>
      <c r="J41" s="790"/>
      <c r="K41" s="790"/>
      <c r="L41" s="787"/>
      <c r="M41" s="787"/>
    </row>
    <row r="42" spans="1:13" ht="15" x14ac:dyDescent="0.25">
      <c r="A42" s="736"/>
      <c r="B42" s="736"/>
      <c r="C42" s="736"/>
      <c r="D42" s="787"/>
      <c r="E42" s="788"/>
      <c r="F42" s="789"/>
      <c r="G42" s="787"/>
      <c r="H42" s="787"/>
      <c r="I42" s="787"/>
      <c r="J42" s="790"/>
      <c r="K42" s="790"/>
      <c r="L42" s="787"/>
      <c r="M42" s="787"/>
    </row>
    <row r="43" spans="1:13" ht="15" x14ac:dyDescent="0.25">
      <c r="A43" s="736"/>
      <c r="B43" s="736"/>
      <c r="C43" s="736"/>
      <c r="D43" s="787"/>
      <c r="E43" s="788"/>
      <c r="F43" s="789"/>
      <c r="G43" s="787"/>
      <c r="H43" s="787"/>
      <c r="I43" s="787"/>
      <c r="J43" s="790"/>
      <c r="K43" s="790"/>
      <c r="L43" s="787"/>
      <c r="M43" s="787"/>
    </row>
    <row r="44" spans="1:13" ht="15" x14ac:dyDescent="0.25">
      <c r="A44" s="736"/>
      <c r="B44" s="736"/>
      <c r="C44" s="736"/>
      <c r="D44" s="787"/>
      <c r="E44" s="788"/>
      <c r="F44" s="789"/>
      <c r="G44" s="787"/>
      <c r="H44" s="787"/>
      <c r="I44" s="787"/>
      <c r="J44" s="790"/>
      <c r="K44" s="790"/>
      <c r="L44" s="787"/>
      <c r="M44" s="787"/>
    </row>
    <row r="45" spans="1:13" ht="15" x14ac:dyDescent="0.25">
      <c r="A45" s="736"/>
      <c r="B45" s="736"/>
      <c r="C45" s="736"/>
      <c r="D45" s="787"/>
      <c r="E45" s="788"/>
      <c r="F45" s="789"/>
      <c r="G45" s="787"/>
      <c r="H45" s="787"/>
      <c r="I45" s="787"/>
      <c r="J45" s="790"/>
      <c r="K45" s="790"/>
      <c r="L45" s="787"/>
      <c r="M45" s="787"/>
    </row>
    <row r="46" spans="1:13" ht="15" x14ac:dyDescent="0.25">
      <c r="A46" s="736"/>
      <c r="B46" s="736"/>
      <c r="C46" s="736"/>
      <c r="D46" s="787"/>
      <c r="E46" s="788"/>
      <c r="F46" s="789"/>
      <c r="G46" s="787"/>
      <c r="H46" s="787"/>
      <c r="I46" s="787"/>
      <c r="J46" s="790"/>
      <c r="K46" s="790"/>
      <c r="L46" s="787"/>
      <c r="M46" s="787"/>
    </row>
    <row r="47" spans="1:13" ht="15" x14ac:dyDescent="0.25">
      <c r="A47" s="736"/>
      <c r="B47" s="736"/>
      <c r="C47" s="736"/>
      <c r="D47" s="787"/>
      <c r="E47" s="788"/>
      <c r="F47" s="789"/>
      <c r="G47" s="787"/>
      <c r="H47" s="787"/>
      <c r="I47" s="787"/>
      <c r="J47" s="790"/>
      <c r="K47" s="790"/>
      <c r="L47" s="787"/>
      <c r="M47" s="787"/>
    </row>
    <row r="48" spans="1:13" ht="15" x14ac:dyDescent="0.25">
      <c r="A48" s="736"/>
      <c r="B48" s="736"/>
      <c r="C48" s="736"/>
      <c r="D48" s="787"/>
      <c r="E48" s="788"/>
      <c r="F48" s="789"/>
      <c r="G48" s="787"/>
      <c r="H48" s="787"/>
      <c r="I48" s="787"/>
      <c r="J48" s="790"/>
      <c r="K48" s="790"/>
      <c r="L48" s="787"/>
      <c r="M48" s="787"/>
    </row>
    <row r="49" spans="1:13" ht="15" x14ac:dyDescent="0.25">
      <c r="A49" s="736"/>
      <c r="B49" s="736"/>
      <c r="C49" s="736"/>
      <c r="D49" s="787"/>
      <c r="E49" s="788"/>
      <c r="F49" s="789"/>
      <c r="G49" s="787"/>
      <c r="H49" s="787"/>
      <c r="I49" s="787"/>
      <c r="J49" s="790"/>
      <c r="K49" s="790"/>
      <c r="L49" s="787"/>
      <c r="M49" s="787"/>
    </row>
    <row r="50" spans="1:13" ht="15" x14ac:dyDescent="0.25">
      <c r="A50" s="736"/>
      <c r="B50" s="736"/>
      <c r="C50" s="736"/>
      <c r="D50" s="787"/>
      <c r="E50" s="788"/>
      <c r="F50" s="789"/>
      <c r="G50" s="787"/>
      <c r="H50" s="787"/>
      <c r="I50" s="787"/>
      <c r="J50" s="790"/>
      <c r="K50" s="790"/>
      <c r="L50" s="787"/>
      <c r="M50" s="787"/>
    </row>
    <row r="51" spans="1:13" ht="15" x14ac:dyDescent="0.25">
      <c r="A51" s="736"/>
      <c r="B51" s="736"/>
      <c r="C51" s="736"/>
      <c r="D51" s="787"/>
      <c r="E51" s="788"/>
      <c r="F51" s="789"/>
      <c r="G51" s="787"/>
      <c r="H51" s="787"/>
      <c r="I51" s="787"/>
      <c r="J51" s="790"/>
      <c r="K51" s="790"/>
      <c r="L51" s="787"/>
      <c r="M51" s="787"/>
    </row>
    <row r="52" spans="1:13" ht="15" x14ac:dyDescent="0.25">
      <c r="A52" s="736"/>
      <c r="B52" s="736"/>
      <c r="C52" s="736"/>
      <c r="D52" s="792"/>
      <c r="E52" s="793"/>
      <c r="F52" s="794"/>
      <c r="G52" s="792"/>
      <c r="H52" s="792"/>
      <c r="I52" s="792"/>
      <c r="J52" s="795"/>
      <c r="K52" s="795"/>
      <c r="L52" s="792"/>
      <c r="M52" s="792"/>
    </row>
    <row r="53" spans="1:13" ht="15" x14ac:dyDescent="0.25">
      <c r="A53" s="736"/>
      <c r="B53" s="736"/>
      <c r="C53" s="736"/>
      <c r="D53" s="787"/>
      <c r="E53" s="788"/>
      <c r="F53" s="789"/>
      <c r="G53" s="787"/>
      <c r="H53" s="787"/>
      <c r="I53" s="787"/>
      <c r="J53" s="790"/>
      <c r="K53" s="790"/>
      <c r="L53" s="787"/>
      <c r="M53" s="787"/>
    </row>
    <row r="54" spans="1:13" ht="15" x14ac:dyDescent="0.25">
      <c r="A54" s="736"/>
      <c r="B54" s="736"/>
      <c r="C54" s="736"/>
      <c r="D54" s="787"/>
      <c r="E54" s="788"/>
      <c r="F54" s="789"/>
      <c r="G54" s="787"/>
      <c r="H54" s="787"/>
      <c r="I54" s="787"/>
      <c r="J54" s="790"/>
      <c r="K54" s="790"/>
      <c r="L54" s="787"/>
      <c r="M54" s="787"/>
    </row>
    <row r="55" spans="1:13" ht="15" x14ac:dyDescent="0.25">
      <c r="A55" s="736"/>
      <c r="B55" s="736"/>
      <c r="C55" s="736"/>
      <c r="D55" s="787"/>
      <c r="E55" s="788"/>
      <c r="F55" s="789"/>
      <c r="G55" s="787"/>
      <c r="H55" s="787"/>
      <c r="I55" s="787"/>
      <c r="J55" s="790"/>
      <c r="K55" s="790"/>
      <c r="L55" s="787"/>
      <c r="M55" s="787"/>
    </row>
    <row r="56" spans="1:13" ht="15" x14ac:dyDescent="0.25">
      <c r="A56" s="736"/>
      <c r="B56" s="736"/>
      <c r="C56" s="736"/>
      <c r="D56" s="787"/>
      <c r="E56" s="788"/>
      <c r="F56" s="789"/>
      <c r="G56" s="787"/>
      <c r="H56" s="787"/>
      <c r="I56" s="787"/>
      <c r="J56" s="790"/>
      <c r="K56" s="790"/>
      <c r="L56" s="787"/>
      <c r="M56" s="787"/>
    </row>
    <row r="57" spans="1:13" ht="15" x14ac:dyDescent="0.25">
      <c r="A57" s="736"/>
      <c r="B57" s="736"/>
      <c r="C57" s="736"/>
      <c r="D57" s="787"/>
      <c r="E57" s="788"/>
      <c r="F57" s="789"/>
      <c r="G57" s="787"/>
      <c r="H57" s="787"/>
      <c r="I57" s="787"/>
      <c r="J57" s="790"/>
      <c r="K57" s="790"/>
      <c r="L57" s="787"/>
      <c r="M57" s="787"/>
    </row>
    <row r="58" spans="1:13" ht="15" x14ac:dyDescent="0.25">
      <c r="A58" s="736"/>
      <c r="B58" s="736"/>
      <c r="C58" s="736"/>
      <c r="D58" s="787"/>
      <c r="E58" s="788"/>
      <c r="F58" s="789"/>
      <c r="G58" s="787"/>
      <c r="H58" s="787"/>
      <c r="I58" s="787"/>
      <c r="J58" s="790"/>
      <c r="K58" s="790"/>
      <c r="L58" s="787"/>
      <c r="M58" s="787"/>
    </row>
    <row r="59" spans="1:13" ht="15" x14ac:dyDescent="0.25">
      <c r="A59" s="736"/>
      <c r="B59" s="736"/>
      <c r="C59" s="736"/>
      <c r="D59" s="787"/>
      <c r="E59" s="788"/>
      <c r="F59" s="789"/>
      <c r="G59" s="787"/>
      <c r="H59" s="787"/>
      <c r="I59" s="787"/>
      <c r="J59" s="790"/>
      <c r="K59" s="790"/>
      <c r="L59" s="787"/>
      <c r="M59" s="787"/>
    </row>
    <row r="60" spans="1:13" ht="15" x14ac:dyDescent="0.25">
      <c r="A60" s="736"/>
      <c r="B60" s="736"/>
      <c r="C60" s="736"/>
      <c r="D60" s="787"/>
      <c r="E60" s="788"/>
      <c r="F60" s="789"/>
      <c r="G60" s="787"/>
      <c r="H60" s="787"/>
      <c r="I60" s="787"/>
      <c r="J60" s="790"/>
      <c r="K60" s="790"/>
      <c r="L60" s="787"/>
      <c r="M60" s="787"/>
    </row>
    <row r="61" spans="1:13" ht="15" x14ac:dyDescent="0.25">
      <c r="A61" s="736"/>
      <c r="B61" s="736"/>
      <c r="C61" s="736"/>
      <c r="D61" s="787"/>
      <c r="E61" s="788"/>
      <c r="F61" s="789"/>
      <c r="G61" s="787"/>
      <c r="H61" s="787"/>
      <c r="I61" s="787"/>
      <c r="J61" s="790"/>
      <c r="K61" s="790"/>
      <c r="L61" s="787"/>
      <c r="M61" s="787"/>
    </row>
    <row r="62" spans="1:13" ht="15" x14ac:dyDescent="0.25">
      <c r="A62" s="736"/>
      <c r="B62" s="736"/>
      <c r="C62" s="736"/>
      <c r="D62" s="787"/>
      <c r="E62" s="788"/>
      <c r="F62" s="789"/>
      <c r="G62" s="787"/>
      <c r="H62" s="787"/>
      <c r="I62" s="787"/>
      <c r="J62" s="790"/>
      <c r="K62" s="790"/>
      <c r="L62" s="787"/>
      <c r="M62" s="787"/>
    </row>
    <row r="63" spans="1:13" ht="15" x14ac:dyDescent="0.25">
      <c r="A63" s="736"/>
      <c r="B63" s="736"/>
      <c r="C63" s="736"/>
      <c r="D63" s="787"/>
      <c r="E63" s="788"/>
      <c r="F63" s="789"/>
      <c r="G63" s="787"/>
      <c r="H63" s="787"/>
      <c r="I63" s="787"/>
      <c r="J63" s="790"/>
      <c r="K63" s="790"/>
      <c r="L63" s="787"/>
      <c r="M63" s="787"/>
    </row>
    <row r="64" spans="1:13" ht="15" x14ac:dyDescent="0.25">
      <c r="A64" s="736"/>
      <c r="B64" s="736"/>
      <c r="C64" s="736"/>
      <c r="D64" s="787"/>
      <c r="E64" s="788"/>
      <c r="F64" s="789"/>
      <c r="G64" s="787"/>
      <c r="H64" s="787"/>
      <c r="I64" s="787"/>
      <c r="J64" s="790"/>
      <c r="K64" s="790"/>
      <c r="L64" s="787"/>
      <c r="M64" s="787"/>
    </row>
    <row r="65" spans="1:13" ht="15" x14ac:dyDescent="0.25">
      <c r="A65" s="736"/>
      <c r="B65" s="736"/>
      <c r="C65" s="736"/>
      <c r="D65" s="787"/>
      <c r="E65" s="788"/>
      <c r="F65" s="789"/>
      <c r="G65" s="787"/>
      <c r="H65" s="787"/>
      <c r="I65" s="787"/>
      <c r="J65" s="790"/>
      <c r="K65" s="790"/>
      <c r="L65" s="787"/>
      <c r="M65" s="787"/>
    </row>
    <row r="66" spans="1:13" ht="15" x14ac:dyDescent="0.25">
      <c r="A66" s="736"/>
      <c r="B66" s="736"/>
      <c r="C66" s="736"/>
      <c r="D66" s="787"/>
      <c r="E66" s="788"/>
      <c r="F66" s="789"/>
      <c r="G66" s="787"/>
      <c r="H66" s="787"/>
      <c r="I66" s="787"/>
      <c r="J66" s="790"/>
      <c r="K66" s="790"/>
      <c r="L66" s="787"/>
      <c r="M66" s="787"/>
    </row>
    <row r="67" spans="1:13" ht="15" x14ac:dyDescent="0.25">
      <c r="A67" s="736"/>
      <c r="B67" s="736"/>
      <c r="C67" s="736"/>
      <c r="D67" s="787"/>
      <c r="E67" s="788"/>
      <c r="F67" s="789"/>
      <c r="G67" s="787"/>
      <c r="H67" s="787"/>
      <c r="I67" s="787"/>
      <c r="J67" s="790"/>
      <c r="K67" s="790"/>
      <c r="L67" s="787"/>
      <c r="M67" s="787"/>
    </row>
    <row r="68" spans="1:13" ht="15" x14ac:dyDescent="0.25">
      <c r="A68" s="736"/>
      <c r="B68" s="736"/>
      <c r="C68" s="736"/>
      <c r="D68" s="787"/>
      <c r="E68" s="788"/>
      <c r="F68" s="789"/>
      <c r="G68" s="787"/>
      <c r="H68" s="787"/>
      <c r="I68" s="787"/>
      <c r="J68" s="790"/>
      <c r="K68" s="790"/>
      <c r="L68" s="787"/>
      <c r="M68" s="787"/>
    </row>
    <row r="69" spans="1:13" ht="15" x14ac:dyDescent="0.25">
      <c r="A69" s="736"/>
      <c r="B69" s="736"/>
      <c r="C69" s="736"/>
      <c r="D69" s="787"/>
      <c r="E69" s="788"/>
      <c r="F69" s="789"/>
      <c r="G69" s="787"/>
      <c r="H69" s="787"/>
      <c r="I69" s="787"/>
      <c r="J69" s="790"/>
      <c r="K69" s="790"/>
      <c r="L69" s="787"/>
      <c r="M69" s="787"/>
    </row>
    <row r="70" spans="1:13" ht="15" x14ac:dyDescent="0.25">
      <c r="A70" s="736"/>
      <c r="B70" s="736"/>
      <c r="C70" s="736"/>
      <c r="D70" s="787"/>
      <c r="E70" s="788"/>
      <c r="F70" s="789"/>
      <c r="G70" s="787"/>
      <c r="H70" s="787"/>
      <c r="I70" s="787"/>
      <c r="J70" s="790"/>
      <c r="K70" s="790"/>
      <c r="L70" s="787"/>
      <c r="M70" s="787"/>
    </row>
    <row r="71" spans="1:13" ht="15" x14ac:dyDescent="0.25">
      <c r="A71" s="736"/>
      <c r="B71" s="736"/>
      <c r="C71" s="736"/>
      <c r="D71" s="787"/>
      <c r="E71" s="788"/>
      <c r="F71" s="789"/>
      <c r="G71" s="787"/>
      <c r="H71" s="787"/>
      <c r="I71" s="787"/>
      <c r="J71" s="790"/>
      <c r="K71" s="790"/>
      <c r="L71" s="787"/>
      <c r="M71" s="787"/>
    </row>
    <row r="72" spans="1:13" ht="15" x14ac:dyDescent="0.25">
      <c r="A72" s="736"/>
      <c r="B72" s="736"/>
      <c r="C72" s="736"/>
      <c r="D72" s="787"/>
      <c r="E72" s="788"/>
      <c r="F72" s="789"/>
      <c r="G72" s="787"/>
      <c r="H72" s="787"/>
      <c r="I72" s="787"/>
      <c r="J72" s="790"/>
      <c r="K72" s="790"/>
      <c r="L72" s="787"/>
      <c r="M72" s="787"/>
    </row>
    <row r="73" spans="1:13" ht="15" x14ac:dyDescent="0.25">
      <c r="A73" s="736"/>
      <c r="B73" s="736"/>
      <c r="C73" s="736"/>
      <c r="D73" s="792"/>
      <c r="E73" s="793"/>
      <c r="F73" s="794"/>
      <c r="G73" s="792"/>
      <c r="H73" s="792"/>
      <c r="I73" s="792"/>
      <c r="J73" s="795"/>
      <c r="K73" s="795"/>
      <c r="L73" s="792"/>
      <c r="M73" s="792"/>
    </row>
    <row r="74" spans="1:13" ht="15" x14ac:dyDescent="0.25">
      <c r="A74" s="736"/>
      <c r="B74" s="736"/>
      <c r="C74" s="736"/>
      <c r="D74" s="787"/>
      <c r="E74" s="788"/>
      <c r="F74" s="789"/>
      <c r="G74" s="787"/>
      <c r="H74" s="787"/>
      <c r="I74" s="787"/>
      <c r="J74" s="790"/>
      <c r="K74" s="790"/>
      <c r="L74" s="787"/>
      <c r="M74" s="787"/>
    </row>
    <row r="75" spans="1:13" ht="15" x14ac:dyDescent="0.25">
      <c r="A75" s="736"/>
      <c r="B75" s="736"/>
      <c r="C75" s="736"/>
      <c r="D75" s="787"/>
      <c r="E75" s="788"/>
      <c r="F75" s="789"/>
      <c r="G75" s="787"/>
      <c r="H75" s="787"/>
      <c r="I75" s="787"/>
      <c r="J75" s="790"/>
      <c r="K75" s="790"/>
      <c r="L75" s="787"/>
      <c r="M75" s="787"/>
    </row>
    <row r="76" spans="1:13" ht="15" x14ac:dyDescent="0.25">
      <c r="A76" s="736"/>
      <c r="B76" s="736"/>
      <c r="C76" s="736"/>
      <c r="D76" s="787"/>
      <c r="E76" s="788"/>
      <c r="F76" s="789"/>
      <c r="G76" s="787"/>
      <c r="H76" s="787"/>
      <c r="I76" s="787"/>
      <c r="J76" s="790"/>
      <c r="K76" s="790"/>
      <c r="L76" s="787"/>
      <c r="M76" s="787"/>
    </row>
    <row r="77" spans="1:13" ht="15" x14ac:dyDescent="0.25">
      <c r="A77" s="736"/>
      <c r="B77" s="736"/>
      <c r="C77" s="736"/>
      <c r="D77" s="787"/>
      <c r="E77" s="788"/>
      <c r="F77" s="789"/>
      <c r="G77" s="787"/>
      <c r="H77" s="787"/>
      <c r="I77" s="787"/>
      <c r="J77" s="790"/>
      <c r="K77" s="790"/>
      <c r="L77" s="787"/>
      <c r="M77" s="787"/>
    </row>
    <row r="78" spans="1:13" ht="15" x14ac:dyDescent="0.25">
      <c r="A78" s="736"/>
      <c r="B78" s="736"/>
      <c r="C78" s="736"/>
      <c r="D78" s="787"/>
      <c r="E78" s="788"/>
      <c r="F78" s="789"/>
      <c r="G78" s="787"/>
      <c r="H78" s="787"/>
      <c r="I78" s="787"/>
      <c r="J78" s="790"/>
      <c r="K78" s="790"/>
      <c r="L78" s="787"/>
      <c r="M78" s="787"/>
    </row>
    <row r="79" spans="1:13" ht="15" x14ac:dyDescent="0.25">
      <c r="A79" s="736"/>
      <c r="B79" s="736"/>
      <c r="C79" s="736"/>
      <c r="D79" s="787"/>
      <c r="E79" s="788"/>
      <c r="F79" s="789"/>
      <c r="G79" s="787"/>
      <c r="H79" s="787"/>
      <c r="I79" s="787"/>
      <c r="J79" s="790"/>
      <c r="K79" s="790"/>
      <c r="L79" s="787"/>
      <c r="M79" s="787"/>
    </row>
    <row r="80" spans="1:13" ht="15" x14ac:dyDescent="0.25">
      <c r="A80" s="736"/>
      <c r="B80" s="736"/>
      <c r="C80" s="736"/>
      <c r="D80" s="787"/>
      <c r="E80" s="788"/>
      <c r="F80" s="789"/>
      <c r="G80" s="787"/>
      <c r="H80" s="787"/>
      <c r="I80" s="787"/>
      <c r="J80" s="790"/>
      <c r="K80" s="790"/>
      <c r="L80" s="787"/>
      <c r="M80" s="787"/>
    </row>
    <row r="81" spans="1:13" ht="15" x14ac:dyDescent="0.25">
      <c r="A81" s="736"/>
      <c r="B81" s="736"/>
      <c r="C81" s="736"/>
      <c r="D81" s="787"/>
      <c r="E81" s="788"/>
      <c r="F81" s="789"/>
      <c r="G81" s="787"/>
      <c r="H81" s="787"/>
      <c r="I81" s="787"/>
      <c r="J81" s="790"/>
      <c r="K81" s="790"/>
      <c r="L81" s="787"/>
      <c r="M81" s="787"/>
    </row>
    <row r="82" spans="1:13" ht="15" x14ac:dyDescent="0.25">
      <c r="A82" s="736"/>
      <c r="B82" s="736"/>
      <c r="C82" s="736"/>
      <c r="D82" s="787"/>
      <c r="E82" s="788"/>
      <c r="F82" s="789"/>
      <c r="G82" s="787"/>
      <c r="H82" s="787"/>
      <c r="I82" s="787"/>
      <c r="J82" s="790"/>
      <c r="K82" s="790"/>
      <c r="L82" s="787"/>
      <c r="M82" s="787"/>
    </row>
    <row r="83" spans="1:13" ht="15" x14ac:dyDescent="0.25">
      <c r="A83" s="736"/>
      <c r="B83" s="736"/>
      <c r="C83" s="736"/>
      <c r="D83" s="787"/>
      <c r="E83" s="788"/>
      <c r="F83" s="789"/>
      <c r="G83" s="787"/>
      <c r="H83" s="787"/>
      <c r="I83" s="787"/>
      <c r="J83" s="790"/>
      <c r="K83" s="790"/>
      <c r="L83" s="787"/>
      <c r="M83" s="787"/>
    </row>
    <row r="84" spans="1:13" ht="15" x14ac:dyDescent="0.25">
      <c r="A84" s="736"/>
      <c r="B84" s="736"/>
      <c r="C84" s="736"/>
      <c r="D84" s="787"/>
      <c r="E84" s="788"/>
      <c r="F84" s="789"/>
      <c r="G84" s="787"/>
      <c r="H84" s="787"/>
      <c r="I84" s="787"/>
      <c r="J84" s="790"/>
      <c r="K84" s="790"/>
      <c r="L84" s="787"/>
      <c r="M84" s="787"/>
    </row>
    <row r="85" spans="1:13" ht="15" x14ac:dyDescent="0.25">
      <c r="A85" s="736"/>
      <c r="B85" s="736"/>
      <c r="C85" s="736"/>
      <c r="D85" s="787"/>
      <c r="E85" s="788"/>
      <c r="F85" s="789"/>
      <c r="G85" s="787"/>
      <c r="H85" s="787"/>
      <c r="I85" s="787"/>
      <c r="J85" s="790"/>
      <c r="K85" s="790"/>
      <c r="L85" s="787"/>
      <c r="M85" s="787"/>
    </row>
    <row r="86" spans="1:13" ht="15" x14ac:dyDescent="0.25">
      <c r="A86" s="736"/>
      <c r="B86" s="736"/>
      <c r="C86" s="736"/>
      <c r="D86" s="787"/>
      <c r="E86" s="788"/>
      <c r="F86" s="789"/>
      <c r="G86" s="787"/>
      <c r="H86" s="787"/>
      <c r="I86" s="787"/>
      <c r="J86" s="790"/>
      <c r="K86" s="790"/>
      <c r="L86" s="787"/>
      <c r="M86" s="787"/>
    </row>
    <row r="87" spans="1:13" ht="15" x14ac:dyDescent="0.25">
      <c r="A87" s="736"/>
      <c r="B87" s="736"/>
      <c r="C87" s="736"/>
      <c r="D87" s="787"/>
      <c r="E87" s="788"/>
      <c r="F87" s="789"/>
      <c r="G87" s="787"/>
      <c r="H87" s="787"/>
      <c r="I87" s="787"/>
      <c r="J87" s="790"/>
      <c r="K87" s="790"/>
      <c r="L87" s="787"/>
      <c r="M87" s="787"/>
    </row>
    <row r="88" spans="1:13" ht="15" x14ac:dyDescent="0.25">
      <c r="A88" s="736"/>
      <c r="B88" s="736"/>
      <c r="C88" s="736"/>
      <c r="D88" s="787"/>
      <c r="E88" s="788"/>
      <c r="F88" s="789"/>
      <c r="G88" s="787"/>
      <c r="H88" s="787"/>
      <c r="I88" s="787"/>
      <c r="J88" s="790"/>
      <c r="K88" s="790"/>
      <c r="L88" s="787"/>
      <c r="M88" s="787"/>
    </row>
    <row r="89" spans="1:13" ht="15" x14ac:dyDescent="0.25">
      <c r="A89" s="736"/>
      <c r="B89" s="736"/>
      <c r="C89" s="736"/>
      <c r="D89" s="787"/>
      <c r="E89" s="788"/>
      <c r="F89" s="789"/>
      <c r="G89" s="787"/>
      <c r="H89" s="787"/>
      <c r="I89" s="787"/>
      <c r="J89" s="790"/>
      <c r="K89" s="790"/>
      <c r="L89" s="787"/>
      <c r="M89" s="787"/>
    </row>
    <row r="90" spans="1:13" ht="15" x14ac:dyDescent="0.25">
      <c r="A90" s="736"/>
      <c r="B90" s="736"/>
      <c r="C90" s="736"/>
      <c r="D90" s="787"/>
      <c r="E90" s="788"/>
      <c r="F90" s="789"/>
      <c r="G90" s="787"/>
      <c r="H90" s="787"/>
      <c r="I90" s="787"/>
      <c r="J90" s="790"/>
      <c r="K90" s="790"/>
      <c r="L90" s="787"/>
      <c r="M90" s="787"/>
    </row>
    <row r="91" spans="1:13" ht="15" x14ac:dyDescent="0.25">
      <c r="A91" s="736"/>
      <c r="B91" s="736"/>
      <c r="C91" s="736"/>
      <c r="D91" s="787"/>
      <c r="E91" s="788"/>
      <c r="F91" s="789"/>
      <c r="G91" s="787"/>
      <c r="H91" s="787"/>
      <c r="I91" s="787"/>
      <c r="J91" s="790"/>
      <c r="K91" s="790"/>
      <c r="L91" s="787"/>
      <c r="M91" s="787"/>
    </row>
    <row r="92" spans="1:13" ht="15" x14ac:dyDescent="0.25">
      <c r="A92" s="736"/>
      <c r="B92" s="736"/>
      <c r="C92" s="736"/>
      <c r="D92" s="787"/>
      <c r="E92" s="788"/>
      <c r="F92" s="789"/>
      <c r="G92" s="787"/>
      <c r="H92" s="787"/>
      <c r="I92" s="787"/>
      <c r="J92" s="790"/>
      <c r="K92" s="790"/>
      <c r="L92" s="787"/>
      <c r="M92" s="787"/>
    </row>
    <row r="93" spans="1:13" ht="15" x14ac:dyDescent="0.25">
      <c r="A93" s="736"/>
      <c r="B93" s="736"/>
      <c r="C93" s="736"/>
      <c r="D93" s="787"/>
      <c r="E93" s="788"/>
      <c r="F93" s="789"/>
      <c r="G93" s="787"/>
      <c r="H93" s="787"/>
      <c r="I93" s="787"/>
      <c r="J93" s="790"/>
      <c r="K93" s="790"/>
      <c r="L93" s="787"/>
      <c r="M93" s="787"/>
    </row>
    <row r="94" spans="1:13" ht="15" x14ac:dyDescent="0.25">
      <c r="A94" s="736"/>
      <c r="B94" s="736"/>
      <c r="C94" s="736"/>
      <c r="D94" s="787"/>
      <c r="E94" s="788"/>
      <c r="F94" s="789"/>
      <c r="G94" s="787"/>
      <c r="H94" s="787"/>
      <c r="I94" s="787"/>
      <c r="J94" s="790"/>
      <c r="K94" s="790"/>
      <c r="L94" s="787"/>
      <c r="M94" s="787"/>
    </row>
    <row r="95" spans="1:13" ht="15" x14ac:dyDescent="0.25">
      <c r="A95" s="736"/>
      <c r="B95" s="736"/>
      <c r="C95" s="736"/>
      <c r="D95" s="787"/>
      <c r="E95" s="788"/>
      <c r="F95" s="789"/>
      <c r="G95" s="787"/>
      <c r="H95" s="787"/>
      <c r="I95" s="787"/>
      <c r="J95" s="790"/>
      <c r="K95" s="790"/>
      <c r="L95" s="787"/>
      <c r="M95" s="787"/>
    </row>
    <row r="96" spans="1:13" ht="15" x14ac:dyDescent="0.25">
      <c r="A96" s="736"/>
      <c r="B96" s="736"/>
      <c r="C96" s="736"/>
      <c r="D96" s="787"/>
      <c r="E96" s="788"/>
      <c r="F96" s="789"/>
      <c r="G96" s="787"/>
      <c r="H96" s="787"/>
      <c r="I96" s="787"/>
      <c r="J96" s="790"/>
      <c r="K96" s="790"/>
      <c r="L96" s="787"/>
      <c r="M96" s="787"/>
    </row>
    <row r="97" spans="1:13" ht="15" x14ac:dyDescent="0.25">
      <c r="A97" s="736"/>
      <c r="B97" s="736"/>
      <c r="C97" s="736"/>
      <c r="D97" s="787"/>
      <c r="E97" s="788"/>
      <c r="F97" s="789"/>
      <c r="G97" s="787"/>
      <c r="H97" s="787"/>
      <c r="I97" s="787"/>
      <c r="J97" s="790"/>
      <c r="K97" s="790"/>
      <c r="L97" s="787"/>
      <c r="M97" s="787"/>
    </row>
    <row r="98" spans="1:13" ht="15" x14ac:dyDescent="0.25">
      <c r="A98" s="736"/>
      <c r="B98" s="736"/>
      <c r="C98" s="736"/>
      <c r="D98" s="787"/>
      <c r="E98" s="788"/>
      <c r="F98" s="789"/>
      <c r="G98" s="787"/>
      <c r="H98" s="787"/>
      <c r="I98" s="787"/>
      <c r="J98" s="790"/>
      <c r="K98" s="790"/>
      <c r="L98" s="787"/>
      <c r="M98" s="787"/>
    </row>
    <row r="99" spans="1:13" ht="15" x14ac:dyDescent="0.25">
      <c r="A99" s="736"/>
      <c r="B99" s="736"/>
      <c r="C99" s="736"/>
      <c r="D99" s="787"/>
      <c r="E99" s="788"/>
      <c r="F99" s="789"/>
      <c r="G99" s="787"/>
      <c r="H99" s="787"/>
      <c r="I99" s="787"/>
      <c r="J99" s="790"/>
      <c r="K99" s="790"/>
      <c r="L99" s="787"/>
      <c r="M99" s="787"/>
    </row>
    <row r="100" spans="1:13" ht="15" x14ac:dyDescent="0.25">
      <c r="A100" s="736"/>
      <c r="B100" s="736"/>
      <c r="C100" s="736"/>
      <c r="D100" s="787"/>
      <c r="E100" s="788"/>
      <c r="F100" s="789"/>
      <c r="G100" s="787"/>
      <c r="H100" s="787"/>
      <c r="I100" s="787"/>
      <c r="J100" s="790"/>
      <c r="K100" s="790"/>
      <c r="L100" s="787"/>
      <c r="M100" s="787"/>
    </row>
    <row r="101" spans="1:13" ht="15" x14ac:dyDescent="0.25">
      <c r="A101" s="736"/>
      <c r="B101" s="736"/>
      <c r="C101" s="736"/>
      <c r="D101" s="787"/>
      <c r="E101" s="788"/>
      <c r="F101" s="789"/>
      <c r="G101" s="787"/>
      <c r="H101" s="787"/>
      <c r="I101" s="787"/>
      <c r="J101" s="790"/>
      <c r="K101" s="790"/>
      <c r="L101" s="787"/>
      <c r="M101" s="787"/>
    </row>
    <row r="102" spans="1:13" ht="15" x14ac:dyDescent="0.25">
      <c r="A102" s="736"/>
      <c r="B102" s="736"/>
      <c r="C102" s="736"/>
      <c r="D102" s="787"/>
      <c r="E102" s="788"/>
      <c r="F102" s="789"/>
      <c r="G102" s="787"/>
      <c r="H102" s="787"/>
      <c r="I102" s="787"/>
      <c r="J102" s="790"/>
      <c r="K102" s="790"/>
      <c r="L102" s="787"/>
      <c r="M102" s="787"/>
    </row>
    <row r="103" spans="1:13" ht="15" x14ac:dyDescent="0.25">
      <c r="A103" s="736"/>
      <c r="B103" s="736"/>
      <c r="C103" s="736"/>
      <c r="D103" s="787"/>
      <c r="E103" s="788"/>
      <c r="F103" s="789"/>
      <c r="G103" s="787"/>
      <c r="H103" s="787"/>
      <c r="I103" s="787"/>
      <c r="J103" s="790"/>
      <c r="K103" s="790"/>
      <c r="L103" s="787"/>
      <c r="M103" s="787"/>
    </row>
    <row r="104" spans="1:13" ht="15" x14ac:dyDescent="0.25">
      <c r="A104" s="736"/>
      <c r="B104" s="736"/>
      <c r="C104" s="736"/>
      <c r="D104" s="787"/>
      <c r="E104" s="788"/>
      <c r="F104" s="789"/>
      <c r="G104" s="787"/>
      <c r="H104" s="787"/>
      <c r="I104" s="787"/>
      <c r="J104" s="790"/>
      <c r="K104" s="790"/>
      <c r="L104" s="787"/>
      <c r="M104" s="787"/>
    </row>
    <row r="105" spans="1:13" ht="15" x14ac:dyDescent="0.25">
      <c r="A105" s="736"/>
      <c r="B105" s="736"/>
      <c r="C105" s="736"/>
      <c r="D105" s="787"/>
      <c r="E105" s="788"/>
      <c r="F105" s="789"/>
      <c r="G105" s="787"/>
      <c r="H105" s="787"/>
      <c r="I105" s="787"/>
      <c r="J105" s="790"/>
      <c r="K105" s="790"/>
      <c r="L105" s="787"/>
      <c r="M105" s="787"/>
    </row>
    <row r="106" spans="1:13" ht="15" x14ac:dyDescent="0.25">
      <c r="A106" s="736"/>
      <c r="B106" s="736"/>
      <c r="C106" s="736"/>
      <c r="D106" s="787"/>
      <c r="E106" s="788"/>
      <c r="F106" s="789"/>
      <c r="G106" s="787"/>
      <c r="H106" s="787"/>
      <c r="I106" s="787"/>
      <c r="J106" s="790"/>
      <c r="K106" s="790"/>
      <c r="L106" s="787"/>
      <c r="M106" s="787"/>
    </row>
    <row r="107" spans="1:13" ht="15" x14ac:dyDescent="0.25">
      <c r="A107" s="736"/>
      <c r="B107" s="736"/>
      <c r="C107" s="736"/>
      <c r="D107" s="787"/>
      <c r="E107" s="788"/>
      <c r="F107" s="789"/>
      <c r="G107" s="787"/>
      <c r="H107" s="787"/>
      <c r="I107" s="787"/>
      <c r="J107" s="790"/>
      <c r="K107" s="790"/>
      <c r="L107" s="787"/>
      <c r="M107" s="787"/>
    </row>
    <row r="108" spans="1:13" ht="15" x14ac:dyDescent="0.25">
      <c r="A108" s="736"/>
      <c r="B108" s="736"/>
      <c r="C108" s="736"/>
      <c r="D108" s="787"/>
      <c r="E108" s="788"/>
      <c r="F108" s="789"/>
      <c r="G108" s="787"/>
      <c r="H108" s="787"/>
      <c r="I108" s="787"/>
      <c r="J108" s="790"/>
      <c r="K108" s="790"/>
      <c r="L108" s="787"/>
      <c r="M108" s="787"/>
    </row>
    <row r="109" spans="1:13" ht="15" x14ac:dyDescent="0.25">
      <c r="A109" s="736"/>
      <c r="B109" s="736"/>
      <c r="C109" s="736"/>
      <c r="D109" s="787"/>
      <c r="E109" s="788"/>
      <c r="F109" s="789"/>
      <c r="G109" s="787"/>
      <c r="H109" s="787"/>
      <c r="I109" s="787"/>
      <c r="J109" s="790"/>
      <c r="K109" s="790"/>
      <c r="L109" s="787"/>
      <c r="M109" s="787"/>
    </row>
    <row r="110" spans="1:13" ht="15" x14ac:dyDescent="0.25">
      <c r="A110" s="736"/>
      <c r="B110" s="736"/>
      <c r="C110" s="736"/>
      <c r="D110" s="787"/>
      <c r="E110" s="788"/>
      <c r="F110" s="789"/>
      <c r="G110" s="787"/>
      <c r="H110" s="787"/>
      <c r="I110" s="787"/>
      <c r="J110" s="790"/>
      <c r="K110" s="790"/>
      <c r="L110" s="787"/>
      <c r="M110" s="787"/>
    </row>
    <row r="111" spans="1:13" ht="15" x14ac:dyDescent="0.25">
      <c r="A111" s="736"/>
      <c r="B111" s="736"/>
      <c r="C111" s="736"/>
      <c r="D111" s="787"/>
      <c r="E111" s="788"/>
      <c r="F111" s="789"/>
      <c r="G111" s="787"/>
      <c r="H111" s="787"/>
      <c r="I111" s="787"/>
      <c r="J111" s="790"/>
      <c r="K111" s="790"/>
      <c r="L111" s="787"/>
      <c r="M111" s="787"/>
    </row>
    <row r="112" spans="1:13" ht="15" x14ac:dyDescent="0.25">
      <c r="A112" s="736"/>
      <c r="B112" s="736"/>
      <c r="C112" s="736"/>
      <c r="D112" s="787"/>
      <c r="E112" s="788"/>
      <c r="F112" s="789"/>
      <c r="G112" s="787"/>
      <c r="H112" s="787"/>
      <c r="I112" s="787"/>
      <c r="J112" s="790"/>
      <c r="K112" s="790"/>
      <c r="L112" s="787"/>
      <c r="M112" s="787"/>
    </row>
    <row r="113" spans="1:13" ht="15" x14ac:dyDescent="0.25">
      <c r="A113" s="736"/>
      <c r="B113" s="736"/>
      <c r="C113" s="736"/>
      <c r="D113" s="787"/>
      <c r="E113" s="788"/>
      <c r="F113" s="789"/>
      <c r="G113" s="787"/>
      <c r="H113" s="787"/>
      <c r="I113" s="787"/>
      <c r="J113" s="790"/>
      <c r="K113" s="790"/>
      <c r="L113" s="787"/>
      <c r="M113" s="787"/>
    </row>
    <row r="114" spans="1:13" ht="15" x14ac:dyDescent="0.25">
      <c r="A114" s="736"/>
      <c r="B114" s="736"/>
      <c r="C114" s="736"/>
      <c r="D114" s="787"/>
      <c r="E114" s="788"/>
      <c r="F114" s="789"/>
      <c r="G114" s="787"/>
      <c r="H114" s="787"/>
      <c r="I114" s="787"/>
      <c r="J114" s="790"/>
      <c r="K114" s="790"/>
      <c r="L114" s="787"/>
      <c r="M114" s="787"/>
    </row>
    <row r="115" spans="1:13" ht="15" x14ac:dyDescent="0.25">
      <c r="A115" s="736"/>
      <c r="B115" s="736"/>
      <c r="C115" s="736"/>
      <c r="D115" s="787"/>
      <c r="E115" s="788"/>
      <c r="F115" s="789"/>
      <c r="G115" s="787"/>
      <c r="H115" s="787"/>
      <c r="I115" s="787"/>
      <c r="J115" s="790"/>
      <c r="K115" s="790"/>
      <c r="L115" s="787"/>
      <c r="M115" s="787"/>
    </row>
    <row r="116" spans="1:13" ht="15" x14ac:dyDescent="0.25">
      <c r="A116" s="736"/>
      <c r="B116" s="736"/>
      <c r="C116" s="736"/>
      <c r="D116" s="787"/>
      <c r="E116" s="788"/>
      <c r="F116" s="789"/>
      <c r="G116" s="787"/>
      <c r="H116" s="787"/>
      <c r="I116" s="787"/>
      <c r="J116" s="790"/>
      <c r="K116" s="790"/>
      <c r="L116" s="787"/>
      <c r="M116" s="787"/>
    </row>
    <row r="117" spans="1:13" ht="15" x14ac:dyDescent="0.25">
      <c r="A117" s="736"/>
      <c r="B117" s="736"/>
      <c r="C117" s="736"/>
      <c r="D117" s="787"/>
      <c r="E117" s="788"/>
      <c r="F117" s="789"/>
      <c r="G117" s="787"/>
      <c r="H117" s="787"/>
      <c r="I117" s="787"/>
      <c r="J117" s="790"/>
      <c r="K117" s="790"/>
      <c r="L117" s="787"/>
      <c r="M117" s="787"/>
    </row>
    <row r="118" spans="1:13" ht="15" x14ac:dyDescent="0.25">
      <c r="A118" s="736"/>
      <c r="B118" s="736"/>
      <c r="C118" s="736"/>
      <c r="D118" s="787"/>
      <c r="E118" s="788"/>
      <c r="F118" s="789"/>
      <c r="G118" s="787"/>
      <c r="H118" s="787"/>
      <c r="I118" s="787"/>
      <c r="J118" s="790"/>
      <c r="K118" s="790"/>
      <c r="L118" s="787"/>
      <c r="M118" s="787"/>
    </row>
    <row r="119" spans="1:13" ht="15" x14ac:dyDescent="0.25">
      <c r="A119" s="736"/>
      <c r="B119" s="736"/>
      <c r="C119" s="736"/>
      <c r="D119" s="787"/>
      <c r="E119" s="788"/>
      <c r="F119" s="789"/>
      <c r="G119" s="787"/>
      <c r="H119" s="787"/>
      <c r="I119" s="787"/>
      <c r="J119" s="790"/>
      <c r="K119" s="790"/>
      <c r="L119" s="787"/>
      <c r="M119" s="787"/>
    </row>
    <row r="120" spans="1:13" ht="15" x14ac:dyDescent="0.25">
      <c r="A120" s="736"/>
      <c r="B120" s="736"/>
      <c r="C120" s="736"/>
      <c r="D120" s="787"/>
      <c r="E120" s="788"/>
      <c r="F120" s="789"/>
      <c r="G120" s="787"/>
      <c r="H120" s="787"/>
      <c r="I120" s="787"/>
      <c r="J120" s="790"/>
      <c r="K120" s="790"/>
      <c r="L120" s="787"/>
      <c r="M120" s="787"/>
    </row>
    <row r="121" spans="1:13" ht="15" x14ac:dyDescent="0.25">
      <c r="A121" s="736"/>
      <c r="B121" s="736"/>
      <c r="C121" s="736"/>
      <c r="D121" s="787"/>
      <c r="E121" s="788"/>
      <c r="F121" s="789"/>
      <c r="G121" s="787"/>
      <c r="H121" s="787"/>
      <c r="I121" s="787"/>
      <c r="J121" s="790"/>
      <c r="K121" s="790"/>
      <c r="L121" s="787"/>
      <c r="M121" s="787"/>
    </row>
    <row r="122" spans="1:13" ht="15" x14ac:dyDescent="0.25">
      <c r="A122" s="736"/>
      <c r="B122" s="736"/>
      <c r="C122" s="736"/>
      <c r="D122" s="787"/>
      <c r="E122" s="788"/>
      <c r="F122" s="789"/>
      <c r="G122" s="787"/>
      <c r="H122" s="787"/>
      <c r="I122" s="787"/>
      <c r="J122" s="790"/>
      <c r="K122" s="790"/>
      <c r="L122" s="787"/>
      <c r="M122" s="787"/>
    </row>
    <row r="123" spans="1:13" ht="15" x14ac:dyDescent="0.25">
      <c r="A123" s="736"/>
      <c r="B123" s="736"/>
      <c r="C123" s="736"/>
      <c r="D123" s="787"/>
      <c r="E123" s="788"/>
      <c r="F123" s="789"/>
      <c r="G123" s="787"/>
      <c r="H123" s="787"/>
      <c r="I123" s="787"/>
      <c r="J123" s="790"/>
      <c r="K123" s="790"/>
      <c r="L123" s="787"/>
      <c r="M123" s="787"/>
    </row>
    <row r="124" spans="1:13" ht="15" x14ac:dyDescent="0.25">
      <c r="A124" s="736"/>
      <c r="B124" s="736"/>
      <c r="C124" s="736"/>
      <c r="D124" s="787"/>
      <c r="E124" s="788"/>
      <c r="F124" s="789"/>
      <c r="G124" s="787"/>
      <c r="H124" s="787"/>
      <c r="I124" s="787"/>
      <c r="J124" s="790"/>
      <c r="K124" s="790"/>
      <c r="L124" s="787"/>
      <c r="M124" s="787"/>
    </row>
    <row r="125" spans="1:13" ht="15" x14ac:dyDescent="0.25">
      <c r="A125" s="736"/>
      <c r="B125" s="736"/>
      <c r="C125" s="736"/>
      <c r="D125" s="787"/>
      <c r="E125" s="788"/>
      <c r="F125" s="789"/>
      <c r="G125" s="787"/>
      <c r="H125" s="787"/>
      <c r="I125" s="787"/>
      <c r="J125" s="790"/>
      <c r="K125" s="790"/>
      <c r="L125" s="787"/>
      <c r="M125" s="787"/>
    </row>
    <row r="126" spans="1:13" ht="15" x14ac:dyDescent="0.25">
      <c r="A126" s="736"/>
      <c r="B126" s="736"/>
      <c r="C126" s="736"/>
      <c r="D126" s="787"/>
      <c r="E126" s="788"/>
      <c r="F126" s="789"/>
      <c r="G126" s="787"/>
      <c r="H126" s="787"/>
      <c r="I126" s="787"/>
      <c r="J126" s="790"/>
      <c r="K126" s="790"/>
      <c r="L126" s="787"/>
      <c r="M126" s="787"/>
    </row>
    <row r="127" spans="1:13" ht="15" x14ac:dyDescent="0.25">
      <c r="A127" s="736"/>
      <c r="B127" s="736"/>
      <c r="C127" s="736"/>
      <c r="D127" s="787"/>
      <c r="E127" s="788"/>
      <c r="F127" s="789"/>
      <c r="G127" s="787"/>
      <c r="H127" s="787"/>
      <c r="I127" s="787"/>
      <c r="J127" s="790"/>
      <c r="K127" s="790"/>
      <c r="L127" s="787"/>
      <c r="M127" s="787"/>
    </row>
    <row r="128" spans="1:13" ht="15" x14ac:dyDescent="0.25">
      <c r="A128" s="736"/>
      <c r="B128" s="736"/>
      <c r="C128" s="736"/>
      <c r="D128" s="787"/>
      <c r="E128" s="788"/>
      <c r="F128" s="789"/>
      <c r="G128" s="787"/>
      <c r="H128" s="787"/>
      <c r="I128" s="787"/>
      <c r="J128" s="790"/>
      <c r="K128" s="790"/>
      <c r="L128" s="787"/>
      <c r="M128" s="787"/>
    </row>
    <row r="129" spans="1:13" ht="15" x14ac:dyDescent="0.25">
      <c r="A129" s="736"/>
      <c r="B129" s="736"/>
      <c r="C129" s="736"/>
      <c r="D129" s="787"/>
      <c r="E129" s="788"/>
      <c r="F129" s="789"/>
      <c r="G129" s="787"/>
      <c r="H129" s="787"/>
      <c r="I129" s="787"/>
      <c r="J129" s="790"/>
      <c r="K129" s="790"/>
      <c r="L129" s="787"/>
      <c r="M129" s="787"/>
    </row>
    <row r="130" spans="1:13" ht="15" x14ac:dyDescent="0.25">
      <c r="A130" s="736"/>
      <c r="B130" s="736"/>
      <c r="C130" s="736"/>
      <c r="D130" s="787"/>
      <c r="E130" s="788"/>
      <c r="F130" s="789"/>
      <c r="G130" s="787"/>
      <c r="H130" s="787"/>
      <c r="I130" s="787"/>
      <c r="J130" s="790"/>
      <c r="K130" s="790"/>
      <c r="L130" s="787"/>
      <c r="M130" s="787"/>
    </row>
    <row r="131" spans="1:13" ht="15" x14ac:dyDescent="0.25">
      <c r="A131" s="736"/>
      <c r="B131" s="736"/>
      <c r="C131" s="736"/>
      <c r="D131" s="787"/>
      <c r="E131" s="788"/>
      <c r="F131" s="789"/>
      <c r="G131" s="787"/>
      <c r="H131" s="787"/>
      <c r="I131" s="787"/>
      <c r="J131" s="790"/>
      <c r="K131" s="790"/>
      <c r="L131" s="787"/>
      <c r="M131" s="787"/>
    </row>
    <row r="132" spans="1:13" ht="15" x14ac:dyDescent="0.25">
      <c r="A132" s="736"/>
      <c r="B132" s="736"/>
      <c r="C132" s="736"/>
      <c r="D132" s="787"/>
      <c r="E132" s="788"/>
      <c r="F132" s="789"/>
      <c r="G132" s="787"/>
      <c r="H132" s="787"/>
      <c r="I132" s="787"/>
      <c r="J132" s="790"/>
      <c r="K132" s="790"/>
      <c r="L132" s="787"/>
      <c r="M132" s="787"/>
    </row>
    <row r="133" spans="1:13" ht="15" x14ac:dyDescent="0.25">
      <c r="A133" s="736"/>
      <c r="B133" s="736"/>
      <c r="C133" s="736"/>
      <c r="D133" s="787"/>
      <c r="E133" s="788"/>
      <c r="F133" s="789"/>
      <c r="G133" s="787"/>
      <c r="H133" s="787"/>
      <c r="I133" s="787"/>
      <c r="J133" s="790"/>
      <c r="K133" s="790"/>
      <c r="L133" s="787"/>
      <c r="M133" s="787"/>
    </row>
    <row r="134" spans="1:13" ht="15" x14ac:dyDescent="0.25">
      <c r="A134" s="736"/>
      <c r="B134" s="736"/>
      <c r="C134" s="736"/>
      <c r="D134" s="787"/>
      <c r="E134" s="788"/>
      <c r="F134" s="789"/>
      <c r="G134" s="787"/>
      <c r="H134" s="787"/>
      <c r="I134" s="787"/>
      <c r="J134" s="790"/>
      <c r="K134" s="790"/>
      <c r="L134" s="787"/>
      <c r="M134" s="787"/>
    </row>
    <row r="135" spans="1:13" ht="15" x14ac:dyDescent="0.25">
      <c r="A135" s="736"/>
      <c r="B135" s="736"/>
      <c r="C135" s="736"/>
      <c r="D135" s="787"/>
      <c r="E135" s="788"/>
      <c r="F135" s="789"/>
      <c r="G135" s="787"/>
      <c r="H135" s="787"/>
      <c r="I135" s="787"/>
      <c r="J135" s="790"/>
      <c r="K135" s="790"/>
      <c r="L135" s="787"/>
      <c r="M135" s="787"/>
    </row>
    <row r="136" spans="1:13" ht="15" x14ac:dyDescent="0.25">
      <c r="A136" s="736"/>
      <c r="B136" s="736"/>
      <c r="C136" s="736"/>
      <c r="D136" s="787"/>
      <c r="E136" s="788"/>
      <c r="F136" s="789"/>
      <c r="G136" s="787"/>
      <c r="H136" s="787"/>
      <c r="I136" s="787"/>
      <c r="J136" s="790"/>
      <c r="K136" s="790"/>
      <c r="L136" s="787"/>
      <c r="M136" s="787"/>
    </row>
    <row r="137" spans="1:13" ht="15" x14ac:dyDescent="0.25">
      <c r="A137" s="736"/>
      <c r="B137" s="736"/>
      <c r="C137" s="736"/>
      <c r="D137" s="787"/>
      <c r="E137" s="788"/>
      <c r="F137" s="789"/>
      <c r="G137" s="787"/>
      <c r="H137" s="787"/>
      <c r="I137" s="787"/>
      <c r="J137" s="790"/>
      <c r="K137" s="790"/>
      <c r="L137" s="787"/>
      <c r="M137" s="787"/>
    </row>
    <row r="138" spans="1:13" ht="15" x14ac:dyDescent="0.25">
      <c r="A138" s="736"/>
      <c r="B138" s="736"/>
      <c r="C138" s="736"/>
      <c r="D138" s="787"/>
      <c r="E138" s="788"/>
      <c r="F138" s="789"/>
      <c r="G138" s="787"/>
      <c r="H138" s="787"/>
      <c r="I138" s="787"/>
      <c r="J138" s="790"/>
      <c r="K138" s="790"/>
      <c r="L138" s="787"/>
      <c r="M138" s="787"/>
    </row>
    <row r="139" spans="1:13" ht="15" x14ac:dyDescent="0.25">
      <c r="A139" s="736"/>
      <c r="B139" s="736"/>
      <c r="C139" s="736"/>
      <c r="D139" s="787"/>
      <c r="E139" s="788"/>
      <c r="F139" s="789"/>
      <c r="G139" s="787"/>
      <c r="H139" s="787"/>
      <c r="I139" s="787"/>
      <c r="J139" s="790"/>
      <c r="K139" s="790"/>
      <c r="L139" s="787"/>
      <c r="M139" s="787"/>
    </row>
    <row r="140" spans="1:13" ht="15" x14ac:dyDescent="0.25">
      <c r="A140" s="736"/>
      <c r="B140" s="736"/>
      <c r="C140" s="736"/>
      <c r="D140" s="787"/>
      <c r="E140" s="788"/>
      <c r="F140" s="789"/>
      <c r="G140" s="787"/>
      <c r="H140" s="787"/>
      <c r="I140" s="787"/>
      <c r="J140" s="790"/>
      <c r="K140" s="790"/>
      <c r="L140" s="787"/>
      <c r="M140" s="787"/>
    </row>
    <row r="141" spans="1:13" ht="15" x14ac:dyDescent="0.25">
      <c r="A141" s="736"/>
      <c r="B141" s="736"/>
      <c r="C141" s="736"/>
      <c r="D141" s="787"/>
      <c r="E141" s="788"/>
      <c r="F141" s="789"/>
      <c r="G141" s="787"/>
      <c r="H141" s="787"/>
      <c r="I141" s="787"/>
      <c r="J141" s="790"/>
      <c r="K141" s="790"/>
      <c r="L141" s="787"/>
      <c r="M141" s="787"/>
    </row>
    <row r="142" spans="1:13" ht="15" x14ac:dyDescent="0.25">
      <c r="A142" s="736"/>
      <c r="B142" s="736"/>
      <c r="C142" s="736"/>
      <c r="D142" s="787"/>
      <c r="E142" s="788"/>
      <c r="F142" s="789"/>
      <c r="G142" s="787"/>
      <c r="H142" s="787"/>
      <c r="I142" s="787"/>
      <c r="J142" s="790"/>
      <c r="K142" s="790"/>
      <c r="L142" s="787"/>
      <c r="M142" s="787"/>
    </row>
    <row r="143" spans="1:13" ht="15" x14ac:dyDescent="0.25">
      <c r="A143" s="736"/>
      <c r="B143" s="736"/>
      <c r="C143" s="736"/>
      <c r="D143" s="787"/>
      <c r="E143" s="788"/>
      <c r="F143" s="789"/>
      <c r="G143" s="787"/>
      <c r="H143" s="787"/>
      <c r="I143" s="787"/>
      <c r="J143" s="790"/>
      <c r="K143" s="790"/>
      <c r="L143" s="787"/>
      <c r="M143" s="787"/>
    </row>
    <row r="144" spans="1:13" ht="15" x14ac:dyDescent="0.25">
      <c r="A144" s="736"/>
      <c r="B144" s="736"/>
      <c r="C144" s="736"/>
      <c r="D144" s="787"/>
      <c r="E144" s="788"/>
      <c r="F144" s="789"/>
      <c r="G144" s="787"/>
      <c r="H144" s="787"/>
      <c r="I144" s="787"/>
      <c r="J144" s="790"/>
      <c r="K144" s="790"/>
      <c r="L144" s="787"/>
      <c r="M144" s="787"/>
    </row>
    <row r="145" spans="1:13" ht="15" x14ac:dyDescent="0.25">
      <c r="A145" s="736"/>
      <c r="B145" s="736"/>
      <c r="C145" s="736"/>
      <c r="D145" s="787"/>
      <c r="E145" s="788"/>
      <c r="F145" s="789"/>
      <c r="G145" s="787"/>
      <c r="H145" s="787"/>
      <c r="I145" s="787"/>
      <c r="J145" s="790"/>
      <c r="K145" s="790"/>
      <c r="L145" s="787"/>
      <c r="M145" s="787"/>
    </row>
    <row r="146" spans="1:13" ht="15" x14ac:dyDescent="0.25">
      <c r="A146" s="736"/>
      <c r="B146" s="736"/>
      <c r="C146" s="736"/>
      <c r="D146" s="787"/>
      <c r="E146" s="788"/>
      <c r="F146" s="789"/>
      <c r="G146" s="787"/>
      <c r="H146" s="787"/>
      <c r="I146" s="787"/>
      <c r="J146" s="790"/>
      <c r="K146" s="790"/>
      <c r="L146" s="787"/>
      <c r="M146" s="787"/>
    </row>
    <row r="147" spans="1:13" ht="15" x14ac:dyDescent="0.25">
      <c r="A147" s="736"/>
      <c r="B147" s="736"/>
      <c r="C147" s="736"/>
      <c r="D147" s="787"/>
      <c r="E147" s="788"/>
      <c r="F147" s="789"/>
      <c r="G147" s="787"/>
      <c r="H147" s="787"/>
      <c r="I147" s="787"/>
      <c r="J147" s="790"/>
      <c r="K147" s="790"/>
      <c r="L147" s="787"/>
      <c r="M147" s="787"/>
    </row>
    <row r="148" spans="1:13" ht="15" x14ac:dyDescent="0.25">
      <c r="A148" s="736"/>
      <c r="B148" s="736"/>
      <c r="C148" s="736"/>
      <c r="D148" s="787"/>
      <c r="E148" s="788"/>
      <c r="F148" s="789"/>
      <c r="G148" s="787"/>
      <c r="H148" s="787"/>
      <c r="I148" s="787"/>
      <c r="J148" s="790"/>
      <c r="K148" s="790"/>
      <c r="L148" s="787"/>
      <c r="M148" s="787"/>
    </row>
    <row r="149" spans="1:13" ht="15" x14ac:dyDescent="0.25">
      <c r="A149" s="736"/>
      <c r="B149" s="736"/>
      <c r="C149" s="736"/>
      <c r="D149" s="787"/>
      <c r="E149" s="788"/>
      <c r="F149" s="789"/>
      <c r="G149" s="787"/>
      <c r="H149" s="787"/>
      <c r="I149" s="787"/>
      <c r="J149" s="790"/>
      <c r="K149" s="790"/>
      <c r="L149" s="787"/>
      <c r="M149" s="787"/>
    </row>
    <row r="150" spans="1:13" ht="15" x14ac:dyDescent="0.25">
      <c r="A150" s="736"/>
      <c r="B150" s="736"/>
      <c r="C150" s="736"/>
      <c r="D150" s="787"/>
      <c r="E150" s="788"/>
      <c r="F150" s="789"/>
      <c r="G150" s="787"/>
      <c r="H150" s="787"/>
      <c r="I150" s="787"/>
      <c r="J150" s="790"/>
      <c r="K150" s="790"/>
      <c r="L150" s="787"/>
      <c r="M150" s="787"/>
    </row>
    <row r="151" spans="1:13" ht="15" x14ac:dyDescent="0.25">
      <c r="A151" s="736"/>
      <c r="B151" s="736"/>
      <c r="C151" s="736"/>
      <c r="D151" s="787"/>
      <c r="E151" s="788"/>
      <c r="F151" s="789"/>
      <c r="G151" s="787"/>
      <c r="H151" s="787"/>
      <c r="I151" s="787"/>
      <c r="J151" s="790"/>
      <c r="K151" s="790"/>
      <c r="L151" s="787"/>
      <c r="M151" s="787"/>
    </row>
    <row r="152" spans="1:13" ht="15" x14ac:dyDescent="0.25">
      <c r="A152" s="736"/>
      <c r="B152" s="736"/>
      <c r="C152" s="736"/>
      <c r="D152" s="787"/>
      <c r="E152" s="788"/>
      <c r="F152" s="789"/>
      <c r="G152" s="787"/>
      <c r="H152" s="787"/>
      <c r="I152" s="787"/>
      <c r="J152" s="790"/>
      <c r="K152" s="790"/>
      <c r="L152" s="787"/>
      <c r="M152" s="787"/>
    </row>
    <row r="153" spans="1:13" ht="15" x14ac:dyDescent="0.25">
      <c r="A153" s="736"/>
      <c r="B153" s="736"/>
      <c r="C153" s="736"/>
      <c r="D153" s="787"/>
      <c r="E153" s="788"/>
      <c r="F153" s="789"/>
      <c r="G153" s="787"/>
      <c r="H153" s="787"/>
      <c r="I153" s="787"/>
      <c r="J153" s="790"/>
      <c r="K153" s="790"/>
      <c r="L153" s="787"/>
      <c r="M153" s="787"/>
    </row>
    <row r="154" spans="1:13" ht="15" x14ac:dyDescent="0.25">
      <c r="A154" s="736"/>
      <c r="B154" s="736"/>
      <c r="C154" s="736"/>
      <c r="D154" s="787"/>
      <c r="E154" s="788"/>
      <c r="F154" s="789"/>
      <c r="G154" s="787"/>
      <c r="H154" s="787"/>
      <c r="I154" s="787"/>
      <c r="J154" s="790"/>
      <c r="K154" s="790"/>
      <c r="L154" s="787"/>
      <c r="M154" s="787"/>
    </row>
    <row r="155" spans="1:13" ht="15" x14ac:dyDescent="0.25">
      <c r="A155" s="736"/>
      <c r="B155" s="736"/>
      <c r="C155" s="736"/>
      <c r="D155" s="787"/>
      <c r="E155" s="788"/>
      <c r="F155" s="789"/>
      <c r="G155" s="787"/>
      <c r="H155" s="787"/>
      <c r="I155" s="787"/>
      <c r="J155" s="790"/>
      <c r="K155" s="790"/>
      <c r="L155" s="787"/>
      <c r="M155" s="787"/>
    </row>
    <row r="156" spans="1:13" ht="15" x14ac:dyDescent="0.25">
      <c r="A156" s="736"/>
      <c r="B156" s="736"/>
      <c r="C156" s="736"/>
      <c r="D156" s="787"/>
      <c r="E156" s="788"/>
      <c r="F156" s="789"/>
      <c r="G156" s="787"/>
      <c r="H156" s="787"/>
      <c r="I156" s="787"/>
      <c r="J156" s="790"/>
      <c r="K156" s="790"/>
      <c r="L156" s="787"/>
      <c r="M156" s="787"/>
    </row>
    <row r="157" spans="1:13" ht="15" x14ac:dyDescent="0.25">
      <c r="A157" s="736"/>
      <c r="B157" s="736"/>
      <c r="C157" s="736"/>
      <c r="D157" s="787"/>
      <c r="E157" s="788"/>
      <c r="F157" s="789"/>
      <c r="G157" s="787"/>
      <c r="H157" s="787"/>
      <c r="I157" s="787"/>
      <c r="J157" s="790"/>
      <c r="K157" s="790"/>
      <c r="L157" s="787"/>
      <c r="M157" s="787"/>
    </row>
    <row r="158" spans="1:13" ht="15" x14ac:dyDescent="0.25">
      <c r="A158" s="736"/>
      <c r="B158" s="736"/>
      <c r="C158" s="736"/>
      <c r="D158" s="787"/>
      <c r="E158" s="788"/>
      <c r="F158" s="789"/>
      <c r="G158" s="787"/>
      <c r="H158" s="787"/>
      <c r="I158" s="787"/>
      <c r="J158" s="790"/>
      <c r="K158" s="790"/>
      <c r="L158" s="787"/>
      <c r="M158" s="787"/>
    </row>
    <row r="159" spans="1:13" ht="15" x14ac:dyDescent="0.25">
      <c r="A159" s="736"/>
      <c r="B159" s="736"/>
      <c r="C159" s="736"/>
      <c r="D159" s="787"/>
      <c r="E159" s="788"/>
      <c r="F159" s="789"/>
      <c r="G159" s="787"/>
      <c r="H159" s="787"/>
      <c r="I159" s="787"/>
      <c r="J159" s="790"/>
      <c r="K159" s="790"/>
      <c r="L159" s="787"/>
      <c r="M159" s="787"/>
    </row>
    <row r="160" spans="1:13" ht="15" x14ac:dyDescent="0.25">
      <c r="A160" s="736"/>
      <c r="B160" s="736"/>
      <c r="C160" s="736"/>
      <c r="D160" s="787"/>
      <c r="E160" s="788"/>
      <c r="F160" s="789"/>
      <c r="G160" s="787"/>
      <c r="H160" s="787"/>
      <c r="I160" s="787"/>
      <c r="J160" s="790"/>
      <c r="K160" s="790"/>
      <c r="L160" s="787"/>
      <c r="M160" s="787"/>
    </row>
    <row r="161" spans="1:13" ht="15" x14ac:dyDescent="0.25">
      <c r="A161" s="736"/>
      <c r="B161" s="736"/>
      <c r="C161" s="736"/>
      <c r="D161" s="787"/>
      <c r="E161" s="788"/>
      <c r="F161" s="789"/>
      <c r="G161" s="787"/>
      <c r="H161" s="787"/>
      <c r="I161" s="787"/>
      <c r="J161" s="790"/>
      <c r="K161" s="790"/>
      <c r="L161" s="787"/>
      <c r="M161" s="787"/>
    </row>
    <row r="162" spans="1:13" ht="15" x14ac:dyDescent="0.25">
      <c r="A162" s="736"/>
      <c r="B162" s="736"/>
      <c r="C162" s="736"/>
      <c r="D162" s="787"/>
      <c r="E162" s="788"/>
      <c r="F162" s="789"/>
      <c r="G162" s="787"/>
      <c r="H162" s="787"/>
      <c r="I162" s="787"/>
      <c r="J162" s="790"/>
      <c r="K162" s="790"/>
      <c r="L162" s="787"/>
      <c r="M162" s="787"/>
    </row>
    <row r="163" spans="1:13" ht="15" x14ac:dyDescent="0.25">
      <c r="A163" s="736"/>
      <c r="B163" s="736"/>
      <c r="C163" s="736"/>
      <c r="D163" s="787"/>
      <c r="E163" s="788"/>
      <c r="F163" s="789"/>
      <c r="G163" s="787"/>
      <c r="H163" s="787"/>
      <c r="I163" s="787"/>
      <c r="J163" s="790"/>
      <c r="K163" s="790"/>
      <c r="L163" s="787"/>
      <c r="M163" s="787"/>
    </row>
    <row r="164" spans="1:13" ht="15" x14ac:dyDescent="0.25">
      <c r="A164" s="736"/>
      <c r="B164" s="736"/>
      <c r="C164" s="736"/>
      <c r="D164" s="787"/>
      <c r="E164" s="788"/>
      <c r="F164" s="789"/>
      <c r="G164" s="787"/>
      <c r="H164" s="787"/>
      <c r="I164" s="787"/>
      <c r="J164" s="790"/>
      <c r="K164" s="790"/>
      <c r="L164" s="787"/>
      <c r="M164" s="787"/>
    </row>
    <row r="165" spans="1:13" ht="15" x14ac:dyDescent="0.25">
      <c r="A165" s="736"/>
      <c r="B165" s="736"/>
      <c r="C165" s="736"/>
      <c r="D165" s="787"/>
      <c r="E165" s="788"/>
      <c r="F165" s="789"/>
      <c r="G165" s="787"/>
      <c r="H165" s="787"/>
      <c r="I165" s="787"/>
      <c r="J165" s="790"/>
      <c r="K165" s="790"/>
      <c r="L165" s="787"/>
      <c r="M165" s="787"/>
    </row>
    <row r="166" spans="1:13" ht="15" x14ac:dyDescent="0.25">
      <c r="A166" s="736"/>
      <c r="B166" s="736"/>
      <c r="C166" s="736"/>
      <c r="D166" s="787"/>
      <c r="E166" s="788"/>
      <c r="F166" s="789"/>
      <c r="G166" s="787"/>
      <c r="H166" s="787"/>
      <c r="I166" s="787"/>
      <c r="J166" s="790"/>
      <c r="K166" s="790"/>
      <c r="L166" s="787"/>
      <c r="M166" s="787"/>
    </row>
    <row r="167" spans="1:13" ht="15" x14ac:dyDescent="0.25">
      <c r="A167" s="736"/>
      <c r="B167" s="736"/>
      <c r="C167" s="736"/>
      <c r="D167" s="787"/>
      <c r="E167" s="788"/>
      <c r="F167" s="789"/>
      <c r="G167" s="787"/>
      <c r="H167" s="787"/>
      <c r="I167" s="787"/>
      <c r="J167" s="790"/>
      <c r="K167" s="790"/>
      <c r="L167" s="787"/>
      <c r="M167" s="787"/>
    </row>
    <row r="168" spans="1:13" ht="15" x14ac:dyDescent="0.25">
      <c r="A168" s="736"/>
      <c r="B168" s="736"/>
      <c r="C168" s="736"/>
      <c r="D168" s="787"/>
      <c r="E168" s="788"/>
      <c r="F168" s="789"/>
      <c r="G168" s="787"/>
      <c r="H168" s="787"/>
      <c r="I168" s="787"/>
      <c r="J168" s="790"/>
      <c r="K168" s="790"/>
      <c r="L168" s="787"/>
      <c r="M168" s="787"/>
    </row>
    <row r="169" spans="1:13" ht="15" x14ac:dyDescent="0.25">
      <c r="A169" s="736"/>
      <c r="B169" s="736"/>
      <c r="C169" s="736"/>
      <c r="D169" s="787"/>
      <c r="E169" s="788"/>
      <c r="F169" s="789"/>
      <c r="G169" s="787"/>
      <c r="H169" s="787"/>
      <c r="I169" s="787"/>
      <c r="J169" s="790"/>
      <c r="K169" s="790"/>
      <c r="L169" s="787"/>
      <c r="M169" s="787"/>
    </row>
    <row r="170" spans="1:13" ht="15" x14ac:dyDescent="0.25">
      <c r="A170" s="736"/>
      <c r="B170" s="736"/>
      <c r="C170" s="736"/>
      <c r="D170" s="787"/>
      <c r="E170" s="788"/>
      <c r="F170" s="789"/>
      <c r="G170" s="787"/>
      <c r="H170" s="787"/>
      <c r="I170" s="787"/>
      <c r="J170" s="790"/>
      <c r="K170" s="790"/>
      <c r="L170" s="787"/>
      <c r="M170" s="787"/>
    </row>
    <row r="171" spans="1:13" ht="15" x14ac:dyDescent="0.25">
      <c r="A171" s="736"/>
      <c r="B171" s="736"/>
      <c r="C171" s="736"/>
      <c r="D171" s="787"/>
      <c r="E171" s="788"/>
      <c r="F171" s="789"/>
      <c r="G171" s="787"/>
      <c r="H171" s="787"/>
      <c r="I171" s="787"/>
      <c r="J171" s="790"/>
      <c r="K171" s="790"/>
      <c r="L171" s="787"/>
      <c r="M171" s="787"/>
    </row>
    <row r="172" spans="1:13" ht="15" x14ac:dyDescent="0.25">
      <c r="A172" s="736"/>
      <c r="B172" s="736"/>
      <c r="C172" s="736"/>
      <c r="D172" s="787"/>
      <c r="E172" s="788"/>
      <c r="F172" s="789"/>
      <c r="G172" s="787"/>
      <c r="H172" s="787"/>
      <c r="I172" s="787"/>
      <c r="J172" s="790"/>
      <c r="K172" s="790"/>
      <c r="L172" s="787"/>
      <c r="M172" s="787"/>
    </row>
    <row r="173" spans="1:13" ht="15" x14ac:dyDescent="0.25">
      <c r="A173" s="736"/>
      <c r="B173" s="736"/>
      <c r="C173" s="736"/>
      <c r="D173" s="787"/>
      <c r="E173" s="788"/>
      <c r="F173" s="789"/>
      <c r="G173" s="787"/>
      <c r="H173" s="787"/>
      <c r="I173" s="787"/>
      <c r="J173" s="790"/>
      <c r="K173" s="790"/>
      <c r="L173" s="787"/>
      <c r="M173" s="787"/>
    </row>
    <row r="174" spans="1:13" ht="15" x14ac:dyDescent="0.25">
      <c r="A174" s="736"/>
      <c r="B174" s="736"/>
      <c r="C174" s="736"/>
      <c r="D174" s="787"/>
      <c r="E174" s="788"/>
      <c r="F174" s="789"/>
      <c r="G174" s="787"/>
      <c r="H174" s="787"/>
      <c r="I174" s="787"/>
      <c r="J174" s="790"/>
      <c r="K174" s="790"/>
      <c r="L174" s="787"/>
      <c r="M174" s="787"/>
    </row>
    <row r="175" spans="1:13" ht="15" x14ac:dyDescent="0.25">
      <c r="A175" s="736"/>
      <c r="B175" s="736"/>
      <c r="C175" s="736"/>
      <c r="D175" s="787"/>
      <c r="E175" s="788"/>
      <c r="F175" s="789"/>
      <c r="G175" s="787"/>
      <c r="H175" s="787"/>
      <c r="I175" s="787"/>
      <c r="J175" s="790"/>
      <c r="K175" s="790"/>
      <c r="L175" s="787"/>
      <c r="M175" s="787"/>
    </row>
    <row r="176" spans="1:13" ht="15" x14ac:dyDescent="0.25">
      <c r="A176" s="736"/>
      <c r="B176" s="736"/>
      <c r="C176" s="736"/>
      <c r="D176" s="787"/>
      <c r="E176" s="788"/>
      <c r="F176" s="789"/>
      <c r="G176" s="787"/>
      <c r="H176" s="787"/>
      <c r="I176" s="787"/>
      <c r="J176" s="790"/>
      <c r="K176" s="790"/>
      <c r="L176" s="787"/>
      <c r="M176" s="787"/>
    </row>
    <row r="177" spans="1:13" ht="15" x14ac:dyDescent="0.25">
      <c r="A177" s="736"/>
      <c r="B177" s="736"/>
      <c r="C177" s="736"/>
      <c r="D177" s="787"/>
      <c r="E177" s="788"/>
      <c r="F177" s="789"/>
      <c r="G177" s="787"/>
      <c r="H177" s="787"/>
      <c r="I177" s="787"/>
      <c r="J177" s="790"/>
      <c r="K177" s="790"/>
      <c r="L177" s="787"/>
      <c r="M177" s="787"/>
    </row>
    <row r="178" spans="1:13" ht="15" x14ac:dyDescent="0.25">
      <c r="A178" s="736"/>
      <c r="B178" s="736"/>
      <c r="C178" s="736"/>
      <c r="D178" s="787"/>
      <c r="E178" s="788"/>
      <c r="F178" s="789"/>
      <c r="G178" s="787"/>
      <c r="H178" s="787"/>
      <c r="I178" s="787"/>
      <c r="J178" s="790"/>
      <c r="K178" s="790"/>
      <c r="L178" s="787"/>
      <c r="M178" s="787"/>
    </row>
    <row r="179" spans="1:13" ht="15" x14ac:dyDescent="0.25">
      <c r="A179" s="736"/>
      <c r="B179" s="736"/>
      <c r="C179" s="736"/>
      <c r="D179" s="787"/>
      <c r="E179" s="788"/>
      <c r="F179" s="789"/>
      <c r="G179" s="787"/>
      <c r="H179" s="787"/>
      <c r="I179" s="787"/>
      <c r="J179" s="790"/>
      <c r="K179" s="790"/>
      <c r="L179" s="787"/>
      <c r="M179" s="787"/>
    </row>
    <row r="180" spans="1:13" ht="15" x14ac:dyDescent="0.25">
      <c r="A180" s="736"/>
      <c r="B180" s="736"/>
      <c r="C180" s="736"/>
      <c r="D180" s="787"/>
      <c r="E180" s="788"/>
      <c r="F180" s="789"/>
      <c r="G180" s="787"/>
      <c r="H180" s="787"/>
      <c r="I180" s="787"/>
      <c r="J180" s="790"/>
      <c r="K180" s="790"/>
      <c r="L180" s="787"/>
      <c r="M180" s="787"/>
    </row>
    <row r="181" spans="1:13" ht="15" x14ac:dyDescent="0.25">
      <c r="A181" s="736"/>
      <c r="B181" s="736"/>
      <c r="C181" s="736"/>
      <c r="D181" s="787"/>
      <c r="E181" s="788"/>
      <c r="F181" s="789"/>
      <c r="G181" s="787"/>
      <c r="H181" s="787"/>
      <c r="I181" s="787"/>
      <c r="J181" s="790"/>
      <c r="K181" s="790"/>
      <c r="L181" s="787"/>
      <c r="M181" s="787"/>
    </row>
    <row r="182" spans="1:13" ht="15" x14ac:dyDescent="0.25">
      <c r="A182" s="736"/>
      <c r="B182" s="736"/>
      <c r="C182" s="736"/>
      <c r="D182" s="787"/>
      <c r="E182" s="788"/>
      <c r="F182" s="789"/>
      <c r="G182" s="787"/>
      <c r="H182" s="787"/>
      <c r="I182" s="787"/>
      <c r="J182" s="790"/>
      <c r="K182" s="790"/>
      <c r="L182" s="787"/>
      <c r="M182" s="787"/>
    </row>
    <row r="183" spans="1:13" ht="15" x14ac:dyDescent="0.25">
      <c r="A183" s="736"/>
      <c r="B183" s="736"/>
      <c r="C183" s="736"/>
      <c r="D183" s="787"/>
      <c r="E183" s="788"/>
      <c r="F183" s="789"/>
      <c r="G183" s="787"/>
      <c r="H183" s="787"/>
      <c r="I183" s="787"/>
      <c r="J183" s="790"/>
      <c r="K183" s="790"/>
      <c r="L183" s="787"/>
      <c r="M183" s="787"/>
    </row>
    <row r="184" spans="1:13" ht="15" x14ac:dyDescent="0.25">
      <c r="A184" s="736"/>
      <c r="B184" s="736"/>
      <c r="C184" s="736"/>
      <c r="D184" s="787"/>
      <c r="E184" s="788"/>
      <c r="F184" s="789"/>
      <c r="G184" s="787"/>
      <c r="H184" s="787"/>
      <c r="I184" s="787"/>
      <c r="J184" s="790"/>
      <c r="K184" s="790"/>
      <c r="L184" s="787"/>
      <c r="M184" s="787"/>
    </row>
    <row r="185" spans="1:13" ht="15" x14ac:dyDescent="0.25">
      <c r="A185" s="736"/>
      <c r="B185" s="736"/>
      <c r="C185" s="736"/>
      <c r="D185" s="787"/>
      <c r="E185" s="788"/>
      <c r="F185" s="789"/>
      <c r="G185" s="787"/>
      <c r="H185" s="787"/>
      <c r="I185" s="787"/>
      <c r="J185" s="790"/>
      <c r="K185" s="790"/>
      <c r="L185" s="787"/>
      <c r="M185" s="787"/>
    </row>
    <row r="186" spans="1:13" ht="15" x14ac:dyDescent="0.25">
      <c r="A186" s="736"/>
      <c r="B186" s="736"/>
      <c r="C186" s="736"/>
      <c r="D186" s="787"/>
      <c r="E186" s="788"/>
      <c r="F186" s="789"/>
      <c r="G186" s="787"/>
      <c r="H186" s="787"/>
      <c r="I186" s="787"/>
      <c r="J186" s="790"/>
      <c r="K186" s="790"/>
      <c r="L186" s="787"/>
      <c r="M186" s="787"/>
    </row>
    <row r="187" spans="1:13" ht="15" x14ac:dyDescent="0.25">
      <c r="A187" s="736"/>
      <c r="B187" s="736"/>
      <c r="C187" s="736"/>
      <c r="D187" s="787"/>
      <c r="E187" s="788"/>
      <c r="F187" s="789"/>
      <c r="G187" s="787"/>
      <c r="H187" s="787"/>
      <c r="I187" s="787"/>
      <c r="J187" s="790"/>
      <c r="K187" s="790"/>
      <c r="L187" s="787"/>
      <c r="M187" s="787"/>
    </row>
    <row r="188" spans="1:13" ht="15" x14ac:dyDescent="0.25">
      <c r="A188" s="736"/>
      <c r="B188" s="736"/>
      <c r="C188" s="736"/>
      <c r="D188" s="787"/>
      <c r="E188" s="788"/>
      <c r="F188" s="789"/>
      <c r="G188" s="787"/>
      <c r="H188" s="787"/>
      <c r="I188" s="787"/>
      <c r="J188" s="790"/>
      <c r="K188" s="790"/>
      <c r="L188" s="787"/>
      <c r="M188" s="787"/>
    </row>
    <row r="189" spans="1:13" ht="15" x14ac:dyDescent="0.25">
      <c r="A189" s="736"/>
      <c r="B189" s="736"/>
      <c r="C189" s="736"/>
      <c r="D189" s="787"/>
      <c r="E189" s="788"/>
      <c r="F189" s="789"/>
      <c r="G189" s="787"/>
      <c r="H189" s="787"/>
      <c r="I189" s="787"/>
      <c r="J189" s="790"/>
      <c r="K189" s="790"/>
      <c r="L189" s="787"/>
      <c r="M189" s="787"/>
    </row>
    <row r="190" spans="1:13" ht="15" x14ac:dyDescent="0.25">
      <c r="A190" s="736"/>
      <c r="B190" s="736"/>
      <c r="C190" s="736"/>
      <c r="D190" s="787"/>
      <c r="E190" s="788"/>
      <c r="F190" s="789"/>
      <c r="G190" s="787"/>
      <c r="H190" s="787"/>
      <c r="I190" s="787"/>
      <c r="J190" s="790"/>
      <c r="K190" s="790"/>
      <c r="L190" s="787"/>
      <c r="M190" s="787"/>
    </row>
    <row r="191" spans="1:13" ht="15" x14ac:dyDescent="0.25">
      <c r="A191" s="736"/>
      <c r="B191" s="736"/>
      <c r="C191" s="736"/>
      <c r="D191" s="787"/>
      <c r="E191" s="788"/>
      <c r="F191" s="789"/>
      <c r="G191" s="787"/>
      <c r="H191" s="787"/>
      <c r="I191" s="787"/>
      <c r="J191" s="790"/>
      <c r="K191" s="790"/>
      <c r="L191" s="787"/>
      <c r="M191" s="787"/>
    </row>
    <row r="192" spans="1:13" ht="15" x14ac:dyDescent="0.25">
      <c r="A192" s="736"/>
      <c r="B192" s="736"/>
      <c r="C192" s="736"/>
      <c r="D192" s="787"/>
      <c r="E192" s="788"/>
      <c r="F192" s="789"/>
      <c r="G192" s="787"/>
      <c r="H192" s="787"/>
      <c r="I192" s="787"/>
      <c r="J192" s="790"/>
      <c r="K192" s="790"/>
      <c r="L192" s="787"/>
      <c r="M192" s="787"/>
    </row>
    <row r="193" spans="1:13" ht="15" x14ac:dyDescent="0.25">
      <c r="A193" s="736"/>
      <c r="B193" s="736"/>
      <c r="C193" s="736"/>
      <c r="D193" s="787"/>
      <c r="E193" s="788"/>
      <c r="F193" s="789"/>
      <c r="G193" s="787"/>
      <c r="H193" s="787"/>
      <c r="I193" s="787"/>
      <c r="J193" s="790"/>
      <c r="K193" s="790"/>
      <c r="L193" s="787"/>
      <c r="M193" s="787"/>
    </row>
    <row r="194" spans="1:13" s="796" customFormat="1" ht="15" x14ac:dyDescent="0.25">
      <c r="A194" s="812"/>
      <c r="B194" s="736"/>
      <c r="C194" s="736"/>
      <c r="D194" s="787"/>
      <c r="E194" s="788"/>
      <c r="F194" s="789"/>
      <c r="G194" s="787"/>
      <c r="H194" s="787"/>
      <c r="I194" s="787"/>
      <c r="J194" s="790"/>
      <c r="K194" s="790"/>
      <c r="L194" s="787"/>
      <c r="M194" s="787"/>
    </row>
    <row r="195" spans="1:13" ht="15" x14ac:dyDescent="0.25">
      <c r="A195" s="736"/>
      <c r="B195" s="736"/>
      <c r="C195" s="736"/>
      <c r="D195" s="787"/>
      <c r="E195" s="788"/>
      <c r="F195" s="789"/>
      <c r="G195" s="787"/>
      <c r="H195" s="787"/>
      <c r="I195" s="787"/>
      <c r="J195" s="790"/>
      <c r="K195" s="790"/>
      <c r="L195" s="787"/>
      <c r="M195" s="787"/>
    </row>
    <row r="196" spans="1:13" ht="15" x14ac:dyDescent="0.25">
      <c r="A196" s="736"/>
      <c r="B196" s="736"/>
      <c r="C196" s="736"/>
      <c r="D196" s="787"/>
      <c r="E196" s="788"/>
      <c r="F196" s="789"/>
      <c r="G196" s="787"/>
      <c r="H196" s="787"/>
      <c r="I196" s="787"/>
      <c r="J196" s="790"/>
      <c r="K196" s="790"/>
      <c r="L196" s="787"/>
      <c r="M196" s="787"/>
    </row>
    <row r="197" spans="1:13" ht="15" x14ac:dyDescent="0.25">
      <c r="A197" s="736"/>
      <c r="B197" s="736"/>
      <c r="C197" s="736"/>
      <c r="D197" s="787"/>
      <c r="E197" s="788"/>
      <c r="F197" s="789"/>
      <c r="G197" s="787"/>
      <c r="H197" s="787"/>
      <c r="I197" s="787"/>
      <c r="J197" s="790"/>
      <c r="K197" s="790"/>
      <c r="L197" s="787"/>
      <c r="M197" s="787"/>
    </row>
    <row r="198" spans="1:13" ht="15" x14ac:dyDescent="0.25">
      <c r="A198" s="736"/>
      <c r="B198" s="736"/>
      <c r="C198" s="736"/>
      <c r="D198" s="787"/>
      <c r="E198" s="788"/>
      <c r="F198" s="789"/>
      <c r="G198" s="787"/>
      <c r="H198" s="787"/>
      <c r="I198" s="787"/>
      <c r="J198" s="790"/>
      <c r="K198" s="790"/>
      <c r="L198" s="787"/>
      <c r="M198" s="787"/>
    </row>
    <row r="199" spans="1:13" ht="15" x14ac:dyDescent="0.25">
      <c r="A199" s="736"/>
      <c r="B199" s="736"/>
      <c r="C199" s="736"/>
      <c r="D199" s="787"/>
      <c r="E199" s="788"/>
      <c r="F199" s="789"/>
      <c r="G199" s="787"/>
      <c r="H199" s="787"/>
      <c r="I199" s="787"/>
      <c r="J199" s="790"/>
      <c r="K199" s="790"/>
      <c r="L199" s="787"/>
      <c r="M199" s="787"/>
    </row>
    <row r="200" spans="1:13" ht="15" x14ac:dyDescent="0.25">
      <c r="A200" s="736"/>
      <c r="B200" s="736"/>
      <c r="C200" s="736"/>
      <c r="D200" s="787"/>
      <c r="E200" s="788"/>
      <c r="F200" s="789"/>
      <c r="G200" s="787"/>
      <c r="H200" s="787"/>
      <c r="I200" s="787"/>
      <c r="J200" s="790"/>
      <c r="K200" s="790"/>
      <c r="L200" s="787"/>
      <c r="M200" s="787"/>
    </row>
    <row r="201" spans="1:13" ht="15" x14ac:dyDescent="0.25">
      <c r="A201" s="736"/>
      <c r="B201" s="736"/>
      <c r="C201" s="736"/>
      <c r="D201" s="787"/>
      <c r="E201" s="788"/>
      <c r="F201" s="789"/>
      <c r="G201" s="787"/>
      <c r="H201" s="787"/>
      <c r="I201" s="787"/>
      <c r="J201" s="790"/>
      <c r="K201" s="790"/>
      <c r="L201" s="787"/>
      <c r="M201" s="787"/>
    </row>
    <row r="202" spans="1:13" ht="15" x14ac:dyDescent="0.25">
      <c r="A202" s="736"/>
      <c r="B202" s="736"/>
      <c r="C202" s="736"/>
      <c r="D202" s="787"/>
      <c r="E202" s="788"/>
      <c r="F202" s="789"/>
      <c r="G202" s="787"/>
      <c r="H202" s="787"/>
      <c r="I202" s="787"/>
      <c r="J202" s="790"/>
      <c r="K202" s="790"/>
      <c r="L202" s="787"/>
      <c r="M202" s="787"/>
    </row>
    <row r="203" spans="1:13" ht="15" x14ac:dyDescent="0.25">
      <c r="A203" s="736"/>
      <c r="B203" s="736"/>
      <c r="C203" s="736"/>
      <c r="D203" s="787"/>
      <c r="E203" s="788"/>
      <c r="F203" s="789"/>
      <c r="G203" s="787"/>
      <c r="H203" s="787"/>
      <c r="I203" s="787"/>
      <c r="J203" s="790"/>
      <c r="K203" s="790"/>
      <c r="L203" s="787"/>
      <c r="M203" s="787"/>
    </row>
    <row r="204" spans="1:13" ht="15" x14ac:dyDescent="0.25">
      <c r="A204" s="736"/>
      <c r="B204" s="736"/>
      <c r="C204" s="736"/>
      <c r="D204" s="787"/>
      <c r="E204" s="788"/>
      <c r="F204" s="789"/>
      <c r="G204" s="787"/>
      <c r="H204" s="787"/>
      <c r="I204" s="787"/>
      <c r="J204" s="790"/>
      <c r="K204" s="790"/>
      <c r="L204" s="787"/>
      <c r="M204" s="787"/>
    </row>
    <row r="205" spans="1:13" ht="15" x14ac:dyDescent="0.25">
      <c r="A205" s="736"/>
      <c r="B205" s="736"/>
      <c r="C205" s="736"/>
      <c r="D205" s="787"/>
      <c r="E205" s="788"/>
      <c r="F205" s="789"/>
      <c r="G205" s="787"/>
      <c r="H205" s="787"/>
      <c r="I205" s="787"/>
      <c r="J205" s="790"/>
      <c r="K205" s="790"/>
      <c r="L205" s="787"/>
      <c r="M205" s="787"/>
    </row>
    <row r="206" spans="1:13" ht="15" x14ac:dyDescent="0.25">
      <c r="A206" s="736"/>
      <c r="B206" s="736"/>
      <c r="C206" s="736"/>
      <c r="D206" s="787"/>
      <c r="E206" s="788"/>
      <c r="F206" s="789"/>
      <c r="G206" s="787"/>
      <c r="H206" s="787"/>
      <c r="I206" s="787"/>
      <c r="J206" s="790"/>
      <c r="K206" s="790"/>
      <c r="L206" s="787"/>
      <c r="M206" s="787"/>
    </row>
    <row r="207" spans="1:13" ht="15" x14ac:dyDescent="0.25">
      <c r="A207" s="736"/>
      <c r="B207" s="736"/>
      <c r="C207" s="736"/>
      <c r="D207" s="787"/>
      <c r="E207" s="788"/>
      <c r="F207" s="789"/>
      <c r="G207" s="787"/>
      <c r="H207" s="787"/>
      <c r="I207" s="787"/>
      <c r="J207" s="790"/>
      <c r="K207" s="790"/>
      <c r="L207" s="787"/>
      <c r="M207" s="787"/>
    </row>
    <row r="208" spans="1:13" ht="15" x14ac:dyDescent="0.25">
      <c r="A208" s="736"/>
      <c r="B208" s="736"/>
      <c r="C208" s="736"/>
      <c r="D208" s="787"/>
      <c r="E208" s="788"/>
      <c r="F208" s="789"/>
      <c r="G208" s="787"/>
      <c r="H208" s="787"/>
      <c r="I208" s="787"/>
      <c r="J208" s="790"/>
      <c r="K208" s="790"/>
      <c r="L208" s="787"/>
      <c r="M208" s="787"/>
    </row>
    <row r="209" spans="1:13" ht="15" x14ac:dyDescent="0.25">
      <c r="A209" s="736"/>
      <c r="B209" s="736"/>
      <c r="C209" s="736"/>
      <c r="D209" s="787"/>
      <c r="E209" s="788"/>
      <c r="F209" s="789"/>
      <c r="G209" s="787"/>
      <c r="H209" s="787"/>
      <c r="I209" s="787"/>
      <c r="J209" s="790"/>
      <c r="K209" s="790"/>
      <c r="L209" s="787"/>
      <c r="M209" s="787"/>
    </row>
    <row r="210" spans="1:13" ht="15" x14ac:dyDescent="0.25">
      <c r="A210" s="736"/>
      <c r="B210" s="736"/>
      <c r="C210" s="736"/>
      <c r="D210" s="787"/>
      <c r="E210" s="788"/>
      <c r="F210" s="789"/>
      <c r="G210" s="787"/>
      <c r="H210" s="787"/>
      <c r="I210" s="787"/>
      <c r="J210" s="790"/>
      <c r="K210" s="790"/>
      <c r="L210" s="787"/>
      <c r="M210" s="787"/>
    </row>
    <row r="211" spans="1:13" ht="15" x14ac:dyDescent="0.25">
      <c r="A211" s="736"/>
      <c r="B211" s="736"/>
      <c r="C211" s="736"/>
      <c r="D211" s="787"/>
      <c r="E211" s="788"/>
      <c r="F211" s="789"/>
      <c r="G211" s="787"/>
      <c r="H211" s="787"/>
      <c r="I211" s="787"/>
      <c r="J211" s="790"/>
      <c r="K211" s="790"/>
      <c r="L211" s="787"/>
      <c r="M211" s="787"/>
    </row>
    <row r="212" spans="1:13" ht="15" x14ac:dyDescent="0.25">
      <c r="A212" s="736"/>
      <c r="B212" s="736"/>
      <c r="C212" s="736"/>
      <c r="D212" s="787"/>
      <c r="E212" s="788"/>
      <c r="F212" s="789"/>
      <c r="G212" s="787"/>
      <c r="H212" s="787"/>
      <c r="I212" s="787"/>
      <c r="J212" s="790"/>
      <c r="K212" s="790"/>
      <c r="L212" s="787"/>
      <c r="M212" s="787"/>
    </row>
    <row r="213" spans="1:13" ht="15" x14ac:dyDescent="0.25">
      <c r="A213" s="736"/>
      <c r="B213" s="736"/>
      <c r="C213" s="736"/>
      <c r="D213" s="787"/>
      <c r="E213" s="788"/>
      <c r="F213" s="789"/>
      <c r="G213" s="787"/>
      <c r="H213" s="787"/>
      <c r="I213" s="787"/>
      <c r="J213" s="790"/>
      <c r="K213" s="790"/>
      <c r="L213" s="787"/>
      <c r="M213" s="787"/>
    </row>
    <row r="214" spans="1:13" ht="15" x14ac:dyDescent="0.25">
      <c r="A214" s="736"/>
      <c r="B214" s="736"/>
      <c r="C214" s="736"/>
      <c r="D214" s="787"/>
      <c r="E214" s="788"/>
      <c r="F214" s="789"/>
      <c r="G214" s="787"/>
      <c r="H214" s="787"/>
      <c r="I214" s="787"/>
      <c r="J214" s="790"/>
      <c r="K214" s="790"/>
      <c r="L214" s="787"/>
      <c r="M214" s="787"/>
    </row>
    <row r="215" spans="1:13" ht="15" x14ac:dyDescent="0.25">
      <c r="A215" s="736"/>
      <c r="B215" s="736"/>
      <c r="C215" s="736"/>
      <c r="D215" s="787"/>
      <c r="E215" s="788"/>
      <c r="F215" s="789"/>
      <c r="G215" s="787"/>
      <c r="H215" s="787"/>
      <c r="I215" s="787"/>
      <c r="J215" s="790"/>
      <c r="K215" s="790"/>
      <c r="L215" s="787"/>
      <c r="M215" s="787"/>
    </row>
    <row r="216" spans="1:13" ht="15" x14ac:dyDescent="0.25">
      <c r="A216" s="736"/>
      <c r="B216" s="736"/>
      <c r="C216" s="736"/>
      <c r="D216" s="787"/>
      <c r="E216" s="788"/>
      <c r="F216" s="789"/>
      <c r="G216" s="787"/>
      <c r="H216" s="787"/>
      <c r="I216" s="787"/>
      <c r="J216" s="790"/>
      <c r="K216" s="790"/>
      <c r="L216" s="787"/>
      <c r="M216" s="787"/>
    </row>
    <row r="217" spans="1:13" ht="15" x14ac:dyDescent="0.25">
      <c r="A217" s="736"/>
      <c r="B217" s="736"/>
      <c r="C217" s="736"/>
      <c r="D217" s="787"/>
      <c r="E217" s="788"/>
      <c r="F217" s="789"/>
      <c r="G217" s="787"/>
      <c r="H217" s="787"/>
      <c r="I217" s="787"/>
      <c r="J217" s="790"/>
      <c r="K217" s="790"/>
      <c r="L217" s="787"/>
      <c r="M217" s="787"/>
    </row>
    <row r="218" spans="1:13" ht="15" x14ac:dyDescent="0.25">
      <c r="A218" s="736"/>
      <c r="B218" s="736"/>
      <c r="C218" s="736"/>
      <c r="D218" s="787"/>
      <c r="E218" s="788"/>
      <c r="F218" s="789"/>
      <c r="G218" s="787"/>
      <c r="H218" s="787"/>
      <c r="I218" s="787"/>
      <c r="J218" s="790"/>
      <c r="K218" s="790"/>
      <c r="L218" s="787"/>
      <c r="M218" s="787"/>
    </row>
    <row r="219" spans="1:13" ht="15" x14ac:dyDescent="0.25">
      <c r="A219" s="736"/>
      <c r="B219" s="736"/>
      <c r="C219" s="736"/>
      <c r="D219" s="787"/>
      <c r="E219" s="788"/>
      <c r="F219" s="789"/>
      <c r="G219" s="787"/>
      <c r="H219" s="787"/>
      <c r="I219" s="787"/>
      <c r="J219" s="790"/>
      <c r="K219" s="790"/>
      <c r="L219" s="787"/>
      <c r="M219" s="787"/>
    </row>
    <row r="220" spans="1:13" ht="15" x14ac:dyDescent="0.25">
      <c r="A220" s="736"/>
      <c r="B220" s="736"/>
      <c r="C220" s="736"/>
      <c r="D220" s="787"/>
      <c r="E220" s="788"/>
      <c r="F220" s="789"/>
      <c r="G220" s="787"/>
      <c r="H220" s="787"/>
      <c r="I220" s="787"/>
      <c r="J220" s="790"/>
      <c r="K220" s="790"/>
      <c r="L220" s="787"/>
      <c r="M220" s="787"/>
    </row>
    <row r="221" spans="1:13" ht="15" x14ac:dyDescent="0.25">
      <c r="A221" s="736"/>
      <c r="B221" s="736"/>
      <c r="C221" s="736"/>
      <c r="D221" s="787"/>
      <c r="E221" s="788"/>
      <c r="F221" s="789"/>
      <c r="G221" s="787"/>
      <c r="H221" s="787"/>
      <c r="I221" s="787"/>
      <c r="J221" s="790"/>
      <c r="K221" s="790"/>
      <c r="L221" s="787"/>
      <c r="M221" s="787"/>
    </row>
    <row r="222" spans="1:13" ht="15" x14ac:dyDescent="0.25">
      <c r="A222" s="736"/>
      <c r="B222" s="736"/>
      <c r="C222" s="736"/>
      <c r="D222" s="787"/>
      <c r="E222" s="788"/>
      <c r="F222" s="789"/>
      <c r="G222" s="787"/>
      <c r="H222" s="787"/>
      <c r="I222" s="787"/>
      <c r="J222" s="790"/>
      <c r="K222" s="790"/>
      <c r="L222" s="787"/>
      <c r="M222" s="787"/>
    </row>
    <row r="223" spans="1:13" ht="15" x14ac:dyDescent="0.25">
      <c r="A223" s="736"/>
      <c r="B223" s="736"/>
      <c r="C223" s="736"/>
      <c r="D223" s="787"/>
      <c r="E223" s="788"/>
      <c r="F223" s="789"/>
      <c r="G223" s="787"/>
      <c r="H223" s="787"/>
      <c r="I223" s="787"/>
      <c r="J223" s="790"/>
      <c r="K223" s="790"/>
      <c r="L223" s="787"/>
      <c r="M223" s="787"/>
    </row>
    <row r="224" spans="1:13" ht="15" x14ac:dyDescent="0.25">
      <c r="A224" s="736"/>
      <c r="B224" s="736"/>
      <c r="C224" s="736"/>
      <c r="D224" s="787"/>
      <c r="E224" s="788"/>
      <c r="F224" s="789"/>
      <c r="G224" s="787"/>
      <c r="H224" s="787"/>
      <c r="I224" s="787"/>
      <c r="J224" s="790"/>
      <c r="K224" s="790"/>
      <c r="L224" s="787"/>
      <c r="M224" s="787"/>
    </row>
    <row r="225" spans="1:13" ht="15" x14ac:dyDescent="0.25">
      <c r="A225" s="736"/>
      <c r="B225" s="736"/>
      <c r="C225" s="736"/>
      <c r="D225" s="787"/>
      <c r="E225" s="788"/>
      <c r="F225" s="789"/>
      <c r="G225" s="787"/>
      <c r="H225" s="787"/>
      <c r="I225" s="787"/>
      <c r="J225" s="790"/>
      <c r="K225" s="790"/>
      <c r="L225" s="787"/>
      <c r="M225" s="787"/>
    </row>
    <row r="226" spans="1:13" ht="15" x14ac:dyDescent="0.25">
      <c r="A226" s="736"/>
      <c r="B226" s="736"/>
      <c r="C226" s="736"/>
      <c r="D226" s="787"/>
      <c r="E226" s="788"/>
      <c r="F226" s="789"/>
      <c r="G226" s="787"/>
      <c r="H226" s="787"/>
      <c r="I226" s="787"/>
      <c r="J226" s="790"/>
      <c r="K226" s="790"/>
      <c r="L226" s="787"/>
      <c r="M226" s="787"/>
    </row>
    <row r="227" spans="1:13" ht="15" x14ac:dyDescent="0.25">
      <c r="A227" s="736"/>
      <c r="B227" s="736"/>
      <c r="C227" s="736"/>
      <c r="D227" s="787"/>
      <c r="E227" s="788"/>
      <c r="F227" s="789"/>
      <c r="G227" s="787"/>
      <c r="H227" s="787"/>
      <c r="I227" s="787"/>
      <c r="J227" s="790"/>
      <c r="K227" s="790"/>
      <c r="L227" s="787"/>
      <c r="M227" s="787"/>
    </row>
    <row r="228" spans="1:13" ht="15" x14ac:dyDescent="0.25">
      <c r="A228" s="736"/>
      <c r="B228" s="736"/>
      <c r="C228" s="736"/>
      <c r="D228" s="787"/>
      <c r="E228" s="788"/>
      <c r="F228" s="789"/>
      <c r="G228" s="787"/>
      <c r="H228" s="787"/>
      <c r="I228" s="787"/>
      <c r="J228" s="790"/>
      <c r="K228" s="790"/>
      <c r="L228" s="787"/>
      <c r="M228" s="787"/>
    </row>
    <row r="229" spans="1:13" ht="15" x14ac:dyDescent="0.25">
      <c r="A229" s="736"/>
      <c r="B229" s="736"/>
      <c r="C229" s="736"/>
      <c r="D229" s="787"/>
      <c r="E229" s="788"/>
      <c r="F229" s="789"/>
      <c r="G229" s="787"/>
      <c r="H229" s="787"/>
      <c r="I229" s="787"/>
      <c r="J229" s="790"/>
      <c r="K229" s="790"/>
      <c r="L229" s="787"/>
      <c r="M229" s="787"/>
    </row>
    <row r="230" spans="1:13" ht="15" x14ac:dyDescent="0.25">
      <c r="A230" s="736"/>
      <c r="B230" s="736"/>
      <c r="C230" s="736"/>
      <c r="D230" s="787"/>
      <c r="E230" s="788"/>
      <c r="F230" s="789"/>
      <c r="G230" s="787"/>
      <c r="H230" s="787"/>
      <c r="I230" s="787"/>
      <c r="J230" s="790"/>
      <c r="K230" s="790"/>
      <c r="L230" s="787"/>
      <c r="M230" s="787"/>
    </row>
    <row r="231" spans="1:13" ht="15" x14ac:dyDescent="0.25">
      <c r="A231" s="736"/>
      <c r="B231" s="736"/>
      <c r="C231" s="736"/>
      <c r="D231" s="787"/>
      <c r="E231" s="788"/>
      <c r="F231" s="789"/>
      <c r="G231" s="787"/>
      <c r="H231" s="787"/>
      <c r="I231" s="787"/>
      <c r="J231" s="790"/>
      <c r="K231" s="790"/>
      <c r="L231" s="787"/>
      <c r="M231" s="787"/>
    </row>
    <row r="232" spans="1:13" ht="15" x14ac:dyDescent="0.25">
      <c r="A232" s="736"/>
      <c r="B232" s="736"/>
      <c r="C232" s="736"/>
      <c r="D232" s="787"/>
      <c r="E232" s="788"/>
      <c r="F232" s="789"/>
      <c r="G232" s="787"/>
      <c r="H232" s="787"/>
      <c r="I232" s="787"/>
      <c r="J232" s="790"/>
      <c r="K232" s="790"/>
      <c r="L232" s="787"/>
      <c r="M232" s="787"/>
    </row>
    <row r="233" spans="1:13" ht="15" x14ac:dyDescent="0.25">
      <c r="A233" s="736"/>
      <c r="B233" s="736"/>
      <c r="C233" s="736"/>
      <c r="D233" s="787"/>
      <c r="E233" s="788"/>
      <c r="F233" s="789"/>
      <c r="G233" s="787"/>
      <c r="H233" s="787"/>
      <c r="I233" s="787"/>
      <c r="J233" s="790"/>
      <c r="K233" s="790"/>
      <c r="L233" s="787"/>
      <c r="M233" s="787"/>
    </row>
    <row r="234" spans="1:13" ht="15" x14ac:dyDescent="0.25">
      <c r="A234" s="736"/>
      <c r="B234" s="736"/>
      <c r="C234" s="736"/>
      <c r="D234" s="787"/>
      <c r="E234" s="788"/>
      <c r="F234" s="789"/>
      <c r="G234" s="787"/>
      <c r="H234" s="787"/>
      <c r="I234" s="787"/>
      <c r="J234" s="790"/>
      <c r="K234" s="790"/>
      <c r="L234" s="787"/>
      <c r="M234" s="787"/>
    </row>
    <row r="235" spans="1:13" ht="15" x14ac:dyDescent="0.25">
      <c r="A235" s="736"/>
      <c r="B235" s="736"/>
      <c r="C235" s="736"/>
      <c r="D235" s="787"/>
      <c r="E235" s="788"/>
      <c r="F235" s="789"/>
      <c r="G235" s="787"/>
      <c r="H235" s="787"/>
      <c r="I235" s="787"/>
      <c r="J235" s="790"/>
      <c r="K235" s="790"/>
      <c r="L235" s="787"/>
      <c r="M235" s="787"/>
    </row>
    <row r="236" spans="1:13" ht="15" x14ac:dyDescent="0.25">
      <c r="A236" s="736"/>
      <c r="B236" s="736"/>
      <c r="C236" s="736"/>
      <c r="D236" s="787"/>
      <c r="E236" s="788"/>
      <c r="F236" s="789"/>
      <c r="G236" s="787"/>
      <c r="H236" s="787"/>
      <c r="I236" s="787"/>
      <c r="J236" s="790"/>
      <c r="K236" s="790"/>
      <c r="L236" s="787"/>
      <c r="M236" s="787"/>
    </row>
    <row r="237" spans="1:13" ht="15" x14ac:dyDescent="0.25">
      <c r="A237" s="736"/>
      <c r="B237" s="736"/>
      <c r="C237" s="736"/>
      <c r="D237" s="787"/>
      <c r="E237" s="788"/>
      <c r="F237" s="789"/>
      <c r="G237" s="787"/>
      <c r="H237" s="787"/>
      <c r="I237" s="787"/>
      <c r="J237" s="790"/>
      <c r="K237" s="790"/>
      <c r="L237" s="787"/>
      <c r="M237" s="787"/>
    </row>
    <row r="238" spans="1:13" ht="15" x14ac:dyDescent="0.25">
      <c r="A238" s="736"/>
      <c r="B238" s="736"/>
      <c r="C238" s="736"/>
      <c r="D238" s="787"/>
      <c r="E238" s="788"/>
      <c r="F238" s="789"/>
      <c r="G238" s="787"/>
      <c r="H238" s="787"/>
      <c r="I238" s="787"/>
      <c r="J238" s="790"/>
      <c r="K238" s="790"/>
      <c r="L238" s="787"/>
      <c r="M238" s="787"/>
    </row>
    <row r="239" spans="1:13" ht="15" x14ac:dyDescent="0.25">
      <c r="A239" s="736"/>
      <c r="B239" s="736"/>
      <c r="C239" s="736"/>
      <c r="D239" s="787"/>
      <c r="E239" s="788"/>
      <c r="F239" s="789"/>
      <c r="G239" s="787"/>
      <c r="H239" s="787"/>
      <c r="I239" s="787"/>
      <c r="J239" s="790"/>
      <c r="K239" s="790"/>
      <c r="L239" s="787"/>
      <c r="M239" s="787"/>
    </row>
    <row r="240" spans="1:13" ht="15" x14ac:dyDescent="0.25">
      <c r="A240" s="736"/>
      <c r="B240" s="736"/>
      <c r="C240" s="736"/>
      <c r="D240" s="787"/>
      <c r="E240" s="788"/>
      <c r="F240" s="789"/>
      <c r="G240" s="787"/>
      <c r="H240" s="787"/>
      <c r="I240" s="787"/>
      <c r="J240" s="790"/>
      <c r="K240" s="790"/>
      <c r="L240" s="787"/>
      <c r="M240" s="787"/>
    </row>
    <row r="241" spans="1:13" ht="15" x14ac:dyDescent="0.25">
      <c r="A241" s="736"/>
      <c r="B241" s="736"/>
      <c r="C241" s="736"/>
      <c r="D241" s="787"/>
      <c r="E241" s="788"/>
      <c r="F241" s="789"/>
      <c r="G241" s="787"/>
      <c r="H241" s="787"/>
      <c r="I241" s="787"/>
      <c r="J241" s="790"/>
      <c r="K241" s="790"/>
      <c r="L241" s="787"/>
      <c r="M241" s="787"/>
    </row>
    <row r="242" spans="1:13" ht="15" x14ac:dyDescent="0.25">
      <c r="A242" s="736"/>
      <c r="B242" s="736"/>
      <c r="C242" s="736"/>
      <c r="D242" s="787"/>
      <c r="E242" s="788"/>
      <c r="F242" s="789"/>
      <c r="G242" s="787"/>
      <c r="H242" s="787"/>
      <c r="I242" s="787"/>
      <c r="J242" s="790"/>
      <c r="K242" s="790"/>
      <c r="L242" s="787"/>
      <c r="M242" s="787"/>
    </row>
    <row r="243" spans="1:13" ht="15" x14ac:dyDescent="0.25">
      <c r="A243" s="736"/>
      <c r="B243" s="736"/>
      <c r="C243" s="736"/>
      <c r="D243" s="787"/>
      <c r="E243" s="788"/>
      <c r="F243" s="789"/>
      <c r="G243" s="787"/>
      <c r="H243" s="787"/>
      <c r="I243" s="787"/>
      <c r="J243" s="790"/>
      <c r="K243" s="790"/>
      <c r="L243" s="787"/>
      <c r="M243" s="787"/>
    </row>
    <row r="244" spans="1:13" ht="15" x14ac:dyDescent="0.25">
      <c r="A244" s="736"/>
      <c r="B244" s="736"/>
      <c r="C244" s="736"/>
      <c r="D244" s="787"/>
      <c r="E244" s="788"/>
      <c r="F244" s="789"/>
      <c r="G244" s="787"/>
      <c r="H244" s="787"/>
      <c r="I244" s="787"/>
      <c r="J244" s="790"/>
      <c r="K244" s="790"/>
      <c r="L244" s="787"/>
      <c r="M244" s="787"/>
    </row>
    <row r="245" spans="1:13" ht="15" x14ac:dyDescent="0.25">
      <c r="A245" s="736"/>
      <c r="B245" s="736"/>
      <c r="C245" s="736"/>
      <c r="D245" s="787"/>
      <c r="E245" s="788"/>
      <c r="F245" s="789"/>
      <c r="G245" s="787"/>
      <c r="H245" s="787"/>
      <c r="I245" s="787"/>
      <c r="J245" s="790"/>
      <c r="K245" s="790"/>
      <c r="L245" s="787"/>
      <c r="M245" s="787"/>
    </row>
    <row r="246" spans="1:13" ht="15" x14ac:dyDescent="0.25">
      <c r="A246" s="736"/>
      <c r="B246" s="736"/>
      <c r="C246" s="736"/>
      <c r="D246" s="787"/>
      <c r="E246" s="788"/>
      <c r="F246" s="789"/>
      <c r="G246" s="787"/>
      <c r="H246" s="787"/>
      <c r="I246" s="787"/>
      <c r="J246" s="790"/>
      <c r="K246" s="790"/>
      <c r="L246" s="787"/>
      <c r="M246" s="787"/>
    </row>
    <row r="247" spans="1:13" ht="15" x14ac:dyDescent="0.25">
      <c r="A247" s="736"/>
      <c r="B247" s="736"/>
      <c r="C247" s="736"/>
      <c r="D247" s="787"/>
      <c r="E247" s="788"/>
      <c r="F247" s="789"/>
      <c r="G247" s="787"/>
      <c r="H247" s="787"/>
      <c r="I247" s="787"/>
      <c r="J247" s="790"/>
      <c r="K247" s="790"/>
      <c r="L247" s="787"/>
      <c r="M247" s="787"/>
    </row>
    <row r="248" spans="1:13" ht="15" x14ac:dyDescent="0.25">
      <c r="A248" s="736"/>
      <c r="B248" s="736"/>
      <c r="C248" s="736"/>
      <c r="D248" s="787"/>
      <c r="E248" s="788"/>
      <c r="F248" s="789"/>
      <c r="G248" s="787"/>
      <c r="H248" s="787"/>
      <c r="I248" s="787"/>
      <c r="J248" s="790"/>
      <c r="K248" s="790"/>
      <c r="L248" s="787"/>
      <c r="M248" s="787"/>
    </row>
    <row r="249" spans="1:13" ht="15" x14ac:dyDescent="0.25">
      <c r="A249" s="736"/>
      <c r="B249" s="736"/>
      <c r="C249" s="736"/>
      <c r="D249" s="787"/>
      <c r="E249" s="788"/>
      <c r="F249" s="789"/>
      <c r="G249" s="787"/>
      <c r="H249" s="787"/>
      <c r="I249" s="787"/>
      <c r="J249" s="790"/>
      <c r="K249" s="790"/>
      <c r="L249" s="787"/>
      <c r="M249" s="787"/>
    </row>
    <row r="250" spans="1:13" ht="15" x14ac:dyDescent="0.25">
      <c r="A250" s="736"/>
      <c r="B250" s="736"/>
      <c r="C250" s="736"/>
      <c r="D250" s="787"/>
      <c r="E250" s="788"/>
      <c r="F250" s="789"/>
      <c r="G250" s="787"/>
      <c r="H250" s="787"/>
      <c r="I250" s="787"/>
      <c r="J250" s="790"/>
      <c r="K250" s="790"/>
      <c r="L250" s="787"/>
      <c r="M250" s="787"/>
    </row>
    <row r="251" spans="1:13" ht="15" x14ac:dyDescent="0.25">
      <c r="A251" s="736"/>
      <c r="B251" s="736"/>
      <c r="C251" s="736"/>
      <c r="D251" s="787"/>
      <c r="E251" s="788"/>
      <c r="F251" s="789"/>
      <c r="G251" s="787"/>
      <c r="H251" s="787"/>
      <c r="I251" s="787"/>
      <c r="J251" s="790"/>
      <c r="K251" s="790"/>
      <c r="L251" s="787"/>
      <c r="M251" s="787"/>
    </row>
    <row r="252" spans="1:13" ht="15" x14ac:dyDescent="0.25">
      <c r="A252" s="736"/>
      <c r="B252" s="736"/>
      <c r="C252" s="736"/>
      <c r="D252" s="787"/>
      <c r="E252" s="788"/>
      <c r="F252" s="789"/>
      <c r="G252" s="787"/>
      <c r="H252" s="787"/>
      <c r="I252" s="787"/>
      <c r="J252" s="790"/>
      <c r="K252" s="790"/>
      <c r="L252" s="787"/>
      <c r="M252" s="787"/>
    </row>
    <row r="253" spans="1:13" ht="15" x14ac:dyDescent="0.25">
      <c r="A253" s="736"/>
      <c r="B253" s="736"/>
      <c r="C253" s="736"/>
      <c r="D253" s="787"/>
      <c r="E253" s="788"/>
      <c r="F253" s="789"/>
      <c r="G253" s="787"/>
      <c r="H253" s="787"/>
      <c r="I253" s="787"/>
      <c r="J253" s="790"/>
      <c r="K253" s="790"/>
      <c r="L253" s="787"/>
      <c r="M253" s="787"/>
    </row>
    <row r="254" spans="1:13" ht="15" x14ac:dyDescent="0.25">
      <c r="A254" s="736"/>
      <c r="B254" s="736"/>
      <c r="C254" s="736"/>
      <c r="D254" s="787"/>
      <c r="E254" s="788"/>
      <c r="F254" s="789"/>
      <c r="G254" s="787"/>
      <c r="H254" s="787"/>
      <c r="I254" s="787"/>
      <c r="J254" s="790"/>
      <c r="K254" s="790"/>
      <c r="L254" s="787"/>
      <c r="M254" s="787"/>
    </row>
    <row r="255" spans="1:13" ht="15" x14ac:dyDescent="0.25">
      <c r="A255" s="736"/>
      <c r="B255" s="736"/>
      <c r="C255" s="736"/>
      <c r="D255" s="787"/>
      <c r="E255" s="788"/>
      <c r="F255" s="789"/>
      <c r="G255" s="787"/>
      <c r="H255" s="787"/>
      <c r="I255" s="787"/>
      <c r="J255" s="790"/>
      <c r="K255" s="790"/>
      <c r="L255" s="787"/>
      <c r="M255" s="787"/>
    </row>
    <row r="256" spans="1:13" ht="15" x14ac:dyDescent="0.25">
      <c r="A256" s="736"/>
      <c r="B256" s="736"/>
      <c r="C256" s="736"/>
      <c r="D256" s="787"/>
      <c r="E256" s="788"/>
      <c r="F256" s="789"/>
      <c r="G256" s="787"/>
      <c r="H256" s="787"/>
      <c r="I256" s="787"/>
      <c r="J256" s="790"/>
      <c r="K256" s="790"/>
      <c r="L256" s="787"/>
      <c r="M256" s="787"/>
    </row>
    <row r="257" spans="1:13" ht="15" x14ac:dyDescent="0.25">
      <c r="A257" s="736"/>
      <c r="B257" s="736"/>
      <c r="C257" s="736"/>
      <c r="D257" s="787"/>
      <c r="E257" s="788"/>
      <c r="F257" s="789"/>
      <c r="G257" s="787"/>
      <c r="H257" s="787"/>
      <c r="I257" s="787"/>
      <c r="J257" s="790"/>
      <c r="K257" s="790"/>
      <c r="L257" s="787"/>
      <c r="M257" s="787"/>
    </row>
    <row r="258" spans="1:13" ht="15" x14ac:dyDescent="0.25">
      <c r="A258" s="736"/>
      <c r="B258" s="736"/>
      <c r="C258" s="736"/>
      <c r="D258" s="787"/>
      <c r="E258" s="788"/>
      <c r="F258" s="789"/>
      <c r="G258" s="787"/>
      <c r="H258" s="787"/>
      <c r="I258" s="787"/>
      <c r="J258" s="790"/>
      <c r="K258" s="790"/>
      <c r="L258" s="787"/>
      <c r="M258" s="787"/>
    </row>
    <row r="259" spans="1:13" ht="15" x14ac:dyDescent="0.25">
      <c r="A259" s="736"/>
      <c r="B259" s="736"/>
      <c r="C259" s="736"/>
      <c r="D259" s="787"/>
      <c r="E259" s="788"/>
      <c r="F259" s="789"/>
      <c r="G259" s="787"/>
      <c r="H259" s="787"/>
      <c r="I259" s="787"/>
      <c r="J259" s="790"/>
      <c r="K259" s="790"/>
      <c r="L259" s="787"/>
      <c r="M259" s="787"/>
    </row>
    <row r="260" spans="1:13" ht="15" x14ac:dyDescent="0.25">
      <c r="A260" s="736"/>
      <c r="B260" s="736"/>
      <c r="C260" s="736"/>
      <c r="D260" s="787"/>
      <c r="E260" s="788"/>
      <c r="F260" s="789"/>
      <c r="G260" s="787"/>
      <c r="H260" s="787"/>
      <c r="I260" s="787"/>
      <c r="J260" s="790"/>
      <c r="K260" s="790"/>
      <c r="L260" s="787"/>
      <c r="M260" s="787"/>
    </row>
    <row r="261" spans="1:13" ht="15" x14ac:dyDescent="0.25">
      <c r="A261" s="736"/>
      <c r="B261" s="736"/>
      <c r="C261" s="736"/>
      <c r="D261" s="787"/>
      <c r="E261" s="788"/>
      <c r="F261" s="789"/>
      <c r="G261" s="787"/>
      <c r="H261" s="787"/>
      <c r="I261" s="787"/>
      <c r="J261" s="790"/>
      <c r="K261" s="790"/>
      <c r="L261" s="787"/>
      <c r="M261" s="787"/>
    </row>
    <row r="262" spans="1:13" ht="15" x14ac:dyDescent="0.25">
      <c r="A262" s="736"/>
      <c r="B262" s="736"/>
      <c r="C262" s="736"/>
      <c r="D262" s="787"/>
      <c r="E262" s="788"/>
      <c r="F262" s="789"/>
      <c r="G262" s="787"/>
      <c r="H262" s="787"/>
      <c r="I262" s="787"/>
      <c r="J262" s="790"/>
      <c r="K262" s="790"/>
      <c r="L262" s="787"/>
      <c r="M262" s="787"/>
    </row>
    <row r="263" spans="1:13" ht="15" x14ac:dyDescent="0.25">
      <c r="A263" s="736"/>
      <c r="B263" s="736"/>
      <c r="C263" s="736"/>
      <c r="D263" s="787"/>
      <c r="E263" s="788"/>
      <c r="F263" s="789"/>
      <c r="G263" s="787"/>
      <c r="H263" s="787"/>
      <c r="I263" s="787"/>
      <c r="J263" s="790"/>
      <c r="K263" s="790"/>
      <c r="L263" s="787"/>
      <c r="M263" s="787"/>
    </row>
    <row r="264" spans="1:13" ht="15" x14ac:dyDescent="0.25">
      <c r="A264" s="736"/>
      <c r="B264" s="736"/>
      <c r="C264" s="736"/>
      <c r="D264" s="787"/>
      <c r="E264" s="788"/>
      <c r="F264" s="789"/>
      <c r="G264" s="787"/>
      <c r="H264" s="787"/>
      <c r="I264" s="787"/>
      <c r="J264" s="790"/>
      <c r="K264" s="790"/>
      <c r="L264" s="787"/>
      <c r="M264" s="787"/>
    </row>
    <row r="265" spans="1:13" ht="15" x14ac:dyDescent="0.25">
      <c r="A265" s="736"/>
      <c r="B265" s="736"/>
      <c r="C265" s="736"/>
      <c r="D265" s="787"/>
      <c r="E265" s="788"/>
      <c r="F265" s="789"/>
      <c r="G265" s="787"/>
      <c r="H265" s="787"/>
      <c r="I265" s="787"/>
      <c r="J265" s="790"/>
      <c r="K265" s="790"/>
      <c r="L265" s="787"/>
      <c r="M265" s="787"/>
    </row>
    <row r="266" spans="1:13" ht="15" x14ac:dyDescent="0.25">
      <c r="A266" s="736"/>
      <c r="B266" s="736"/>
      <c r="C266" s="736"/>
      <c r="D266" s="787"/>
      <c r="E266" s="788"/>
      <c r="F266" s="789"/>
      <c r="G266" s="787"/>
      <c r="H266" s="787"/>
      <c r="I266" s="787"/>
      <c r="J266" s="790"/>
      <c r="K266" s="790"/>
      <c r="L266" s="787"/>
      <c r="M266" s="787"/>
    </row>
    <row r="267" spans="1:13" ht="15" x14ac:dyDescent="0.25">
      <c r="A267" s="736"/>
      <c r="B267" s="736"/>
      <c r="C267" s="736"/>
      <c r="D267" s="787"/>
      <c r="E267" s="788"/>
      <c r="F267" s="789"/>
      <c r="G267" s="787"/>
      <c r="H267" s="787"/>
      <c r="I267" s="787"/>
      <c r="J267" s="790"/>
      <c r="K267" s="790"/>
      <c r="L267" s="787"/>
      <c r="M267" s="787"/>
    </row>
    <row r="268" spans="1:13" ht="15" x14ac:dyDescent="0.25">
      <c r="A268" s="736"/>
      <c r="B268" s="736"/>
      <c r="C268" s="736"/>
      <c r="D268" s="787"/>
      <c r="E268" s="788"/>
      <c r="F268" s="789"/>
      <c r="G268" s="787"/>
      <c r="H268" s="787"/>
      <c r="I268" s="787"/>
      <c r="J268" s="790"/>
      <c r="K268" s="790"/>
      <c r="L268" s="787"/>
      <c r="M268" s="787"/>
    </row>
    <row r="269" spans="1:13" ht="15" x14ac:dyDescent="0.25">
      <c r="A269" s="736"/>
      <c r="B269" s="736"/>
      <c r="C269" s="736"/>
      <c r="D269" s="787"/>
      <c r="E269" s="788"/>
      <c r="F269" s="789"/>
      <c r="G269" s="787"/>
      <c r="H269" s="787"/>
      <c r="I269" s="787"/>
      <c r="J269" s="790"/>
      <c r="K269" s="790"/>
      <c r="L269" s="787"/>
      <c r="M269" s="787"/>
    </row>
    <row r="270" spans="1:13" ht="15" x14ac:dyDescent="0.25">
      <c r="A270" s="736"/>
      <c r="B270" s="736"/>
      <c r="C270" s="736"/>
      <c r="D270" s="787"/>
      <c r="E270" s="788"/>
      <c r="F270" s="789"/>
      <c r="G270" s="787"/>
      <c r="H270" s="787"/>
      <c r="I270" s="787"/>
      <c r="J270" s="790"/>
      <c r="K270" s="790"/>
      <c r="L270" s="787"/>
      <c r="M270" s="787"/>
    </row>
    <row r="271" spans="1:13" ht="15" x14ac:dyDescent="0.25">
      <c r="A271" s="736"/>
      <c r="B271" s="736"/>
      <c r="C271" s="736"/>
      <c r="D271" s="787"/>
      <c r="E271" s="788"/>
      <c r="F271" s="789"/>
      <c r="G271" s="787"/>
      <c r="H271" s="787"/>
      <c r="I271" s="787"/>
      <c r="J271" s="790"/>
      <c r="K271" s="790"/>
      <c r="L271" s="787"/>
      <c r="M271" s="787"/>
    </row>
    <row r="272" spans="1:13" ht="15" x14ac:dyDescent="0.25">
      <c r="A272" s="736"/>
      <c r="B272" s="736"/>
      <c r="C272" s="736"/>
      <c r="D272" s="787"/>
      <c r="E272" s="788"/>
      <c r="F272" s="789"/>
      <c r="G272" s="787"/>
      <c r="H272" s="787"/>
      <c r="I272" s="787"/>
      <c r="J272" s="790"/>
      <c r="K272" s="790"/>
      <c r="L272" s="787"/>
      <c r="M272" s="787"/>
    </row>
    <row r="273" spans="1:13" ht="15" x14ac:dyDescent="0.25">
      <c r="A273" s="736"/>
      <c r="B273" s="736"/>
      <c r="C273" s="736"/>
      <c r="D273" s="787"/>
      <c r="E273" s="788"/>
      <c r="F273" s="789"/>
      <c r="G273" s="787"/>
      <c r="H273" s="787"/>
      <c r="I273" s="787"/>
      <c r="J273" s="790"/>
      <c r="K273" s="790"/>
      <c r="L273" s="787"/>
      <c r="M273" s="787"/>
    </row>
    <row r="274" spans="1:13" ht="15" x14ac:dyDescent="0.25">
      <c r="A274" s="736"/>
      <c r="B274" s="736"/>
      <c r="C274" s="736"/>
      <c r="D274" s="787"/>
      <c r="E274" s="788"/>
      <c r="F274" s="789"/>
      <c r="G274" s="787"/>
      <c r="H274" s="787"/>
      <c r="I274" s="787"/>
      <c r="J274" s="790"/>
      <c r="K274" s="790"/>
      <c r="L274" s="787"/>
      <c r="M274" s="787"/>
    </row>
    <row r="275" spans="1:13" ht="15" x14ac:dyDescent="0.25">
      <c r="A275" s="736"/>
      <c r="B275" s="736"/>
      <c r="C275" s="736"/>
      <c r="D275" s="787"/>
      <c r="E275" s="788"/>
      <c r="F275" s="789"/>
      <c r="G275" s="787"/>
      <c r="H275" s="787"/>
      <c r="I275" s="787"/>
      <c r="J275" s="790"/>
      <c r="K275" s="790"/>
      <c r="L275" s="787"/>
      <c r="M275" s="787"/>
    </row>
    <row r="276" spans="1:13" ht="15" x14ac:dyDescent="0.25">
      <c r="A276" s="736"/>
      <c r="B276" s="736"/>
      <c r="C276" s="736"/>
      <c r="D276" s="787"/>
      <c r="E276" s="788"/>
      <c r="F276" s="789"/>
      <c r="G276" s="787"/>
      <c r="H276" s="787"/>
      <c r="I276" s="787"/>
      <c r="J276" s="790"/>
      <c r="K276" s="790"/>
      <c r="L276" s="787"/>
      <c r="M276" s="787"/>
    </row>
    <row r="277" spans="1:13" ht="15" x14ac:dyDescent="0.25">
      <c r="A277" s="736"/>
      <c r="B277" s="736"/>
      <c r="C277" s="736"/>
      <c r="D277" s="787"/>
      <c r="E277" s="788"/>
      <c r="F277" s="789"/>
      <c r="G277" s="787"/>
      <c r="H277" s="787"/>
      <c r="I277" s="787"/>
      <c r="J277" s="790"/>
      <c r="K277" s="790"/>
      <c r="L277" s="787"/>
      <c r="M277" s="787"/>
    </row>
    <row r="278" spans="1:13" ht="15" x14ac:dyDescent="0.25">
      <c r="A278" s="736"/>
      <c r="B278" s="736"/>
      <c r="C278" s="736"/>
      <c r="D278" s="787"/>
      <c r="E278" s="788"/>
      <c r="F278" s="789"/>
      <c r="G278" s="787"/>
      <c r="H278" s="787"/>
      <c r="I278" s="787"/>
      <c r="J278" s="790"/>
      <c r="K278" s="790"/>
      <c r="L278" s="787"/>
      <c r="M278" s="787"/>
    </row>
    <row r="279" spans="1:13" ht="15" x14ac:dyDescent="0.25">
      <c r="A279" s="736"/>
      <c r="B279" s="736"/>
      <c r="C279" s="736"/>
      <c r="D279" s="787"/>
      <c r="E279" s="788"/>
      <c r="F279" s="789"/>
      <c r="G279" s="787"/>
      <c r="H279" s="787"/>
      <c r="I279" s="787"/>
      <c r="J279" s="790"/>
      <c r="K279" s="790"/>
      <c r="L279" s="787"/>
      <c r="M279" s="787"/>
    </row>
    <row r="280" spans="1:13" ht="15" x14ac:dyDescent="0.25">
      <c r="A280" s="736"/>
      <c r="B280" s="736"/>
      <c r="C280" s="736"/>
      <c r="D280" s="787"/>
      <c r="E280" s="788"/>
      <c r="F280" s="789"/>
      <c r="G280" s="787"/>
      <c r="H280" s="787"/>
      <c r="I280" s="787"/>
      <c r="J280" s="790"/>
      <c r="K280" s="790"/>
      <c r="L280" s="787"/>
      <c r="M280" s="787"/>
    </row>
    <row r="281" spans="1:13" ht="15" x14ac:dyDescent="0.25">
      <c r="A281" s="736"/>
      <c r="B281" s="736"/>
      <c r="C281" s="736"/>
      <c r="D281" s="787"/>
      <c r="E281" s="788"/>
      <c r="F281" s="789"/>
      <c r="G281" s="787"/>
      <c r="H281" s="787"/>
      <c r="I281" s="787"/>
      <c r="J281" s="790"/>
      <c r="K281" s="790"/>
      <c r="L281" s="787"/>
      <c r="M281" s="787"/>
    </row>
    <row r="282" spans="1:13" ht="15" x14ac:dyDescent="0.25">
      <c r="A282" s="736"/>
      <c r="B282" s="736"/>
      <c r="C282" s="736"/>
      <c r="D282" s="787"/>
      <c r="E282" s="788"/>
      <c r="F282" s="789"/>
      <c r="G282" s="787"/>
      <c r="H282" s="787"/>
      <c r="I282" s="787"/>
      <c r="J282" s="790"/>
      <c r="K282" s="790"/>
      <c r="L282" s="787"/>
      <c r="M282" s="787"/>
    </row>
    <row r="283" spans="1:13" ht="15" x14ac:dyDescent="0.25">
      <c r="A283" s="736"/>
      <c r="B283" s="736"/>
      <c r="C283" s="736"/>
      <c r="D283" s="787"/>
      <c r="E283" s="788"/>
      <c r="F283" s="789"/>
      <c r="G283" s="787"/>
      <c r="H283" s="787"/>
      <c r="I283" s="787"/>
      <c r="J283" s="790"/>
      <c r="K283" s="790"/>
      <c r="L283" s="787"/>
      <c r="M283" s="787"/>
    </row>
    <row r="284" spans="1:13" ht="15" x14ac:dyDescent="0.25">
      <c r="A284" s="736"/>
      <c r="B284" s="736"/>
      <c r="C284" s="736"/>
      <c r="D284" s="787"/>
      <c r="E284" s="788"/>
      <c r="F284" s="789"/>
      <c r="G284" s="787"/>
      <c r="H284" s="787"/>
      <c r="I284" s="787"/>
      <c r="J284" s="790"/>
      <c r="K284" s="790"/>
      <c r="L284" s="787"/>
      <c r="M284" s="787"/>
    </row>
    <row r="285" spans="1:13" ht="15" x14ac:dyDescent="0.25">
      <c r="A285" s="736"/>
      <c r="B285" s="736"/>
      <c r="C285" s="736"/>
      <c r="D285" s="787"/>
      <c r="E285" s="788"/>
      <c r="F285" s="789"/>
      <c r="G285" s="787"/>
      <c r="H285" s="787"/>
      <c r="I285" s="787"/>
      <c r="J285" s="790"/>
      <c r="K285" s="790"/>
      <c r="L285" s="787"/>
      <c r="M285" s="787"/>
    </row>
    <row r="286" spans="1:13" ht="15" x14ac:dyDescent="0.25">
      <c r="A286" s="736"/>
      <c r="B286" s="736"/>
      <c r="C286" s="736"/>
      <c r="D286" s="787"/>
      <c r="E286" s="788"/>
      <c r="F286" s="789"/>
      <c r="G286" s="787"/>
      <c r="H286" s="787"/>
      <c r="I286" s="787"/>
      <c r="J286" s="790"/>
      <c r="K286" s="790"/>
      <c r="L286" s="787"/>
      <c r="M286" s="787"/>
    </row>
    <row r="287" spans="1:13" ht="15" x14ac:dyDescent="0.25">
      <c r="A287" s="736"/>
      <c r="B287" s="736"/>
      <c r="C287" s="736"/>
      <c r="D287" s="787"/>
      <c r="E287" s="788"/>
      <c r="F287" s="789"/>
      <c r="G287" s="787"/>
      <c r="H287" s="787"/>
      <c r="I287" s="787"/>
      <c r="J287" s="790"/>
      <c r="K287" s="790"/>
      <c r="L287" s="787"/>
      <c r="M287" s="787"/>
    </row>
    <row r="288" spans="1:13" ht="15" x14ac:dyDescent="0.25">
      <c r="A288" s="736"/>
      <c r="B288" s="736"/>
      <c r="C288" s="736"/>
      <c r="D288" s="787"/>
      <c r="E288" s="788"/>
      <c r="F288" s="789"/>
      <c r="G288" s="787"/>
      <c r="H288" s="787"/>
      <c r="I288" s="787"/>
      <c r="J288" s="790"/>
      <c r="K288" s="790"/>
      <c r="L288" s="787"/>
      <c r="M288" s="787"/>
    </row>
    <row r="289" spans="1:13" ht="15" x14ac:dyDescent="0.25">
      <c r="A289" s="736"/>
      <c r="B289" s="736"/>
      <c r="C289" s="736"/>
      <c r="D289" s="787"/>
      <c r="E289" s="788"/>
      <c r="F289" s="789"/>
      <c r="G289" s="787"/>
      <c r="H289" s="787"/>
      <c r="I289" s="787"/>
      <c r="J289" s="790"/>
      <c r="K289" s="790"/>
      <c r="L289" s="787"/>
      <c r="M289" s="787"/>
    </row>
    <row r="290" spans="1:13" ht="15" x14ac:dyDescent="0.25">
      <c r="A290" s="736"/>
      <c r="B290" s="736"/>
      <c r="C290" s="736"/>
      <c r="D290" s="787"/>
      <c r="E290" s="788"/>
      <c r="F290" s="789"/>
      <c r="G290" s="787"/>
      <c r="H290" s="787"/>
      <c r="I290" s="787"/>
      <c r="J290" s="790"/>
      <c r="K290" s="790"/>
      <c r="L290" s="787"/>
      <c r="M290" s="787"/>
    </row>
    <row r="291" spans="1:13" ht="15" x14ac:dyDescent="0.25">
      <c r="A291" s="736"/>
      <c r="B291" s="736"/>
      <c r="C291" s="736"/>
      <c r="D291" s="797"/>
      <c r="E291" s="798"/>
      <c r="F291" s="799"/>
      <c r="G291" s="797"/>
      <c r="H291" s="797"/>
      <c r="I291" s="797"/>
      <c r="J291" s="800"/>
      <c r="K291" s="800"/>
      <c r="L291" s="797"/>
      <c r="M291" s="797"/>
    </row>
    <row r="292" spans="1:13" ht="15" x14ac:dyDescent="0.25">
      <c r="A292" s="736"/>
      <c r="B292" s="736"/>
      <c r="C292" s="736"/>
      <c r="D292" s="787"/>
      <c r="E292" s="788"/>
      <c r="F292" s="789"/>
      <c r="G292" s="787"/>
      <c r="H292" s="787"/>
      <c r="I292" s="787"/>
      <c r="J292" s="790"/>
      <c r="K292" s="790"/>
      <c r="L292" s="787"/>
      <c r="M292" s="787"/>
    </row>
    <row r="293" spans="1:13" ht="15" x14ac:dyDescent="0.25">
      <c r="A293" s="736"/>
      <c r="B293" s="736"/>
      <c r="C293" s="736"/>
      <c r="D293" s="787"/>
      <c r="E293" s="788"/>
      <c r="F293" s="789"/>
      <c r="G293" s="787"/>
      <c r="H293" s="787"/>
      <c r="I293" s="787"/>
      <c r="J293" s="790"/>
      <c r="K293" s="790"/>
      <c r="L293" s="787"/>
      <c r="M293" s="787"/>
    </row>
    <row r="294" spans="1:13" ht="15" x14ac:dyDescent="0.25">
      <c r="A294" s="736"/>
      <c r="B294" s="736"/>
      <c r="C294" s="736"/>
      <c r="D294" s="787"/>
      <c r="E294" s="788"/>
      <c r="F294" s="789"/>
      <c r="G294" s="787"/>
      <c r="H294" s="787"/>
      <c r="I294" s="787"/>
      <c r="J294" s="790"/>
      <c r="K294" s="790"/>
      <c r="L294" s="787"/>
      <c r="M294" s="787"/>
    </row>
    <row r="295" spans="1:13" ht="15" x14ac:dyDescent="0.25">
      <c r="A295" s="736"/>
      <c r="B295" s="736"/>
      <c r="C295" s="736"/>
      <c r="D295" s="787"/>
      <c r="E295" s="788"/>
      <c r="F295" s="789"/>
      <c r="G295" s="787"/>
      <c r="H295" s="787"/>
      <c r="I295" s="787"/>
      <c r="J295" s="790"/>
      <c r="K295" s="790"/>
      <c r="L295" s="787"/>
      <c r="M295" s="787"/>
    </row>
    <row r="296" spans="1:13" ht="15" x14ac:dyDescent="0.25">
      <c r="A296" s="736"/>
      <c r="B296" s="736"/>
      <c r="C296" s="736"/>
      <c r="D296" s="787"/>
      <c r="E296" s="788"/>
      <c r="F296" s="789"/>
      <c r="G296" s="787"/>
      <c r="H296" s="787"/>
      <c r="I296" s="787"/>
      <c r="J296" s="790"/>
      <c r="K296" s="790"/>
      <c r="L296" s="787"/>
      <c r="M296" s="787"/>
    </row>
    <row r="297" spans="1:13" ht="15" x14ac:dyDescent="0.25">
      <c r="A297" s="736"/>
      <c r="B297" s="736"/>
      <c r="C297" s="736"/>
      <c r="D297" s="787"/>
      <c r="E297" s="788"/>
      <c r="F297" s="789"/>
      <c r="G297" s="787"/>
      <c r="H297" s="787"/>
      <c r="I297" s="787"/>
      <c r="J297" s="790"/>
      <c r="K297" s="790"/>
      <c r="L297" s="787"/>
      <c r="M297" s="787"/>
    </row>
    <row r="298" spans="1:13" ht="15" x14ac:dyDescent="0.25">
      <c r="A298" s="736"/>
      <c r="B298" s="736"/>
      <c r="C298" s="736"/>
      <c r="D298" s="787"/>
      <c r="E298" s="788"/>
      <c r="F298" s="789"/>
      <c r="G298" s="787"/>
      <c r="H298" s="787"/>
      <c r="I298" s="787"/>
      <c r="J298" s="790"/>
      <c r="K298" s="790"/>
      <c r="L298" s="787"/>
      <c r="M298" s="787"/>
    </row>
    <row r="299" spans="1:13" ht="15" x14ac:dyDescent="0.25">
      <c r="A299" s="736"/>
      <c r="B299" s="736"/>
      <c r="C299" s="736"/>
      <c r="D299" s="787"/>
      <c r="E299" s="788"/>
      <c r="F299" s="789"/>
      <c r="G299" s="787"/>
      <c r="H299" s="787"/>
      <c r="I299" s="787"/>
      <c r="J299" s="790"/>
      <c r="K299" s="790"/>
      <c r="L299" s="787"/>
      <c r="M299" s="787"/>
    </row>
    <row r="300" spans="1:13" ht="15" x14ac:dyDescent="0.25">
      <c r="A300" s="736"/>
      <c r="B300" s="736"/>
      <c r="C300" s="736"/>
      <c r="D300" s="787"/>
      <c r="E300" s="788"/>
      <c r="F300" s="789"/>
      <c r="G300" s="787"/>
      <c r="H300" s="787"/>
      <c r="I300" s="787"/>
      <c r="J300" s="790"/>
      <c r="K300" s="790"/>
      <c r="L300" s="787"/>
      <c r="M300" s="787"/>
    </row>
    <row r="301" spans="1:13" ht="15" x14ac:dyDescent="0.25">
      <c r="A301" s="736"/>
      <c r="B301" s="736"/>
      <c r="C301" s="736"/>
      <c r="D301" s="787"/>
      <c r="E301" s="788"/>
      <c r="F301" s="789"/>
      <c r="G301" s="787"/>
      <c r="H301" s="787"/>
      <c r="I301" s="787"/>
      <c r="J301" s="790"/>
      <c r="K301" s="790"/>
      <c r="L301" s="787"/>
      <c r="M301" s="787"/>
    </row>
    <row r="302" spans="1:13" ht="15" x14ac:dyDescent="0.25">
      <c r="A302" s="736"/>
      <c r="B302" s="736"/>
      <c r="C302" s="736"/>
      <c r="D302" s="787"/>
      <c r="E302" s="788"/>
      <c r="F302" s="789"/>
      <c r="G302" s="787"/>
      <c r="H302" s="787"/>
      <c r="I302" s="787"/>
      <c r="J302" s="790"/>
      <c r="K302" s="790"/>
      <c r="L302" s="787"/>
      <c r="M302" s="787"/>
    </row>
    <row r="303" spans="1:13" ht="15" x14ac:dyDescent="0.25">
      <c r="A303" s="736"/>
      <c r="B303" s="736"/>
      <c r="C303" s="736"/>
      <c r="D303" s="787"/>
      <c r="E303" s="788"/>
      <c r="F303" s="789"/>
      <c r="G303" s="787"/>
      <c r="H303" s="787"/>
      <c r="I303" s="787"/>
      <c r="J303" s="790"/>
      <c r="K303" s="790"/>
      <c r="L303" s="787"/>
      <c r="M303" s="787"/>
    </row>
    <row r="304" spans="1:13" ht="15" x14ac:dyDescent="0.25">
      <c r="A304" s="736"/>
      <c r="B304" s="736"/>
      <c r="C304" s="736"/>
      <c r="D304" s="787"/>
      <c r="E304" s="788"/>
      <c r="F304" s="789"/>
      <c r="G304" s="787"/>
      <c r="H304" s="787"/>
      <c r="I304" s="787"/>
      <c r="J304" s="790"/>
      <c r="K304" s="790"/>
      <c r="L304" s="787"/>
      <c r="M304" s="787"/>
    </row>
    <row r="305" spans="1:13" ht="15" x14ac:dyDescent="0.25">
      <c r="A305" s="736"/>
      <c r="B305" s="736"/>
      <c r="C305" s="736"/>
      <c r="D305" s="787"/>
      <c r="E305" s="788"/>
      <c r="F305" s="789"/>
      <c r="G305" s="787"/>
      <c r="H305" s="787"/>
      <c r="I305" s="787"/>
      <c r="J305" s="790"/>
      <c r="K305" s="790"/>
      <c r="L305" s="787"/>
      <c r="M305" s="787"/>
    </row>
    <row r="306" spans="1:13" ht="15" x14ac:dyDescent="0.25">
      <c r="A306" s="736"/>
      <c r="B306" s="736"/>
      <c r="C306" s="736"/>
      <c r="D306" s="787"/>
      <c r="E306" s="788"/>
      <c r="F306" s="789"/>
      <c r="G306" s="787"/>
      <c r="H306" s="787"/>
      <c r="I306" s="787"/>
      <c r="J306" s="790"/>
      <c r="K306" s="790"/>
      <c r="L306" s="787"/>
      <c r="M306" s="787"/>
    </row>
    <row r="307" spans="1:13" ht="15" x14ac:dyDescent="0.25">
      <c r="A307" s="736"/>
      <c r="B307" s="736"/>
      <c r="C307" s="736"/>
      <c r="D307" s="787"/>
      <c r="E307" s="788"/>
      <c r="F307" s="789"/>
      <c r="G307" s="787"/>
      <c r="H307" s="787"/>
      <c r="I307" s="787"/>
      <c r="J307" s="790"/>
      <c r="K307" s="790"/>
      <c r="L307" s="787"/>
      <c r="M307" s="787"/>
    </row>
    <row r="308" spans="1:13" ht="15" x14ac:dyDescent="0.25">
      <c r="A308" s="736"/>
      <c r="B308" s="736"/>
      <c r="C308" s="736"/>
      <c r="D308" s="787"/>
      <c r="E308" s="788"/>
      <c r="F308" s="789"/>
      <c r="G308" s="787"/>
      <c r="H308" s="787"/>
      <c r="I308" s="787"/>
      <c r="J308" s="790"/>
      <c r="K308" s="790"/>
      <c r="L308" s="787"/>
      <c r="M308" s="787"/>
    </row>
    <row r="309" spans="1:13" ht="15" x14ac:dyDescent="0.25">
      <c r="A309" s="736"/>
      <c r="B309" s="736"/>
      <c r="C309" s="736"/>
      <c r="D309" s="787"/>
      <c r="E309" s="788"/>
      <c r="F309" s="789"/>
      <c r="G309" s="787"/>
      <c r="H309" s="787"/>
      <c r="I309" s="787"/>
      <c r="J309" s="790"/>
      <c r="K309" s="790"/>
      <c r="L309" s="787"/>
      <c r="M309" s="787"/>
    </row>
    <row r="310" spans="1:13" ht="15" x14ac:dyDescent="0.25">
      <c r="A310" s="736"/>
      <c r="B310" s="736"/>
      <c r="C310" s="736"/>
      <c r="D310" s="787"/>
      <c r="E310" s="788"/>
      <c r="F310" s="789"/>
      <c r="G310" s="787"/>
      <c r="H310" s="787"/>
      <c r="I310" s="787"/>
      <c r="J310" s="790"/>
      <c r="K310" s="790"/>
      <c r="L310" s="787"/>
      <c r="M310" s="787"/>
    </row>
    <row r="311" spans="1:13" ht="15" x14ac:dyDescent="0.25">
      <c r="A311" s="736"/>
      <c r="B311" s="736"/>
      <c r="C311" s="736"/>
      <c r="D311" s="787"/>
      <c r="E311" s="788"/>
      <c r="F311" s="789"/>
      <c r="G311" s="787"/>
      <c r="H311" s="787"/>
      <c r="I311" s="787"/>
      <c r="J311" s="790"/>
      <c r="K311" s="790"/>
      <c r="L311" s="787"/>
      <c r="M311" s="787"/>
    </row>
    <row r="312" spans="1:13" ht="15" x14ac:dyDescent="0.25">
      <c r="A312" s="736"/>
      <c r="B312" s="736"/>
      <c r="C312" s="736"/>
      <c r="D312" s="787"/>
      <c r="E312" s="788"/>
      <c r="F312" s="789"/>
      <c r="G312" s="787"/>
      <c r="H312" s="787"/>
      <c r="I312" s="787"/>
      <c r="J312" s="790"/>
      <c r="K312" s="790"/>
      <c r="L312" s="787"/>
      <c r="M312" s="787"/>
    </row>
    <row r="313" spans="1:13" ht="15" x14ac:dyDescent="0.25">
      <c r="A313" s="736"/>
      <c r="B313" s="736"/>
      <c r="C313" s="736"/>
      <c r="D313" s="787"/>
      <c r="E313" s="788"/>
      <c r="F313" s="789"/>
      <c r="G313" s="787"/>
      <c r="H313" s="787"/>
      <c r="I313" s="787"/>
      <c r="J313" s="790"/>
      <c r="K313" s="790"/>
      <c r="L313" s="787"/>
      <c r="M313" s="787"/>
    </row>
    <row r="314" spans="1:13" ht="15" x14ac:dyDescent="0.25">
      <c r="A314" s="736"/>
      <c r="B314" s="736"/>
      <c r="C314" s="736"/>
      <c r="D314" s="787"/>
      <c r="E314" s="788"/>
      <c r="F314" s="789"/>
      <c r="G314" s="787"/>
      <c r="H314" s="787"/>
      <c r="I314" s="787"/>
      <c r="J314" s="790"/>
      <c r="K314" s="790"/>
      <c r="L314" s="787"/>
      <c r="M314" s="787"/>
    </row>
    <row r="315" spans="1:13" ht="15" x14ac:dyDescent="0.25">
      <c r="A315" s="736"/>
      <c r="B315" s="736"/>
      <c r="C315" s="736"/>
      <c r="D315" s="787"/>
      <c r="E315" s="788"/>
      <c r="F315" s="789"/>
      <c r="G315" s="787"/>
      <c r="H315" s="787"/>
      <c r="I315" s="787"/>
      <c r="J315" s="790"/>
      <c r="K315" s="790"/>
      <c r="L315" s="787"/>
      <c r="M315" s="787"/>
    </row>
    <row r="316" spans="1:13" ht="15" x14ac:dyDescent="0.25">
      <c r="A316" s="736"/>
      <c r="B316" s="736"/>
      <c r="C316" s="736"/>
      <c r="D316" s="787"/>
      <c r="E316" s="788"/>
      <c r="F316" s="789"/>
      <c r="G316" s="787"/>
      <c r="H316" s="787"/>
      <c r="I316" s="787"/>
      <c r="J316" s="790"/>
      <c r="K316" s="790"/>
      <c r="L316" s="787"/>
      <c r="M316" s="787"/>
    </row>
    <row r="317" spans="1:13" ht="15" x14ac:dyDescent="0.25">
      <c r="A317" s="736"/>
      <c r="B317" s="736"/>
      <c r="C317" s="736"/>
      <c r="D317" s="787"/>
      <c r="E317" s="788"/>
      <c r="F317" s="789"/>
      <c r="G317" s="787"/>
      <c r="H317" s="787"/>
      <c r="I317" s="787"/>
      <c r="J317" s="790"/>
      <c r="K317" s="790"/>
      <c r="L317" s="787"/>
      <c r="M317" s="787"/>
    </row>
    <row r="318" spans="1:13" ht="15" x14ac:dyDescent="0.25">
      <c r="A318" s="736"/>
      <c r="B318" s="736"/>
      <c r="C318" s="736"/>
      <c r="D318" s="787"/>
      <c r="E318" s="788"/>
      <c r="F318" s="789"/>
      <c r="G318" s="787"/>
      <c r="H318" s="787"/>
      <c r="I318" s="787"/>
      <c r="J318" s="790"/>
      <c r="K318" s="790"/>
      <c r="L318" s="787"/>
      <c r="M318" s="787"/>
    </row>
    <row r="319" spans="1:13" ht="15" x14ac:dyDescent="0.25">
      <c r="A319" s="736"/>
      <c r="B319" s="736"/>
      <c r="C319" s="736"/>
      <c r="D319" s="787"/>
      <c r="E319" s="788"/>
      <c r="F319" s="789"/>
      <c r="G319" s="787"/>
      <c r="H319" s="787"/>
      <c r="I319" s="787"/>
      <c r="J319" s="790"/>
      <c r="K319" s="790"/>
      <c r="L319" s="787"/>
      <c r="M319" s="787"/>
    </row>
    <row r="320" spans="1:13" ht="15" x14ac:dyDescent="0.25">
      <c r="A320" s="736"/>
      <c r="B320" s="736"/>
      <c r="C320" s="736"/>
      <c r="D320" s="787"/>
      <c r="E320" s="788"/>
      <c r="F320" s="789"/>
      <c r="G320" s="787"/>
      <c r="H320" s="787"/>
      <c r="I320" s="787"/>
      <c r="J320" s="790"/>
      <c r="K320" s="790"/>
      <c r="L320" s="787"/>
      <c r="M320" s="787"/>
    </row>
    <row r="321" spans="1:13" ht="15" x14ac:dyDescent="0.25">
      <c r="A321" s="736"/>
      <c r="B321" s="736"/>
      <c r="C321" s="736"/>
      <c r="D321" s="787"/>
      <c r="E321" s="788"/>
      <c r="F321" s="789"/>
      <c r="G321" s="787"/>
      <c r="H321" s="787"/>
      <c r="I321" s="787"/>
      <c r="J321" s="790"/>
      <c r="K321" s="790"/>
      <c r="L321" s="787"/>
      <c r="M321" s="787"/>
    </row>
    <row r="322" spans="1:13" ht="15" x14ac:dyDescent="0.25">
      <c r="A322" s="736"/>
      <c r="B322" s="736"/>
      <c r="C322" s="736"/>
      <c r="D322" s="787"/>
      <c r="E322" s="788"/>
      <c r="F322" s="789"/>
      <c r="G322" s="787"/>
      <c r="H322" s="787"/>
      <c r="I322" s="787"/>
      <c r="J322" s="790"/>
      <c r="K322" s="790"/>
      <c r="L322" s="787"/>
      <c r="M322" s="787"/>
    </row>
    <row r="323" spans="1:13" ht="15" x14ac:dyDescent="0.25">
      <c r="A323" s="736"/>
      <c r="B323" s="736"/>
      <c r="C323" s="736"/>
      <c r="D323" s="787"/>
      <c r="E323" s="788"/>
      <c r="F323" s="789"/>
      <c r="G323" s="787"/>
      <c r="H323" s="787"/>
      <c r="I323" s="787"/>
      <c r="J323" s="790"/>
      <c r="K323" s="790"/>
      <c r="L323" s="787"/>
      <c r="M323" s="787"/>
    </row>
    <row r="324" spans="1:13" ht="15" x14ac:dyDescent="0.25">
      <c r="A324" s="736"/>
      <c r="B324" s="736"/>
      <c r="C324" s="736"/>
      <c r="D324" s="787"/>
      <c r="E324" s="788"/>
      <c r="F324" s="789"/>
      <c r="G324" s="787"/>
      <c r="H324" s="787"/>
      <c r="I324" s="787"/>
      <c r="J324" s="790"/>
      <c r="K324" s="790"/>
      <c r="L324" s="787"/>
      <c r="M324" s="787"/>
    </row>
    <row r="325" spans="1:13" ht="15" x14ac:dyDescent="0.25">
      <c r="A325" s="736"/>
      <c r="B325" s="736"/>
      <c r="C325" s="736"/>
      <c r="D325" s="787"/>
      <c r="E325" s="788"/>
      <c r="F325" s="789"/>
      <c r="G325" s="787"/>
      <c r="H325" s="787"/>
      <c r="I325" s="787"/>
      <c r="J325" s="790"/>
      <c r="K325" s="790"/>
      <c r="L325" s="787"/>
      <c r="M325" s="787"/>
    </row>
    <row r="326" spans="1:13" ht="15" x14ac:dyDescent="0.25">
      <c r="A326" s="736"/>
      <c r="B326" s="736"/>
      <c r="C326" s="736"/>
      <c r="D326" s="787"/>
      <c r="E326" s="788"/>
      <c r="F326" s="789"/>
      <c r="G326" s="787"/>
      <c r="H326" s="787"/>
      <c r="I326" s="787"/>
      <c r="J326" s="790"/>
      <c r="K326" s="790"/>
      <c r="L326" s="787"/>
      <c r="M326" s="787"/>
    </row>
    <row r="327" spans="1:13" ht="15" x14ac:dyDescent="0.25">
      <c r="A327" s="736"/>
      <c r="B327" s="736"/>
      <c r="C327" s="736"/>
      <c r="D327" s="787"/>
      <c r="E327" s="788"/>
      <c r="F327" s="789"/>
      <c r="G327" s="787"/>
      <c r="H327" s="787"/>
      <c r="I327" s="787"/>
      <c r="J327" s="790"/>
      <c r="K327" s="790"/>
      <c r="L327" s="787"/>
      <c r="M327" s="787"/>
    </row>
    <row r="328" spans="1:13" ht="15" x14ac:dyDescent="0.25">
      <c r="A328" s="736"/>
      <c r="B328" s="736"/>
      <c r="C328" s="736"/>
      <c r="D328" s="787"/>
      <c r="E328" s="788"/>
      <c r="F328" s="789"/>
      <c r="G328" s="787"/>
      <c r="H328" s="787"/>
      <c r="I328" s="787"/>
      <c r="J328" s="790"/>
      <c r="K328" s="790"/>
      <c r="L328" s="787"/>
      <c r="M328" s="787"/>
    </row>
    <row r="329" spans="1:13" ht="15" x14ac:dyDescent="0.25">
      <c r="A329" s="736"/>
      <c r="B329" s="736"/>
      <c r="C329" s="736"/>
      <c r="D329" s="787"/>
      <c r="E329" s="788"/>
      <c r="F329" s="789"/>
      <c r="G329" s="787"/>
      <c r="H329" s="787"/>
      <c r="I329" s="787"/>
      <c r="J329" s="790"/>
      <c r="K329" s="790"/>
      <c r="L329" s="787"/>
      <c r="M329" s="787"/>
    </row>
    <row r="330" spans="1:13" ht="15" x14ac:dyDescent="0.25">
      <c r="A330" s="736"/>
      <c r="B330" s="736"/>
      <c r="C330" s="736"/>
      <c r="D330" s="787"/>
      <c r="E330" s="788"/>
      <c r="F330" s="789"/>
      <c r="G330" s="787"/>
      <c r="H330" s="787"/>
      <c r="I330" s="787"/>
      <c r="J330" s="790"/>
      <c r="K330" s="790"/>
      <c r="L330" s="787"/>
      <c r="M330" s="787"/>
    </row>
    <row r="331" spans="1:13" ht="15" x14ac:dyDescent="0.25">
      <c r="A331" s="736"/>
      <c r="B331" s="736"/>
      <c r="C331" s="736"/>
      <c r="D331" s="787"/>
      <c r="E331" s="788"/>
      <c r="F331" s="789"/>
      <c r="G331" s="787"/>
      <c r="H331" s="787"/>
      <c r="I331" s="787"/>
      <c r="J331" s="790"/>
      <c r="K331" s="790"/>
      <c r="L331" s="787"/>
      <c r="M331" s="787"/>
    </row>
    <row r="332" spans="1:13" ht="15" x14ac:dyDescent="0.25">
      <c r="A332" s="736"/>
      <c r="B332" s="736"/>
      <c r="C332" s="736"/>
      <c r="D332" s="787"/>
      <c r="E332" s="788"/>
      <c r="F332" s="789"/>
      <c r="G332" s="787"/>
      <c r="H332" s="787"/>
      <c r="I332" s="787"/>
      <c r="J332" s="790"/>
      <c r="K332" s="790"/>
      <c r="L332" s="787"/>
      <c r="M332" s="787"/>
    </row>
    <row r="333" spans="1:13" ht="15" x14ac:dyDescent="0.25">
      <c r="A333" s="736"/>
      <c r="B333" s="736"/>
      <c r="C333" s="736"/>
      <c r="D333" s="787"/>
      <c r="E333" s="788"/>
      <c r="F333" s="789"/>
      <c r="G333" s="787"/>
      <c r="H333" s="787"/>
      <c r="I333" s="787"/>
      <c r="J333" s="790"/>
      <c r="K333" s="790"/>
      <c r="L333" s="787"/>
      <c r="M333" s="787"/>
    </row>
    <row r="334" spans="1:13" ht="15" x14ac:dyDescent="0.25">
      <c r="A334" s="736"/>
      <c r="B334" s="736"/>
      <c r="C334" s="736"/>
      <c r="D334" s="787"/>
      <c r="E334" s="788"/>
      <c r="F334" s="789"/>
      <c r="G334" s="787"/>
      <c r="H334" s="787"/>
      <c r="I334" s="787"/>
      <c r="J334" s="790"/>
      <c r="K334" s="790"/>
      <c r="L334" s="787"/>
      <c r="M334" s="787"/>
    </row>
    <row r="335" spans="1:13" ht="15" x14ac:dyDescent="0.25">
      <c r="A335" s="736"/>
      <c r="B335" s="736"/>
      <c r="C335" s="736"/>
      <c r="D335" s="787"/>
      <c r="E335" s="788"/>
      <c r="F335" s="789"/>
      <c r="G335" s="787"/>
      <c r="H335" s="787"/>
      <c r="I335" s="787"/>
      <c r="J335" s="790"/>
      <c r="K335" s="790"/>
      <c r="L335" s="787"/>
      <c r="M335" s="787"/>
    </row>
    <row r="336" spans="1:13" ht="15" x14ac:dyDescent="0.25">
      <c r="A336" s="736"/>
      <c r="B336" s="736"/>
      <c r="C336" s="736"/>
      <c r="D336" s="787"/>
      <c r="E336" s="788"/>
      <c r="F336" s="789"/>
      <c r="G336" s="787"/>
      <c r="H336" s="787"/>
      <c r="I336" s="787"/>
      <c r="J336" s="790"/>
      <c r="K336" s="790"/>
      <c r="L336" s="787"/>
      <c r="M336" s="787"/>
    </row>
    <row r="337" spans="1:13" ht="15" x14ac:dyDescent="0.25">
      <c r="A337" s="736"/>
      <c r="B337" s="736"/>
      <c r="C337" s="736"/>
      <c r="D337" s="787"/>
      <c r="E337" s="788"/>
      <c r="F337" s="789"/>
      <c r="G337" s="787"/>
      <c r="H337" s="787"/>
      <c r="I337" s="787"/>
      <c r="J337" s="790"/>
      <c r="K337" s="790"/>
      <c r="L337" s="787"/>
      <c r="M337" s="787"/>
    </row>
    <row r="338" spans="1:13" ht="15" x14ac:dyDescent="0.25">
      <c r="A338" s="736"/>
      <c r="B338" s="736"/>
      <c r="C338" s="736"/>
      <c r="D338" s="787"/>
      <c r="E338" s="788"/>
      <c r="F338" s="789"/>
      <c r="G338" s="787"/>
      <c r="H338" s="787"/>
      <c r="I338" s="787"/>
      <c r="J338" s="790"/>
      <c r="K338" s="790"/>
      <c r="L338" s="787"/>
      <c r="M338" s="787"/>
    </row>
    <row r="339" spans="1:13" ht="15" x14ac:dyDescent="0.25">
      <c r="A339" s="736"/>
      <c r="B339" s="736"/>
      <c r="C339" s="736"/>
      <c r="D339" s="787"/>
      <c r="E339" s="788"/>
      <c r="F339" s="789"/>
      <c r="G339" s="787"/>
      <c r="H339" s="787"/>
      <c r="I339" s="787"/>
      <c r="J339" s="790"/>
      <c r="K339" s="790"/>
      <c r="L339" s="787"/>
      <c r="M339" s="787"/>
    </row>
    <row r="340" spans="1:13" ht="15" x14ac:dyDescent="0.25">
      <c r="A340" s="736"/>
      <c r="B340" s="736"/>
      <c r="C340" s="736"/>
      <c r="D340" s="787"/>
      <c r="E340" s="788"/>
      <c r="F340" s="789"/>
      <c r="G340" s="787"/>
      <c r="H340" s="787"/>
      <c r="I340" s="787"/>
      <c r="J340" s="790"/>
      <c r="K340" s="790"/>
      <c r="L340" s="787"/>
      <c r="M340" s="787"/>
    </row>
    <row r="341" spans="1:13" ht="15" x14ac:dyDescent="0.25">
      <c r="A341" s="736"/>
      <c r="B341" s="736"/>
      <c r="C341" s="736"/>
      <c r="D341" s="787"/>
      <c r="E341" s="788"/>
      <c r="F341" s="789"/>
      <c r="G341" s="787"/>
      <c r="H341" s="787"/>
      <c r="I341" s="787"/>
      <c r="J341" s="790"/>
      <c r="K341" s="790"/>
      <c r="L341" s="787"/>
      <c r="M341" s="787"/>
    </row>
    <row r="342" spans="1:13" ht="15" x14ac:dyDescent="0.25">
      <c r="A342" s="736"/>
      <c r="B342" s="736"/>
      <c r="C342" s="736"/>
      <c r="D342" s="787"/>
      <c r="E342" s="788"/>
      <c r="F342" s="789"/>
      <c r="G342" s="787"/>
      <c r="H342" s="787"/>
      <c r="I342" s="787"/>
      <c r="J342" s="790"/>
      <c r="K342" s="790"/>
      <c r="L342" s="787"/>
      <c r="M342" s="787"/>
    </row>
    <row r="343" spans="1:13" ht="15" x14ac:dyDescent="0.25">
      <c r="A343" s="736"/>
      <c r="B343" s="736"/>
      <c r="C343" s="736"/>
      <c r="D343" s="787"/>
      <c r="E343" s="788"/>
      <c r="F343" s="789"/>
      <c r="G343" s="787"/>
      <c r="H343" s="787"/>
      <c r="I343" s="787"/>
      <c r="J343" s="790"/>
      <c r="K343" s="790"/>
      <c r="L343" s="787"/>
      <c r="M343" s="787"/>
    </row>
    <row r="344" spans="1:13" ht="15" x14ac:dyDescent="0.25">
      <c r="A344" s="736"/>
      <c r="B344" s="736"/>
      <c r="C344" s="736"/>
      <c r="D344" s="787"/>
      <c r="E344" s="788"/>
      <c r="F344" s="789"/>
      <c r="G344" s="787"/>
      <c r="H344" s="787"/>
      <c r="I344" s="787"/>
      <c r="J344" s="790"/>
      <c r="K344" s="790"/>
      <c r="L344" s="787"/>
      <c r="M344" s="787"/>
    </row>
    <row r="345" spans="1:13" ht="15" x14ac:dyDescent="0.25">
      <c r="A345" s="736"/>
      <c r="B345" s="736"/>
      <c r="C345" s="736"/>
      <c r="D345" s="787"/>
      <c r="E345" s="788"/>
      <c r="F345" s="789"/>
      <c r="G345" s="787"/>
      <c r="H345" s="787"/>
      <c r="I345" s="787"/>
      <c r="J345" s="790"/>
      <c r="K345" s="790"/>
      <c r="L345" s="787"/>
      <c r="M345" s="787"/>
    </row>
    <row r="346" spans="1:13" ht="15" x14ac:dyDescent="0.25">
      <c r="A346" s="736"/>
      <c r="B346" s="736"/>
      <c r="C346" s="736"/>
      <c r="D346" s="787"/>
      <c r="E346" s="788"/>
      <c r="F346" s="789"/>
      <c r="G346" s="787"/>
      <c r="H346" s="787"/>
      <c r="I346" s="787"/>
      <c r="J346" s="790"/>
      <c r="K346" s="790"/>
      <c r="L346" s="787"/>
      <c r="M346" s="787"/>
    </row>
    <row r="347" spans="1:13" ht="15" x14ac:dyDescent="0.25">
      <c r="A347" s="736"/>
      <c r="B347" s="736"/>
      <c r="C347" s="736"/>
      <c r="D347" s="787"/>
      <c r="E347" s="788"/>
      <c r="F347" s="789"/>
      <c r="G347" s="787"/>
      <c r="H347" s="787"/>
      <c r="I347" s="787"/>
      <c r="J347" s="790"/>
      <c r="K347" s="790"/>
      <c r="L347" s="787"/>
      <c r="M347" s="787"/>
    </row>
    <row r="348" spans="1:13" ht="15" x14ac:dyDescent="0.25">
      <c r="A348" s="736"/>
      <c r="B348" s="736"/>
      <c r="C348" s="736"/>
      <c r="D348" s="787"/>
      <c r="E348" s="788"/>
      <c r="F348" s="789"/>
      <c r="G348" s="787"/>
      <c r="H348" s="787"/>
      <c r="I348" s="787"/>
      <c r="J348" s="790"/>
      <c r="K348" s="790"/>
      <c r="L348" s="787"/>
      <c r="M348" s="787"/>
    </row>
    <row r="349" spans="1:13" ht="15" x14ac:dyDescent="0.25">
      <c r="A349" s="736"/>
      <c r="B349" s="736"/>
      <c r="C349" s="736"/>
      <c r="D349" s="787"/>
      <c r="E349" s="788"/>
      <c r="F349" s="789"/>
      <c r="G349" s="787"/>
      <c r="H349" s="787"/>
      <c r="I349" s="787"/>
      <c r="J349" s="790"/>
      <c r="K349" s="790"/>
      <c r="L349" s="787"/>
      <c r="M349" s="787"/>
    </row>
    <row r="350" spans="1:13" ht="15" x14ac:dyDescent="0.25">
      <c r="A350" s="736"/>
      <c r="B350" s="736"/>
      <c r="C350" s="736"/>
      <c r="D350" s="787"/>
      <c r="E350" s="788"/>
      <c r="F350" s="789"/>
      <c r="G350" s="787"/>
      <c r="H350" s="787"/>
      <c r="I350" s="787"/>
      <c r="J350" s="790"/>
      <c r="K350" s="790"/>
      <c r="L350" s="787"/>
      <c r="M350" s="787"/>
    </row>
    <row r="351" spans="1:13" ht="15" x14ac:dyDescent="0.25">
      <c r="A351" s="736"/>
      <c r="B351" s="736"/>
      <c r="C351" s="736"/>
      <c r="D351" s="787"/>
      <c r="E351" s="788"/>
      <c r="F351" s="789"/>
      <c r="G351" s="787"/>
      <c r="H351" s="787"/>
      <c r="I351" s="787"/>
      <c r="J351" s="790"/>
      <c r="K351" s="790"/>
      <c r="L351" s="787"/>
      <c r="M351" s="787"/>
    </row>
    <row r="352" spans="1:13" ht="15" x14ac:dyDescent="0.25">
      <c r="A352" s="736"/>
      <c r="B352" s="736"/>
      <c r="C352" s="736"/>
      <c r="D352" s="787"/>
      <c r="E352" s="788"/>
      <c r="F352" s="789"/>
      <c r="G352" s="787"/>
      <c r="H352" s="787"/>
      <c r="I352" s="787"/>
      <c r="J352" s="790"/>
      <c r="K352" s="790"/>
      <c r="L352" s="787"/>
      <c r="M352" s="787"/>
    </row>
    <row r="353" spans="1:13" ht="15" x14ac:dyDescent="0.25">
      <c r="A353" s="736"/>
      <c r="B353" s="736"/>
      <c r="C353" s="736"/>
      <c r="D353" s="787"/>
      <c r="E353" s="788"/>
      <c r="F353" s="789"/>
      <c r="G353" s="787"/>
      <c r="H353" s="787"/>
      <c r="I353" s="787"/>
      <c r="J353" s="790"/>
      <c r="K353" s="790"/>
      <c r="L353" s="787"/>
      <c r="M353" s="787"/>
    </row>
    <row r="354" spans="1:13" ht="15" x14ac:dyDescent="0.25">
      <c r="A354" s="736"/>
      <c r="B354" s="736"/>
      <c r="C354" s="736"/>
      <c r="D354" s="787"/>
      <c r="E354" s="788"/>
      <c r="F354" s="789"/>
      <c r="G354" s="787"/>
      <c r="H354" s="787"/>
      <c r="I354" s="787"/>
      <c r="J354" s="790"/>
      <c r="K354" s="790"/>
      <c r="L354" s="787"/>
      <c r="M354" s="787"/>
    </row>
    <row r="355" spans="1:13" ht="15" x14ac:dyDescent="0.25">
      <c r="A355" s="736"/>
      <c r="B355" s="736"/>
      <c r="C355" s="736"/>
      <c r="D355" s="787"/>
      <c r="E355" s="788"/>
      <c r="F355" s="789"/>
      <c r="G355" s="787"/>
      <c r="H355" s="787"/>
      <c r="I355" s="787"/>
      <c r="J355" s="790"/>
      <c r="K355" s="790"/>
      <c r="L355" s="787"/>
      <c r="M355" s="787"/>
    </row>
    <row r="356" spans="1:13" ht="15" x14ac:dyDescent="0.25">
      <c r="A356" s="736"/>
      <c r="B356" s="736"/>
      <c r="C356" s="736"/>
      <c r="D356" s="787"/>
      <c r="E356" s="788"/>
      <c r="F356" s="789"/>
      <c r="G356" s="787"/>
      <c r="H356" s="787"/>
      <c r="I356" s="787"/>
      <c r="J356" s="790"/>
      <c r="K356" s="790"/>
      <c r="L356" s="787"/>
      <c r="M356" s="787"/>
    </row>
    <row r="357" spans="1:13" ht="15" x14ac:dyDescent="0.25">
      <c r="A357" s="736"/>
      <c r="B357" s="736"/>
      <c r="C357" s="736"/>
      <c r="D357" s="787"/>
      <c r="E357" s="788"/>
      <c r="F357" s="789"/>
      <c r="G357" s="787"/>
      <c r="H357" s="787"/>
      <c r="I357" s="787"/>
      <c r="J357" s="790"/>
      <c r="K357" s="790"/>
      <c r="L357" s="787"/>
      <c r="M357" s="787"/>
    </row>
    <row r="358" spans="1:13" ht="15" x14ac:dyDescent="0.25">
      <c r="A358" s="736"/>
      <c r="B358" s="736"/>
      <c r="C358" s="736"/>
      <c r="D358" s="787"/>
      <c r="E358" s="788"/>
      <c r="F358" s="789"/>
      <c r="G358" s="787"/>
      <c r="H358" s="787"/>
      <c r="I358" s="787"/>
      <c r="J358" s="790"/>
      <c r="K358" s="790"/>
      <c r="L358" s="787"/>
      <c r="M358" s="787"/>
    </row>
    <row r="359" spans="1:13" ht="15" x14ac:dyDescent="0.25">
      <c r="A359" s="736"/>
      <c r="B359" s="736"/>
      <c r="C359" s="736"/>
      <c r="D359" s="787"/>
      <c r="E359" s="788"/>
      <c r="F359" s="789"/>
      <c r="G359" s="787"/>
      <c r="H359" s="787"/>
      <c r="I359" s="787"/>
      <c r="J359" s="790"/>
      <c r="K359" s="790"/>
      <c r="L359" s="787"/>
      <c r="M359" s="787"/>
    </row>
    <row r="360" spans="1:13" ht="15" x14ac:dyDescent="0.25">
      <c r="A360" s="736"/>
      <c r="B360" s="736"/>
      <c r="C360" s="736"/>
      <c r="D360" s="787"/>
      <c r="E360" s="788"/>
      <c r="F360" s="789"/>
      <c r="G360" s="787"/>
      <c r="H360" s="787"/>
      <c r="I360" s="787"/>
      <c r="J360" s="790"/>
      <c r="K360" s="790"/>
      <c r="L360" s="787"/>
      <c r="M360" s="787"/>
    </row>
    <row r="361" spans="1:13" ht="15" x14ac:dyDescent="0.25">
      <c r="A361" s="736"/>
      <c r="B361" s="736"/>
      <c r="C361" s="736"/>
      <c r="D361" s="787"/>
      <c r="E361" s="788"/>
      <c r="F361" s="789"/>
      <c r="G361" s="787"/>
      <c r="H361" s="787"/>
      <c r="I361" s="787"/>
      <c r="J361" s="790"/>
      <c r="K361" s="790"/>
      <c r="L361" s="787"/>
      <c r="M361" s="787"/>
    </row>
    <row r="362" spans="1:13" ht="15" x14ac:dyDescent="0.25">
      <c r="A362" s="736"/>
      <c r="B362" s="736"/>
      <c r="C362" s="736"/>
      <c r="D362" s="787"/>
      <c r="E362" s="788"/>
      <c r="F362" s="789"/>
      <c r="G362" s="787"/>
      <c r="H362" s="787"/>
      <c r="I362" s="787"/>
      <c r="J362" s="790"/>
      <c r="K362" s="790"/>
      <c r="L362" s="787"/>
      <c r="M362" s="787"/>
    </row>
    <row r="363" spans="1:13" ht="15" x14ac:dyDescent="0.25">
      <c r="A363" s="736"/>
      <c r="B363" s="736"/>
      <c r="C363" s="736"/>
      <c r="D363" s="787"/>
      <c r="E363" s="788"/>
      <c r="F363" s="789"/>
      <c r="G363" s="787"/>
      <c r="H363" s="787"/>
      <c r="I363" s="787"/>
      <c r="J363" s="790"/>
      <c r="K363" s="790"/>
      <c r="L363" s="787"/>
      <c r="M363" s="787"/>
    </row>
    <row r="364" spans="1:13" ht="15" x14ac:dyDescent="0.25">
      <c r="A364" s="736"/>
      <c r="B364" s="736"/>
      <c r="C364" s="736"/>
      <c r="D364" s="787"/>
      <c r="E364" s="788"/>
      <c r="F364" s="789"/>
      <c r="G364" s="787"/>
      <c r="H364" s="787"/>
      <c r="I364" s="787"/>
      <c r="J364" s="790"/>
      <c r="K364" s="790"/>
      <c r="L364" s="787"/>
      <c r="M364" s="787"/>
    </row>
    <row r="365" spans="1:13" ht="15" x14ac:dyDescent="0.25">
      <c r="A365" s="736"/>
      <c r="B365" s="736"/>
      <c r="C365" s="736"/>
      <c r="D365" s="787"/>
      <c r="E365" s="788"/>
      <c r="F365" s="789"/>
      <c r="G365" s="787"/>
      <c r="H365" s="787"/>
      <c r="I365" s="787"/>
      <c r="J365" s="790"/>
      <c r="K365" s="790"/>
      <c r="L365" s="787"/>
      <c r="M365" s="787"/>
    </row>
    <row r="366" spans="1:13" ht="15" x14ac:dyDescent="0.25">
      <c r="A366" s="736"/>
      <c r="B366" s="736"/>
      <c r="C366" s="736"/>
      <c r="D366" s="787"/>
      <c r="E366" s="788"/>
      <c r="F366" s="789"/>
      <c r="G366" s="787"/>
      <c r="H366" s="787"/>
      <c r="I366" s="787"/>
      <c r="J366" s="790"/>
      <c r="K366" s="790"/>
      <c r="L366" s="787"/>
      <c r="M366" s="787"/>
    </row>
    <row r="367" spans="1:13" ht="15" x14ac:dyDescent="0.25">
      <c r="A367" s="736"/>
      <c r="B367" s="736"/>
      <c r="C367" s="736"/>
      <c r="D367" s="787"/>
      <c r="E367" s="788"/>
      <c r="F367" s="789"/>
      <c r="G367" s="787"/>
      <c r="H367" s="787"/>
      <c r="I367" s="787"/>
      <c r="J367" s="790"/>
      <c r="K367" s="790"/>
      <c r="L367" s="787"/>
      <c r="M367" s="787"/>
    </row>
    <row r="368" spans="1:13" ht="15" x14ac:dyDescent="0.25">
      <c r="A368" s="736"/>
      <c r="B368" s="736"/>
      <c r="C368" s="736"/>
      <c r="D368" s="787"/>
      <c r="E368" s="788"/>
      <c r="F368" s="789"/>
      <c r="G368" s="787"/>
      <c r="H368" s="787"/>
      <c r="I368" s="787"/>
      <c r="J368" s="790"/>
      <c r="K368" s="790"/>
      <c r="L368" s="787"/>
      <c r="M368" s="787"/>
    </row>
    <row r="369" spans="1:13" ht="15" x14ac:dyDescent="0.25">
      <c r="A369" s="736"/>
      <c r="B369" s="736"/>
      <c r="C369" s="736"/>
      <c r="D369" s="787"/>
      <c r="E369" s="788"/>
      <c r="F369" s="789"/>
      <c r="G369" s="787"/>
      <c r="H369" s="787"/>
      <c r="I369" s="787"/>
      <c r="J369" s="790"/>
      <c r="K369" s="790"/>
      <c r="L369" s="787"/>
      <c r="M369" s="787"/>
    </row>
    <row r="370" spans="1:13" ht="15" x14ac:dyDescent="0.25">
      <c r="A370" s="736"/>
      <c r="B370" s="736"/>
      <c r="C370" s="736"/>
      <c r="D370" s="787"/>
      <c r="E370" s="788"/>
      <c r="F370" s="789"/>
      <c r="G370" s="787"/>
      <c r="H370" s="787"/>
      <c r="I370" s="787"/>
      <c r="J370" s="790"/>
      <c r="K370" s="790"/>
      <c r="L370" s="787"/>
      <c r="M370" s="787"/>
    </row>
    <row r="371" spans="1:13" ht="15" x14ac:dyDescent="0.25">
      <c r="A371" s="736"/>
      <c r="B371" s="736"/>
      <c r="C371" s="736"/>
      <c r="D371" s="787"/>
      <c r="E371" s="788"/>
      <c r="F371" s="789"/>
      <c r="G371" s="787"/>
      <c r="H371" s="787"/>
      <c r="I371" s="787"/>
      <c r="J371" s="790"/>
      <c r="K371" s="790"/>
      <c r="L371" s="787"/>
      <c r="M371" s="787"/>
    </row>
    <row r="372" spans="1:13" ht="15" x14ac:dyDescent="0.25">
      <c r="A372" s="736"/>
      <c r="B372" s="736"/>
      <c r="C372" s="736"/>
      <c r="D372" s="787"/>
      <c r="E372" s="788"/>
      <c r="F372" s="789"/>
      <c r="G372" s="787"/>
      <c r="H372" s="787"/>
      <c r="I372" s="787"/>
      <c r="J372" s="790"/>
      <c r="K372" s="790"/>
      <c r="L372" s="787"/>
      <c r="M372" s="787"/>
    </row>
    <row r="373" spans="1:13" ht="15" x14ac:dyDescent="0.25">
      <c r="A373" s="736"/>
      <c r="B373" s="736"/>
      <c r="C373" s="736"/>
      <c r="D373" s="787"/>
      <c r="E373" s="788"/>
      <c r="F373" s="789"/>
      <c r="G373" s="787"/>
      <c r="H373" s="787"/>
      <c r="I373" s="787"/>
      <c r="J373" s="790"/>
      <c r="K373" s="790"/>
      <c r="L373" s="787"/>
      <c r="M373" s="787"/>
    </row>
    <row r="374" spans="1:13" ht="15" x14ac:dyDescent="0.25">
      <c r="A374" s="736"/>
      <c r="B374" s="736"/>
      <c r="C374" s="736"/>
      <c r="D374" s="787"/>
      <c r="E374" s="788"/>
      <c r="F374" s="789"/>
      <c r="G374" s="787"/>
      <c r="H374" s="787"/>
      <c r="I374" s="787"/>
      <c r="J374" s="790"/>
      <c r="K374" s="790"/>
      <c r="L374" s="787"/>
      <c r="M374" s="787"/>
    </row>
    <row r="375" spans="1:13" ht="15" x14ac:dyDescent="0.25">
      <c r="A375" s="736"/>
      <c r="B375" s="736"/>
      <c r="C375" s="736"/>
      <c r="D375" s="787"/>
      <c r="E375" s="788"/>
      <c r="F375" s="789"/>
      <c r="G375" s="787"/>
      <c r="H375" s="787"/>
      <c r="I375" s="787"/>
      <c r="J375" s="790"/>
      <c r="K375" s="790"/>
      <c r="L375" s="787"/>
      <c r="M375" s="787"/>
    </row>
    <row r="376" spans="1:13" ht="15" x14ac:dyDescent="0.25">
      <c r="A376" s="736"/>
      <c r="B376" s="736"/>
      <c r="C376" s="736"/>
      <c r="D376" s="787"/>
      <c r="E376" s="788"/>
      <c r="F376" s="789"/>
      <c r="G376" s="787"/>
      <c r="H376" s="787"/>
      <c r="I376" s="787"/>
      <c r="J376" s="790"/>
      <c r="K376" s="790"/>
      <c r="L376" s="787"/>
      <c r="M376" s="787"/>
    </row>
    <row r="377" spans="1:13" ht="15" x14ac:dyDescent="0.25">
      <c r="A377" s="736"/>
      <c r="B377" s="736"/>
      <c r="C377" s="736"/>
      <c r="D377" s="787"/>
      <c r="E377" s="788"/>
      <c r="F377" s="789"/>
      <c r="G377" s="787"/>
      <c r="H377" s="787"/>
      <c r="I377" s="787"/>
      <c r="J377" s="790"/>
      <c r="K377" s="790"/>
      <c r="L377" s="787"/>
      <c r="M377" s="787"/>
    </row>
    <row r="378" spans="1:13" ht="15" x14ac:dyDescent="0.25">
      <c r="A378" s="736"/>
      <c r="B378" s="736"/>
      <c r="C378" s="736"/>
      <c r="D378" s="787"/>
      <c r="E378" s="788"/>
      <c r="F378" s="789"/>
      <c r="G378" s="787"/>
      <c r="H378" s="787"/>
      <c r="I378" s="787"/>
      <c r="J378" s="790"/>
      <c r="K378" s="790"/>
      <c r="L378" s="787"/>
      <c r="M378" s="787"/>
    </row>
    <row r="379" spans="1:13" ht="15" x14ac:dyDescent="0.25">
      <c r="A379" s="736"/>
      <c r="B379" s="736"/>
      <c r="C379" s="736"/>
      <c r="D379" s="787"/>
      <c r="E379" s="788"/>
      <c r="F379" s="789"/>
      <c r="G379" s="787"/>
      <c r="H379" s="787"/>
      <c r="I379" s="787"/>
      <c r="J379" s="790"/>
      <c r="K379" s="790"/>
      <c r="L379" s="787"/>
      <c r="M379" s="787"/>
    </row>
    <row r="380" spans="1:13" ht="15" x14ac:dyDescent="0.25">
      <c r="A380" s="736"/>
      <c r="B380" s="736"/>
      <c r="C380" s="736"/>
      <c r="D380" s="787"/>
      <c r="E380" s="788"/>
      <c r="F380" s="789"/>
      <c r="G380" s="787"/>
      <c r="H380" s="787"/>
      <c r="I380" s="787"/>
      <c r="J380" s="790"/>
      <c r="K380" s="790"/>
      <c r="L380" s="787"/>
      <c r="M380" s="787"/>
    </row>
    <row r="381" spans="1:13" ht="15" x14ac:dyDescent="0.25">
      <c r="A381" s="736"/>
      <c r="B381" s="736"/>
      <c r="C381" s="736"/>
      <c r="D381" s="787"/>
      <c r="E381" s="788"/>
      <c r="F381" s="789"/>
      <c r="G381" s="787"/>
      <c r="H381" s="787"/>
      <c r="I381" s="787"/>
      <c r="J381" s="790"/>
      <c r="K381" s="790"/>
      <c r="L381" s="787"/>
      <c r="M381" s="787"/>
    </row>
    <row r="382" spans="1:13" ht="15" x14ac:dyDescent="0.25">
      <c r="A382" s="736"/>
      <c r="B382" s="736"/>
      <c r="C382" s="736"/>
      <c r="D382" s="787"/>
      <c r="E382" s="788"/>
      <c r="F382" s="789"/>
      <c r="G382" s="787"/>
      <c r="H382" s="787"/>
      <c r="I382" s="787"/>
      <c r="J382" s="790"/>
      <c r="K382" s="790"/>
      <c r="L382" s="787"/>
      <c r="M382" s="787"/>
    </row>
    <row r="383" spans="1:13" ht="15" x14ac:dyDescent="0.25">
      <c r="A383" s="736"/>
      <c r="B383" s="736"/>
      <c r="C383" s="736"/>
      <c r="D383" s="787"/>
      <c r="E383" s="788"/>
      <c r="F383" s="789"/>
      <c r="G383" s="787"/>
      <c r="H383" s="787"/>
      <c r="I383" s="787"/>
      <c r="J383" s="790"/>
      <c r="K383" s="790"/>
      <c r="L383" s="787"/>
      <c r="M383" s="787"/>
    </row>
    <row r="384" spans="1:13" ht="15" x14ac:dyDescent="0.25">
      <c r="A384" s="736"/>
      <c r="B384" s="736"/>
      <c r="C384" s="736"/>
      <c r="D384" s="787"/>
      <c r="E384" s="788"/>
      <c r="F384" s="789"/>
      <c r="G384" s="787"/>
      <c r="H384" s="787"/>
      <c r="I384" s="787"/>
      <c r="J384" s="790"/>
      <c r="K384" s="790"/>
      <c r="L384" s="787"/>
      <c r="M384" s="787"/>
    </row>
    <row r="385" spans="1:13" ht="15" x14ac:dyDescent="0.25">
      <c r="A385" s="736"/>
      <c r="B385" s="736"/>
      <c r="C385" s="736"/>
      <c r="D385" s="787"/>
      <c r="E385" s="788"/>
      <c r="F385" s="789"/>
      <c r="G385" s="787"/>
      <c r="H385" s="787"/>
      <c r="I385" s="787"/>
      <c r="J385" s="790"/>
      <c r="K385" s="790"/>
      <c r="L385" s="787"/>
      <c r="M385" s="787"/>
    </row>
    <row r="386" spans="1:13" ht="15" x14ac:dyDescent="0.25">
      <c r="A386" s="736"/>
      <c r="B386" s="736"/>
      <c r="C386" s="736"/>
      <c r="D386" s="787"/>
      <c r="E386" s="788"/>
      <c r="F386" s="789"/>
      <c r="G386" s="787"/>
      <c r="H386" s="787"/>
      <c r="I386" s="787"/>
      <c r="J386" s="790"/>
      <c r="K386" s="790"/>
      <c r="L386" s="787"/>
      <c r="M386" s="787"/>
    </row>
    <row r="387" spans="1:13" ht="15" x14ac:dyDescent="0.25">
      <c r="A387" s="736"/>
      <c r="B387" s="736"/>
      <c r="C387" s="736"/>
      <c r="D387" s="787"/>
      <c r="E387" s="788"/>
      <c r="F387" s="789"/>
      <c r="G387" s="787"/>
      <c r="H387" s="787"/>
      <c r="I387" s="787"/>
      <c r="J387" s="790"/>
      <c r="K387" s="790"/>
      <c r="L387" s="787"/>
      <c r="M387" s="787"/>
    </row>
    <row r="388" spans="1:13" ht="15" x14ac:dyDescent="0.25">
      <c r="A388" s="736"/>
      <c r="B388" s="736"/>
      <c r="C388" s="736"/>
      <c r="D388" s="787"/>
      <c r="E388" s="788"/>
      <c r="F388" s="789"/>
      <c r="G388" s="787"/>
      <c r="H388" s="787"/>
      <c r="I388" s="787"/>
      <c r="J388" s="790"/>
      <c r="K388" s="790"/>
      <c r="L388" s="787"/>
      <c r="M388" s="787"/>
    </row>
    <row r="389" spans="1:13" ht="15" x14ac:dyDescent="0.25">
      <c r="A389" s="736"/>
      <c r="B389" s="736"/>
      <c r="C389" s="736"/>
      <c r="D389" s="787"/>
      <c r="E389" s="788"/>
      <c r="F389" s="789"/>
      <c r="G389" s="787"/>
      <c r="H389" s="787"/>
      <c r="I389" s="787"/>
      <c r="J389" s="790"/>
      <c r="K389" s="790"/>
      <c r="L389" s="787"/>
      <c r="M389" s="787"/>
    </row>
    <row r="390" spans="1:13" ht="15" x14ac:dyDescent="0.25">
      <c r="A390" s="736"/>
      <c r="B390" s="736"/>
      <c r="C390" s="736"/>
      <c r="D390" s="787"/>
      <c r="E390" s="788"/>
      <c r="F390" s="789"/>
      <c r="G390" s="787"/>
      <c r="H390" s="787"/>
      <c r="I390" s="787"/>
      <c r="J390" s="790"/>
      <c r="K390" s="790"/>
      <c r="L390" s="787"/>
      <c r="M390" s="787"/>
    </row>
    <row r="391" spans="1:13" ht="15" x14ac:dyDescent="0.25">
      <c r="A391" s="736"/>
      <c r="B391" s="736"/>
      <c r="C391" s="736"/>
      <c r="D391" s="787"/>
      <c r="E391" s="788"/>
      <c r="F391" s="789"/>
      <c r="G391" s="787"/>
      <c r="H391" s="787"/>
      <c r="I391" s="787"/>
      <c r="J391" s="790"/>
      <c r="K391" s="790"/>
      <c r="L391" s="787"/>
      <c r="M391" s="787"/>
    </row>
    <row r="392" spans="1:13" ht="15" x14ac:dyDescent="0.25">
      <c r="A392" s="736"/>
      <c r="B392" s="736"/>
      <c r="C392" s="736"/>
      <c r="D392" s="787"/>
      <c r="E392" s="788"/>
      <c r="F392" s="789"/>
      <c r="G392" s="787"/>
      <c r="H392" s="787"/>
      <c r="I392" s="787"/>
      <c r="J392" s="790"/>
      <c r="K392" s="790"/>
      <c r="L392" s="787"/>
      <c r="M392" s="787"/>
    </row>
    <row r="393" spans="1:13" ht="15" x14ac:dyDescent="0.25">
      <c r="A393" s="736"/>
      <c r="B393" s="736"/>
      <c r="C393" s="736"/>
      <c r="D393" s="787"/>
      <c r="E393" s="788"/>
      <c r="F393" s="789"/>
      <c r="G393" s="787"/>
      <c r="H393" s="787"/>
      <c r="I393" s="787"/>
      <c r="J393" s="790"/>
      <c r="K393" s="790"/>
      <c r="L393" s="787"/>
      <c r="M393" s="787"/>
    </row>
    <row r="394" spans="1:13" ht="15" x14ac:dyDescent="0.25">
      <c r="A394" s="736"/>
      <c r="B394" s="736"/>
      <c r="C394" s="736"/>
      <c r="D394" s="787"/>
      <c r="E394" s="788"/>
      <c r="F394" s="789"/>
      <c r="G394" s="787"/>
      <c r="H394" s="787"/>
      <c r="I394" s="787"/>
      <c r="J394" s="790"/>
      <c r="K394" s="790"/>
      <c r="L394" s="787"/>
      <c r="M394" s="787"/>
    </row>
    <row r="395" spans="1:13" ht="15" x14ac:dyDescent="0.25">
      <c r="A395" s="736"/>
      <c r="B395" s="736"/>
      <c r="C395" s="736"/>
      <c r="D395" s="787"/>
      <c r="E395" s="788"/>
      <c r="F395" s="789"/>
      <c r="G395" s="787"/>
      <c r="H395" s="787"/>
      <c r="I395" s="787"/>
      <c r="J395" s="790"/>
      <c r="K395" s="790"/>
      <c r="L395" s="787"/>
      <c r="M395" s="787"/>
    </row>
    <row r="396" spans="1:13" ht="15" x14ac:dyDescent="0.25">
      <c r="A396" s="736"/>
      <c r="B396" s="736"/>
      <c r="C396" s="736"/>
      <c r="D396" s="787"/>
      <c r="E396" s="788"/>
      <c r="F396" s="789"/>
      <c r="G396" s="787"/>
      <c r="H396" s="787"/>
      <c r="I396" s="787"/>
      <c r="J396" s="790"/>
      <c r="K396" s="790"/>
      <c r="L396" s="787"/>
      <c r="M396" s="787"/>
    </row>
    <row r="397" spans="1:13" ht="15" x14ac:dyDescent="0.25">
      <c r="A397" s="736"/>
      <c r="B397" s="736"/>
      <c r="C397" s="736"/>
      <c r="D397" s="787"/>
      <c r="E397" s="788"/>
      <c r="F397" s="789"/>
      <c r="G397" s="787"/>
      <c r="H397" s="787"/>
      <c r="I397" s="787"/>
      <c r="J397" s="790"/>
      <c r="K397" s="790"/>
      <c r="L397" s="787"/>
      <c r="M397" s="787"/>
    </row>
    <row r="398" spans="1:13" ht="15" x14ac:dyDescent="0.25">
      <c r="A398" s="736"/>
      <c r="B398" s="736"/>
      <c r="C398" s="736"/>
      <c r="D398" s="787"/>
      <c r="E398" s="788"/>
      <c r="F398" s="789"/>
      <c r="G398" s="787"/>
      <c r="H398" s="787"/>
      <c r="I398" s="787"/>
      <c r="J398" s="790"/>
      <c r="K398" s="790"/>
      <c r="L398" s="787"/>
      <c r="M398" s="787"/>
    </row>
    <row r="399" spans="1:13" ht="15" x14ac:dyDescent="0.25">
      <c r="A399" s="736"/>
      <c r="B399" s="736"/>
      <c r="C399" s="736"/>
      <c r="D399" s="787"/>
      <c r="E399" s="788"/>
      <c r="F399" s="789"/>
      <c r="G399" s="787"/>
      <c r="H399" s="787"/>
      <c r="I399" s="787"/>
      <c r="J399" s="790"/>
      <c r="K399" s="790"/>
      <c r="L399" s="787"/>
      <c r="M399" s="787"/>
    </row>
    <row r="400" spans="1:13" ht="15" x14ac:dyDescent="0.25">
      <c r="A400" s="736"/>
      <c r="B400" s="736"/>
      <c r="C400" s="736"/>
      <c r="D400" s="787"/>
      <c r="E400" s="788"/>
      <c r="F400" s="789"/>
      <c r="G400" s="787"/>
      <c r="H400" s="787"/>
      <c r="I400" s="787"/>
      <c r="J400" s="790"/>
      <c r="K400" s="790"/>
      <c r="L400" s="787"/>
      <c r="M400" s="787"/>
    </row>
    <row r="401" spans="1:13" ht="15" x14ac:dyDescent="0.25">
      <c r="A401" s="736"/>
      <c r="B401" s="736"/>
      <c r="C401" s="736"/>
      <c r="D401" s="787"/>
      <c r="E401" s="788"/>
      <c r="F401" s="789"/>
      <c r="G401" s="787"/>
      <c r="H401" s="787"/>
      <c r="I401" s="787"/>
      <c r="J401" s="790"/>
      <c r="K401" s="790"/>
      <c r="L401" s="787"/>
      <c r="M401" s="787"/>
    </row>
    <row r="402" spans="1:13" ht="15" x14ac:dyDescent="0.25">
      <c r="A402" s="736"/>
      <c r="B402" s="736"/>
      <c r="C402" s="736"/>
      <c r="D402" s="787"/>
      <c r="E402" s="788"/>
      <c r="F402" s="789"/>
      <c r="G402" s="787"/>
      <c r="H402" s="787"/>
      <c r="I402" s="787"/>
      <c r="J402" s="790"/>
      <c r="K402" s="790"/>
      <c r="L402" s="787"/>
      <c r="M402" s="787"/>
    </row>
    <row r="403" spans="1:13" ht="15" x14ac:dyDescent="0.25">
      <c r="A403" s="736"/>
      <c r="B403" s="736"/>
      <c r="C403" s="736"/>
      <c r="D403" s="787"/>
      <c r="E403" s="788"/>
      <c r="F403" s="789"/>
      <c r="G403" s="787"/>
      <c r="H403" s="787"/>
      <c r="I403" s="787"/>
      <c r="J403" s="790"/>
      <c r="K403" s="790"/>
      <c r="L403" s="787"/>
      <c r="M403" s="787"/>
    </row>
    <row r="404" spans="1:13" ht="15" x14ac:dyDescent="0.25">
      <c r="A404" s="736"/>
      <c r="B404" s="736"/>
      <c r="C404" s="736"/>
      <c r="D404" s="787"/>
      <c r="E404" s="788"/>
      <c r="F404" s="789"/>
      <c r="G404" s="787"/>
      <c r="H404" s="787"/>
      <c r="I404" s="787"/>
      <c r="J404" s="790"/>
      <c r="K404" s="790"/>
      <c r="L404" s="787"/>
      <c r="M404" s="787"/>
    </row>
    <row r="405" spans="1:13" ht="15" x14ac:dyDescent="0.25">
      <c r="A405" s="736"/>
      <c r="B405" s="736"/>
      <c r="C405" s="736"/>
      <c r="D405" s="787"/>
      <c r="E405" s="788"/>
      <c r="F405" s="789"/>
      <c r="G405" s="787"/>
      <c r="H405" s="787"/>
      <c r="I405" s="787"/>
      <c r="J405" s="790"/>
      <c r="K405" s="790"/>
      <c r="L405" s="787"/>
      <c r="M405" s="787"/>
    </row>
    <row r="406" spans="1:13" ht="15" x14ac:dyDescent="0.25">
      <c r="A406" s="736"/>
      <c r="B406" s="736"/>
      <c r="C406" s="736"/>
      <c r="D406" s="787"/>
      <c r="E406" s="788"/>
      <c r="F406" s="789"/>
      <c r="G406" s="787"/>
      <c r="H406" s="787"/>
      <c r="I406" s="787"/>
      <c r="J406" s="790"/>
      <c r="K406" s="790"/>
      <c r="L406" s="787"/>
      <c r="M406" s="787"/>
    </row>
    <row r="407" spans="1:13" ht="15" x14ac:dyDescent="0.25">
      <c r="A407" s="736"/>
      <c r="B407" s="736"/>
      <c r="C407" s="736"/>
      <c r="D407" s="787"/>
      <c r="E407" s="788"/>
      <c r="F407" s="789"/>
      <c r="G407" s="787"/>
      <c r="H407" s="787"/>
      <c r="I407" s="787"/>
      <c r="J407" s="790"/>
      <c r="K407" s="790"/>
      <c r="L407" s="787"/>
      <c r="M407" s="787"/>
    </row>
    <row r="408" spans="1:13" ht="15" x14ac:dyDescent="0.25">
      <c r="A408" s="736"/>
      <c r="B408" s="736"/>
      <c r="C408" s="736"/>
      <c r="D408" s="787"/>
      <c r="E408" s="788"/>
      <c r="F408" s="789"/>
      <c r="G408" s="787"/>
      <c r="H408" s="787"/>
      <c r="I408" s="787"/>
      <c r="J408" s="790"/>
      <c r="K408" s="790"/>
      <c r="L408" s="787"/>
      <c r="M408" s="787"/>
    </row>
    <row r="409" spans="1:13" ht="15" x14ac:dyDescent="0.25">
      <c r="A409" s="736"/>
      <c r="B409" s="736"/>
      <c r="C409" s="736"/>
      <c r="D409" s="787"/>
      <c r="E409" s="788"/>
      <c r="F409" s="789"/>
      <c r="G409" s="787"/>
      <c r="H409" s="787"/>
      <c r="I409" s="787"/>
      <c r="J409" s="790"/>
      <c r="K409" s="790"/>
      <c r="L409" s="787"/>
      <c r="M409" s="787"/>
    </row>
    <row r="410" spans="1:13" ht="15" x14ac:dyDescent="0.25">
      <c r="A410" s="736"/>
      <c r="B410" s="736"/>
      <c r="C410" s="736"/>
      <c r="D410" s="787"/>
      <c r="E410" s="788"/>
      <c r="F410" s="789"/>
      <c r="G410" s="787"/>
      <c r="H410" s="787"/>
      <c r="I410" s="787"/>
      <c r="J410" s="790"/>
      <c r="K410" s="790"/>
      <c r="L410" s="787"/>
      <c r="M410" s="787"/>
    </row>
    <row r="411" spans="1:13" ht="15" x14ac:dyDescent="0.25">
      <c r="A411" s="736"/>
      <c r="B411" s="736"/>
      <c r="C411" s="736"/>
      <c r="D411" s="787"/>
      <c r="E411" s="788"/>
      <c r="F411" s="789"/>
      <c r="G411" s="787"/>
      <c r="H411" s="787"/>
      <c r="I411" s="787"/>
      <c r="J411" s="790"/>
      <c r="K411" s="790"/>
      <c r="L411" s="787"/>
      <c r="M411" s="787"/>
    </row>
    <row r="412" spans="1:13" ht="15" x14ac:dyDescent="0.25">
      <c r="A412" s="736"/>
      <c r="B412" s="736"/>
      <c r="C412" s="736"/>
      <c r="D412" s="787"/>
      <c r="E412" s="788"/>
      <c r="F412" s="789"/>
      <c r="G412" s="787"/>
      <c r="H412" s="787"/>
      <c r="I412" s="787"/>
      <c r="J412" s="790"/>
      <c r="K412" s="790"/>
      <c r="L412" s="787"/>
      <c r="M412" s="787"/>
    </row>
    <row r="413" spans="1:13" ht="15" x14ac:dyDescent="0.25">
      <c r="A413" s="736"/>
      <c r="B413" s="736"/>
      <c r="C413" s="736"/>
      <c r="D413" s="787"/>
      <c r="E413" s="788"/>
      <c r="F413" s="789"/>
      <c r="G413" s="787"/>
      <c r="H413" s="787"/>
      <c r="I413" s="787"/>
      <c r="J413" s="790"/>
      <c r="K413" s="790"/>
      <c r="L413" s="787"/>
      <c r="M413" s="787"/>
    </row>
    <row r="414" spans="1:13" ht="15" x14ac:dyDescent="0.25">
      <c r="A414" s="736"/>
      <c r="B414" s="736"/>
      <c r="C414" s="736"/>
      <c r="D414" s="787"/>
      <c r="E414" s="788"/>
      <c r="F414" s="789"/>
      <c r="G414" s="787"/>
      <c r="H414" s="787"/>
      <c r="I414" s="787"/>
      <c r="J414" s="790"/>
      <c r="K414" s="790"/>
      <c r="L414" s="787"/>
      <c r="M414" s="787"/>
    </row>
    <row r="415" spans="1:13" ht="15" x14ac:dyDescent="0.25">
      <c r="A415" s="736"/>
      <c r="B415" s="736"/>
      <c r="C415" s="736"/>
      <c r="D415" s="787"/>
      <c r="E415" s="788"/>
      <c r="F415" s="789"/>
      <c r="G415" s="787"/>
      <c r="H415" s="787"/>
      <c r="I415" s="787"/>
      <c r="J415" s="790"/>
      <c r="K415" s="790"/>
      <c r="L415" s="787"/>
      <c r="M415" s="787"/>
    </row>
    <row r="416" spans="1:13" ht="15" x14ac:dyDescent="0.25">
      <c r="A416" s="736"/>
      <c r="B416" s="736"/>
      <c r="C416" s="736"/>
      <c r="D416" s="787"/>
      <c r="E416" s="788"/>
      <c r="F416" s="789"/>
      <c r="G416" s="787"/>
      <c r="H416" s="787"/>
      <c r="I416" s="787"/>
      <c r="J416" s="790"/>
      <c r="K416" s="790"/>
      <c r="L416" s="787"/>
      <c r="M416" s="787"/>
    </row>
    <row r="417" spans="1:13" ht="15" x14ac:dyDescent="0.25">
      <c r="A417" s="736"/>
      <c r="B417" s="736"/>
      <c r="C417" s="736"/>
      <c r="D417" s="787"/>
      <c r="E417" s="788"/>
      <c r="F417" s="789"/>
      <c r="G417" s="787"/>
      <c r="H417" s="787"/>
      <c r="I417" s="787"/>
      <c r="J417" s="790"/>
      <c r="K417" s="790"/>
      <c r="L417" s="787"/>
      <c r="M417" s="787"/>
    </row>
    <row r="418" spans="1:13" ht="15" x14ac:dyDescent="0.25">
      <c r="A418" s="736"/>
      <c r="B418" s="736"/>
      <c r="C418" s="736"/>
      <c r="D418" s="787"/>
      <c r="E418" s="788"/>
      <c r="F418" s="789"/>
      <c r="G418" s="787"/>
      <c r="H418" s="787"/>
      <c r="I418" s="787"/>
      <c r="J418" s="790"/>
      <c r="K418" s="790"/>
      <c r="L418" s="787"/>
      <c r="M418" s="787"/>
    </row>
    <row r="419" spans="1:13" ht="15" x14ac:dyDescent="0.25">
      <c r="A419" s="736"/>
      <c r="B419" s="736"/>
      <c r="C419" s="736"/>
      <c r="D419" s="787"/>
      <c r="E419" s="788"/>
      <c r="F419" s="789"/>
      <c r="G419" s="787"/>
      <c r="H419" s="787"/>
      <c r="I419" s="787"/>
      <c r="J419" s="790"/>
      <c r="K419" s="790"/>
      <c r="L419" s="787"/>
      <c r="M419" s="787"/>
    </row>
    <row r="420" spans="1:13" ht="15" x14ac:dyDescent="0.25">
      <c r="A420" s="736"/>
      <c r="B420" s="736"/>
      <c r="C420" s="736"/>
      <c r="D420" s="787"/>
      <c r="E420" s="788"/>
      <c r="F420" s="789"/>
      <c r="G420" s="787"/>
      <c r="H420" s="787"/>
      <c r="I420" s="787"/>
      <c r="J420" s="790"/>
      <c r="K420" s="790"/>
      <c r="L420" s="787"/>
      <c r="M420" s="787"/>
    </row>
    <row r="421" spans="1:13" ht="15" x14ac:dyDescent="0.25">
      <c r="A421" s="736"/>
      <c r="B421" s="736"/>
      <c r="C421" s="736"/>
      <c r="D421" s="787"/>
      <c r="E421" s="788"/>
      <c r="F421" s="789"/>
      <c r="G421" s="787"/>
      <c r="H421" s="787"/>
      <c r="I421" s="787"/>
      <c r="J421" s="790"/>
      <c r="K421" s="790"/>
      <c r="L421" s="787"/>
      <c r="M421" s="787"/>
    </row>
    <row r="422" spans="1:13" ht="15" x14ac:dyDescent="0.25">
      <c r="A422" s="736"/>
      <c r="B422" s="736"/>
      <c r="C422" s="736"/>
      <c r="D422" s="787"/>
      <c r="E422" s="788"/>
      <c r="F422" s="789"/>
      <c r="G422" s="787"/>
      <c r="H422" s="787"/>
      <c r="I422" s="787"/>
      <c r="J422" s="790"/>
      <c r="K422" s="790"/>
      <c r="L422" s="787"/>
      <c r="M422" s="787"/>
    </row>
    <row r="423" spans="1:13" ht="15" x14ac:dyDescent="0.25">
      <c r="A423" s="736"/>
      <c r="B423" s="736"/>
      <c r="C423" s="736"/>
      <c r="D423" s="787"/>
      <c r="E423" s="788"/>
      <c r="F423" s="789"/>
      <c r="G423" s="787"/>
      <c r="H423" s="787"/>
      <c r="I423" s="787"/>
      <c r="J423" s="790"/>
      <c r="K423" s="790"/>
      <c r="L423" s="787"/>
      <c r="M423" s="787"/>
    </row>
    <row r="424" spans="1:13" ht="15" x14ac:dyDescent="0.25">
      <c r="A424" s="736"/>
      <c r="B424" s="736"/>
      <c r="C424" s="736"/>
      <c r="D424" s="787"/>
      <c r="E424" s="788"/>
      <c r="F424" s="789"/>
      <c r="G424" s="787"/>
      <c r="H424" s="787"/>
      <c r="I424" s="787"/>
      <c r="J424" s="790"/>
      <c r="K424" s="790"/>
      <c r="L424" s="787"/>
      <c r="M424" s="787"/>
    </row>
    <row r="425" spans="1:13" ht="15" x14ac:dyDescent="0.25">
      <c r="A425" s="736"/>
      <c r="B425" s="736"/>
      <c r="C425" s="736"/>
      <c r="D425" s="787"/>
      <c r="E425" s="788"/>
      <c r="F425" s="789"/>
      <c r="G425" s="787"/>
      <c r="H425" s="787"/>
      <c r="I425" s="787"/>
      <c r="J425" s="790"/>
      <c r="K425" s="790"/>
      <c r="L425" s="787"/>
      <c r="M425" s="787"/>
    </row>
    <row r="426" spans="1:13" ht="15" x14ac:dyDescent="0.25">
      <c r="A426" s="736"/>
      <c r="B426" s="736"/>
      <c r="C426" s="736"/>
      <c r="D426" s="787"/>
      <c r="E426" s="788"/>
      <c r="F426" s="789"/>
      <c r="G426" s="787"/>
      <c r="H426" s="787"/>
      <c r="I426" s="787"/>
      <c r="J426" s="790"/>
      <c r="K426" s="790"/>
      <c r="L426" s="787"/>
      <c r="M426" s="787"/>
    </row>
    <row r="427" spans="1:13" ht="15" x14ac:dyDescent="0.25">
      <c r="A427" s="736"/>
      <c r="B427" s="736"/>
      <c r="C427" s="736"/>
      <c r="D427" s="787"/>
      <c r="E427" s="788"/>
      <c r="F427" s="789"/>
      <c r="G427" s="787"/>
      <c r="H427" s="787"/>
      <c r="I427" s="787"/>
      <c r="J427" s="790"/>
      <c r="K427" s="790"/>
      <c r="L427" s="787"/>
      <c r="M427" s="787"/>
    </row>
    <row r="428" spans="1:13" ht="15" x14ac:dyDescent="0.25">
      <c r="A428" s="736"/>
      <c r="B428" s="736"/>
      <c r="C428" s="736"/>
      <c r="D428" s="787"/>
      <c r="E428" s="788"/>
      <c r="F428" s="789"/>
      <c r="G428" s="787"/>
      <c r="H428" s="787"/>
      <c r="I428" s="787"/>
      <c r="J428" s="790"/>
      <c r="K428" s="790"/>
      <c r="L428" s="787"/>
      <c r="M428" s="787"/>
    </row>
    <row r="429" spans="1:13" ht="15" x14ac:dyDescent="0.25">
      <c r="A429" s="736"/>
      <c r="B429" s="736"/>
      <c r="C429" s="736"/>
      <c r="D429" s="787"/>
      <c r="E429" s="788"/>
      <c r="F429" s="789"/>
      <c r="G429" s="787"/>
      <c r="H429" s="787"/>
      <c r="I429" s="787"/>
      <c r="J429" s="790"/>
      <c r="K429" s="790"/>
      <c r="L429" s="787"/>
      <c r="M429" s="787"/>
    </row>
    <row r="430" spans="1:13" ht="15" x14ac:dyDescent="0.25">
      <c r="A430" s="736"/>
      <c r="B430" s="736"/>
      <c r="C430" s="736"/>
      <c r="D430" s="787"/>
      <c r="E430" s="788"/>
      <c r="F430" s="789"/>
      <c r="G430" s="787"/>
      <c r="H430" s="787"/>
      <c r="I430" s="787"/>
      <c r="J430" s="790"/>
      <c r="K430" s="790"/>
      <c r="L430" s="787"/>
      <c r="M430" s="787"/>
    </row>
    <row r="431" spans="1:13" ht="15" x14ac:dyDescent="0.25">
      <c r="A431" s="736"/>
      <c r="B431" s="736"/>
      <c r="C431" s="736"/>
      <c r="D431" s="787"/>
      <c r="E431" s="788"/>
      <c r="F431" s="789"/>
      <c r="G431" s="787"/>
      <c r="H431" s="787"/>
      <c r="I431" s="787"/>
      <c r="J431" s="790"/>
      <c r="K431" s="790"/>
      <c r="L431" s="787"/>
      <c r="M431" s="787"/>
    </row>
    <row r="432" spans="1:13" ht="15" x14ac:dyDescent="0.25">
      <c r="A432" s="736"/>
      <c r="B432" s="736"/>
      <c r="C432" s="736"/>
      <c r="D432" s="787"/>
      <c r="E432" s="788"/>
      <c r="F432" s="789"/>
      <c r="G432" s="787"/>
      <c r="H432" s="787"/>
      <c r="I432" s="787"/>
      <c r="J432" s="790"/>
      <c r="K432" s="790"/>
      <c r="L432" s="787"/>
      <c r="M432" s="787"/>
    </row>
    <row r="433" spans="1:13" ht="15" x14ac:dyDescent="0.25">
      <c r="A433" s="736"/>
      <c r="B433" s="736"/>
      <c r="C433" s="736"/>
      <c r="D433" s="787"/>
      <c r="E433" s="788"/>
      <c r="F433" s="789"/>
      <c r="G433" s="787"/>
      <c r="H433" s="787"/>
      <c r="I433" s="787"/>
      <c r="J433" s="790"/>
      <c r="K433" s="790"/>
      <c r="L433" s="787"/>
      <c r="M433" s="787"/>
    </row>
    <row r="434" spans="1:13" ht="15" x14ac:dyDescent="0.25">
      <c r="A434" s="736"/>
      <c r="B434" s="736"/>
      <c r="C434" s="736"/>
      <c r="D434" s="787"/>
      <c r="E434" s="788"/>
      <c r="F434" s="789"/>
      <c r="G434" s="787"/>
      <c r="H434" s="787"/>
      <c r="I434" s="787"/>
      <c r="J434" s="790"/>
      <c r="K434" s="790"/>
      <c r="L434" s="787"/>
      <c r="M434" s="787"/>
    </row>
    <row r="435" spans="1:13" ht="15" x14ac:dyDescent="0.25">
      <c r="A435" s="736"/>
      <c r="B435" s="736"/>
      <c r="C435" s="736"/>
      <c r="D435" s="787"/>
      <c r="E435" s="788"/>
      <c r="F435" s="789"/>
      <c r="G435" s="787"/>
      <c r="H435" s="787"/>
      <c r="I435" s="787"/>
      <c r="J435" s="790"/>
      <c r="K435" s="790"/>
      <c r="L435" s="787"/>
      <c r="M435" s="787"/>
    </row>
    <row r="436" spans="1:13" ht="15" x14ac:dyDescent="0.25">
      <c r="A436" s="736"/>
      <c r="B436" s="736"/>
      <c r="C436" s="736"/>
      <c r="D436" s="787"/>
      <c r="E436" s="788"/>
      <c r="F436" s="789"/>
      <c r="G436" s="787"/>
      <c r="H436" s="787"/>
      <c r="I436" s="787"/>
      <c r="J436" s="790"/>
      <c r="K436" s="790"/>
      <c r="L436" s="787"/>
      <c r="M436" s="787"/>
    </row>
    <row r="437" spans="1:13" ht="15" x14ac:dyDescent="0.25">
      <c r="A437" s="736"/>
      <c r="B437" s="736"/>
      <c r="C437" s="736"/>
      <c r="D437" s="787"/>
      <c r="E437" s="788"/>
      <c r="F437" s="789"/>
      <c r="G437" s="787"/>
      <c r="H437" s="787"/>
      <c r="I437" s="787"/>
      <c r="J437" s="790"/>
      <c r="K437" s="790"/>
      <c r="L437" s="787"/>
      <c r="M437" s="787"/>
    </row>
    <row r="438" spans="1:13" ht="15" x14ac:dyDescent="0.25">
      <c r="A438" s="736"/>
      <c r="B438" s="736"/>
      <c r="C438" s="736"/>
      <c r="D438" s="787"/>
      <c r="E438" s="788"/>
      <c r="F438" s="789"/>
      <c r="G438" s="787"/>
      <c r="H438" s="787"/>
      <c r="I438" s="787"/>
      <c r="J438" s="790"/>
      <c r="K438" s="790"/>
      <c r="L438" s="787"/>
      <c r="M438" s="787"/>
    </row>
    <row r="439" spans="1:13" ht="15" x14ac:dyDescent="0.25">
      <c r="A439" s="736"/>
      <c r="B439" s="736"/>
      <c r="C439" s="736"/>
      <c r="D439" s="787"/>
      <c r="E439" s="788"/>
      <c r="F439" s="789"/>
      <c r="G439" s="787"/>
      <c r="H439" s="787"/>
      <c r="I439" s="787"/>
      <c r="J439" s="790"/>
      <c r="K439" s="790"/>
      <c r="L439" s="787"/>
      <c r="M439" s="787"/>
    </row>
    <row r="440" spans="1:13" ht="15" x14ac:dyDescent="0.25">
      <c r="A440" s="736"/>
      <c r="B440" s="736"/>
      <c r="C440" s="736"/>
      <c r="D440" s="787"/>
      <c r="E440" s="788"/>
      <c r="F440" s="789"/>
      <c r="G440" s="787"/>
      <c r="H440" s="787"/>
      <c r="I440" s="787"/>
      <c r="J440" s="790"/>
      <c r="K440" s="790"/>
      <c r="L440" s="787"/>
      <c r="M440" s="787"/>
    </row>
    <row r="441" spans="1:13" ht="15" x14ac:dyDescent="0.25">
      <c r="A441" s="736"/>
      <c r="B441" s="736"/>
      <c r="C441" s="736"/>
      <c r="D441" s="787"/>
      <c r="E441" s="788"/>
      <c r="F441" s="789"/>
      <c r="G441" s="787"/>
      <c r="H441" s="787"/>
      <c r="I441" s="787"/>
      <c r="J441" s="790"/>
      <c r="K441" s="790"/>
      <c r="L441" s="787"/>
      <c r="M441" s="787"/>
    </row>
    <row r="442" spans="1:13" ht="15" x14ac:dyDescent="0.25">
      <c r="A442" s="736"/>
      <c r="B442" s="736"/>
      <c r="C442" s="736"/>
      <c r="D442" s="787"/>
      <c r="E442" s="788"/>
      <c r="F442" s="789"/>
      <c r="G442" s="787"/>
      <c r="H442" s="787"/>
      <c r="I442" s="787"/>
      <c r="J442" s="790"/>
      <c r="K442" s="790"/>
      <c r="L442" s="787"/>
      <c r="M442" s="787"/>
    </row>
    <row r="443" spans="1:13" ht="15" x14ac:dyDescent="0.25">
      <c r="A443" s="736"/>
      <c r="B443" s="736"/>
      <c r="C443" s="736"/>
      <c r="D443" s="787"/>
      <c r="E443" s="788"/>
      <c r="F443" s="789"/>
      <c r="G443" s="787"/>
      <c r="H443" s="787"/>
      <c r="I443" s="787"/>
      <c r="J443" s="790"/>
      <c r="K443" s="790"/>
      <c r="L443" s="787"/>
      <c r="M443" s="787"/>
    </row>
    <row r="444" spans="1:13" ht="15" x14ac:dyDescent="0.25">
      <c r="A444" s="736"/>
      <c r="B444" s="736"/>
      <c r="C444" s="736"/>
      <c r="D444" s="787"/>
      <c r="E444" s="788"/>
      <c r="F444" s="789"/>
      <c r="G444" s="787"/>
      <c r="H444" s="787"/>
      <c r="I444" s="787"/>
      <c r="J444" s="790"/>
      <c r="K444" s="790"/>
      <c r="L444" s="787"/>
      <c r="M444" s="787"/>
    </row>
    <row r="445" spans="1:13" ht="15" x14ac:dyDescent="0.25">
      <c r="A445" s="736"/>
      <c r="B445" s="736"/>
      <c r="C445" s="736"/>
      <c r="D445" s="787"/>
      <c r="E445" s="788"/>
      <c r="F445" s="789"/>
      <c r="G445" s="787"/>
      <c r="H445" s="787"/>
      <c r="I445" s="787"/>
      <c r="J445" s="790"/>
      <c r="K445" s="790"/>
      <c r="L445" s="787"/>
      <c r="M445" s="787"/>
    </row>
    <row r="446" spans="1:13" ht="15" x14ac:dyDescent="0.25">
      <c r="A446" s="736"/>
      <c r="B446" s="736"/>
      <c r="C446" s="736"/>
      <c r="D446" s="787"/>
      <c r="E446" s="788"/>
      <c r="F446" s="789"/>
      <c r="G446" s="787"/>
      <c r="H446" s="787"/>
      <c r="I446" s="787"/>
      <c r="J446" s="790"/>
      <c r="K446" s="790"/>
      <c r="L446" s="787"/>
      <c r="M446" s="787"/>
    </row>
    <row r="447" spans="1:13" ht="15" x14ac:dyDescent="0.25">
      <c r="A447" s="736"/>
      <c r="B447" s="736"/>
      <c r="C447" s="736"/>
      <c r="D447" s="787"/>
      <c r="E447" s="788"/>
      <c r="F447" s="789"/>
      <c r="G447" s="787"/>
      <c r="H447" s="787"/>
      <c r="I447" s="787"/>
      <c r="J447" s="790"/>
      <c r="K447" s="790"/>
      <c r="L447" s="787"/>
      <c r="M447" s="787"/>
    </row>
    <row r="448" spans="1:13" ht="15" x14ac:dyDescent="0.25">
      <c r="A448" s="736"/>
      <c r="B448" s="736"/>
      <c r="C448" s="736"/>
      <c r="D448" s="787"/>
      <c r="E448" s="788"/>
      <c r="F448" s="789"/>
      <c r="G448" s="787"/>
      <c r="H448" s="787"/>
      <c r="I448" s="787"/>
      <c r="J448" s="790"/>
      <c r="K448" s="790"/>
      <c r="L448" s="787"/>
      <c r="M448" s="787"/>
    </row>
    <row r="449" spans="1:13" ht="15" x14ac:dyDescent="0.25">
      <c r="A449" s="736"/>
      <c r="B449" s="736"/>
      <c r="C449" s="736"/>
      <c r="D449" s="787"/>
      <c r="E449" s="788"/>
      <c r="F449" s="789"/>
      <c r="G449" s="787"/>
      <c r="H449" s="787"/>
      <c r="I449" s="787"/>
      <c r="J449" s="790"/>
      <c r="K449" s="790"/>
      <c r="L449" s="787"/>
      <c r="M449" s="787"/>
    </row>
    <row r="450" spans="1:13" ht="15" x14ac:dyDescent="0.25">
      <c r="A450" s="736"/>
      <c r="B450" s="736"/>
      <c r="C450" s="736"/>
      <c r="D450" s="787"/>
      <c r="E450" s="788"/>
      <c r="F450" s="789"/>
      <c r="G450" s="787"/>
      <c r="H450" s="787"/>
      <c r="I450" s="787"/>
      <c r="J450" s="790"/>
      <c r="K450" s="790"/>
      <c r="L450" s="787"/>
      <c r="M450" s="787"/>
    </row>
    <row r="451" spans="1:13" ht="15" x14ac:dyDescent="0.25">
      <c r="A451" s="736"/>
      <c r="B451" s="736"/>
      <c r="C451" s="736"/>
      <c r="D451" s="787"/>
      <c r="E451" s="788"/>
      <c r="F451" s="789"/>
      <c r="G451" s="787"/>
      <c r="H451" s="787"/>
      <c r="I451" s="787"/>
      <c r="J451" s="790"/>
      <c r="K451" s="790"/>
      <c r="L451" s="787"/>
      <c r="M451" s="787"/>
    </row>
    <row r="452" spans="1:13" ht="15" x14ac:dyDescent="0.25">
      <c r="A452" s="736"/>
      <c r="B452" s="736"/>
      <c r="C452" s="736"/>
      <c r="D452" s="787"/>
      <c r="E452" s="788"/>
      <c r="F452" s="789"/>
      <c r="G452" s="787"/>
      <c r="H452" s="787"/>
      <c r="I452" s="787"/>
      <c r="J452" s="790"/>
      <c r="K452" s="790"/>
      <c r="L452" s="787"/>
      <c r="M452" s="787"/>
    </row>
    <row r="453" spans="1:13" ht="15" x14ac:dyDescent="0.25">
      <c r="A453" s="736"/>
      <c r="B453" s="736"/>
      <c r="C453" s="736"/>
      <c r="D453" s="787"/>
      <c r="E453" s="788"/>
      <c r="F453" s="789"/>
      <c r="G453" s="787"/>
      <c r="H453" s="787"/>
      <c r="I453" s="787"/>
      <c r="J453" s="790"/>
      <c r="K453" s="790"/>
      <c r="L453" s="787"/>
      <c r="M453" s="787"/>
    </row>
    <row r="454" spans="1:13" ht="15" x14ac:dyDescent="0.25">
      <c r="A454" s="736"/>
      <c r="B454" s="736"/>
      <c r="C454" s="736"/>
      <c r="D454" s="787"/>
      <c r="E454" s="788"/>
      <c r="F454" s="789"/>
      <c r="G454" s="787"/>
      <c r="H454" s="787"/>
      <c r="I454" s="787"/>
      <c r="J454" s="790"/>
      <c r="K454" s="790"/>
      <c r="L454" s="787"/>
      <c r="M454" s="787"/>
    </row>
    <row r="455" spans="1:13" ht="15" x14ac:dyDescent="0.25">
      <c r="A455" s="736"/>
      <c r="B455" s="736"/>
      <c r="C455" s="736"/>
      <c r="D455" s="787"/>
      <c r="E455" s="788"/>
      <c r="F455" s="789"/>
      <c r="G455" s="787"/>
      <c r="H455" s="787"/>
      <c r="I455" s="787"/>
      <c r="J455" s="790"/>
      <c r="K455" s="790"/>
      <c r="L455" s="787"/>
      <c r="M455" s="787"/>
    </row>
    <row r="456" spans="1:13" ht="15" x14ac:dyDescent="0.25">
      <c r="A456" s="736"/>
      <c r="B456" s="736"/>
      <c r="C456" s="736"/>
      <c r="D456" s="787"/>
      <c r="E456" s="788"/>
      <c r="F456" s="789"/>
      <c r="G456" s="787"/>
      <c r="H456" s="787"/>
      <c r="I456" s="787"/>
      <c r="J456" s="790"/>
      <c r="K456" s="790"/>
      <c r="L456" s="787"/>
      <c r="M456" s="787"/>
    </row>
    <row r="457" spans="1:13" ht="15" x14ac:dyDescent="0.25">
      <c r="A457" s="736"/>
      <c r="B457" s="736"/>
      <c r="C457" s="736"/>
      <c r="D457" s="787"/>
      <c r="E457" s="788"/>
      <c r="F457" s="789"/>
      <c r="G457" s="787"/>
      <c r="H457" s="787"/>
      <c r="I457" s="787"/>
      <c r="J457" s="790"/>
      <c r="K457" s="790"/>
      <c r="L457" s="787"/>
      <c r="M457" s="787"/>
    </row>
    <row r="458" spans="1:13" ht="15" x14ac:dyDescent="0.25">
      <c r="A458" s="736"/>
      <c r="B458" s="736"/>
      <c r="C458" s="736"/>
      <c r="D458" s="787"/>
      <c r="E458" s="788"/>
      <c r="F458" s="789"/>
      <c r="G458" s="787"/>
      <c r="H458" s="787"/>
      <c r="I458" s="787"/>
      <c r="J458" s="790"/>
      <c r="K458" s="790"/>
      <c r="L458" s="787"/>
      <c r="M458" s="787"/>
    </row>
    <row r="459" spans="1:13" ht="15" x14ac:dyDescent="0.25">
      <c r="A459" s="736"/>
      <c r="B459" s="736"/>
      <c r="C459" s="736"/>
      <c r="D459" s="787"/>
      <c r="E459" s="788"/>
      <c r="F459" s="789"/>
      <c r="G459" s="787"/>
      <c r="H459" s="787"/>
      <c r="I459" s="787"/>
      <c r="J459" s="790"/>
      <c r="K459" s="790"/>
      <c r="L459" s="787"/>
      <c r="M459" s="787"/>
    </row>
    <row r="460" spans="1:13" ht="15" x14ac:dyDescent="0.25">
      <c r="A460" s="736"/>
      <c r="B460" s="736"/>
      <c r="C460" s="736"/>
      <c r="D460" s="787"/>
      <c r="E460" s="788"/>
      <c r="F460" s="789"/>
      <c r="G460" s="787"/>
      <c r="H460" s="787"/>
      <c r="I460" s="787"/>
      <c r="J460" s="790"/>
      <c r="K460" s="790"/>
      <c r="L460" s="787"/>
      <c r="M460" s="787"/>
    </row>
    <row r="461" spans="1:13" ht="15" x14ac:dyDescent="0.25">
      <c r="A461" s="736"/>
      <c r="B461" s="736"/>
      <c r="C461" s="736"/>
      <c r="D461" s="787"/>
      <c r="E461" s="788"/>
      <c r="F461" s="789"/>
      <c r="G461" s="787"/>
      <c r="H461" s="787"/>
      <c r="I461" s="787"/>
      <c r="J461" s="790"/>
      <c r="K461" s="790"/>
      <c r="L461" s="787"/>
      <c r="M461" s="787"/>
    </row>
    <row r="462" spans="1:13" ht="15" x14ac:dyDescent="0.25">
      <c r="A462" s="736"/>
      <c r="B462" s="736"/>
      <c r="C462" s="736"/>
      <c r="D462" s="787"/>
      <c r="E462" s="788"/>
      <c r="F462" s="789"/>
      <c r="G462" s="787"/>
      <c r="H462" s="787"/>
      <c r="I462" s="787"/>
      <c r="J462" s="790"/>
      <c r="K462" s="790"/>
      <c r="L462" s="787"/>
      <c r="M462" s="787"/>
    </row>
    <row r="463" spans="1:13" ht="15" x14ac:dyDescent="0.25">
      <c r="A463" s="736"/>
      <c r="B463" s="736"/>
      <c r="C463" s="736"/>
      <c r="D463" s="787"/>
      <c r="E463" s="788"/>
      <c r="F463" s="789"/>
      <c r="G463" s="787"/>
      <c r="H463" s="787"/>
      <c r="I463" s="787"/>
      <c r="J463" s="790"/>
      <c r="K463" s="790"/>
      <c r="L463" s="787"/>
      <c r="M463" s="787"/>
    </row>
    <row r="464" spans="1:13" ht="15" x14ac:dyDescent="0.25">
      <c r="A464" s="736"/>
      <c r="B464" s="736"/>
      <c r="C464" s="736"/>
      <c r="D464" s="787"/>
      <c r="E464" s="788"/>
      <c r="F464" s="789"/>
      <c r="G464" s="787"/>
      <c r="H464" s="787"/>
      <c r="I464" s="787"/>
      <c r="J464" s="790"/>
      <c r="K464" s="790"/>
      <c r="L464" s="787"/>
      <c r="M464" s="787"/>
    </row>
    <row r="465" spans="1:13" ht="15" x14ac:dyDescent="0.25">
      <c r="A465" s="736"/>
      <c r="B465" s="736"/>
      <c r="C465" s="736"/>
      <c r="D465" s="787"/>
      <c r="E465" s="788"/>
      <c r="F465" s="789"/>
      <c r="G465" s="787"/>
      <c r="H465" s="787"/>
      <c r="I465" s="787"/>
      <c r="J465" s="790"/>
      <c r="K465" s="790"/>
      <c r="L465" s="787"/>
      <c r="M465" s="787"/>
    </row>
    <row r="466" spans="1:13" ht="15" x14ac:dyDescent="0.25">
      <c r="A466" s="736"/>
      <c r="B466" s="736"/>
      <c r="C466" s="736"/>
      <c r="D466" s="787"/>
      <c r="E466" s="788"/>
      <c r="F466" s="789"/>
      <c r="G466" s="787"/>
      <c r="H466" s="787"/>
      <c r="I466" s="787"/>
      <c r="J466" s="790"/>
      <c r="K466" s="790"/>
      <c r="L466" s="787"/>
      <c r="M466" s="787"/>
    </row>
    <row r="467" spans="1:13" ht="15" x14ac:dyDescent="0.25">
      <c r="A467" s="736"/>
      <c r="B467" s="736"/>
      <c r="C467" s="736"/>
      <c r="D467" s="787"/>
      <c r="E467" s="788"/>
      <c r="F467" s="789"/>
      <c r="G467" s="787"/>
      <c r="H467" s="787"/>
      <c r="I467" s="787"/>
      <c r="J467" s="790"/>
      <c r="K467" s="790"/>
      <c r="L467" s="787"/>
      <c r="M467" s="787"/>
    </row>
    <row r="468" spans="1:13" ht="15" x14ac:dyDescent="0.25">
      <c r="A468" s="736"/>
      <c r="B468" s="736"/>
      <c r="C468" s="736"/>
      <c r="D468" s="787"/>
      <c r="E468" s="788"/>
      <c r="F468" s="789"/>
      <c r="G468" s="787"/>
      <c r="H468" s="787"/>
      <c r="I468" s="787"/>
      <c r="J468" s="790"/>
      <c r="K468" s="790"/>
      <c r="L468" s="787"/>
      <c r="M468" s="787"/>
    </row>
    <row r="469" spans="1:13" ht="15" x14ac:dyDescent="0.25">
      <c r="A469" s="736"/>
      <c r="B469" s="736"/>
      <c r="C469" s="736"/>
      <c r="D469" s="787"/>
      <c r="E469" s="788"/>
      <c r="F469" s="789"/>
      <c r="G469" s="787"/>
      <c r="H469" s="787"/>
      <c r="I469" s="787"/>
      <c r="J469" s="790"/>
      <c r="K469" s="790"/>
      <c r="L469" s="787"/>
      <c r="M469" s="787"/>
    </row>
    <row r="470" spans="1:13" ht="15" x14ac:dyDescent="0.25">
      <c r="A470" s="736"/>
      <c r="B470" s="736"/>
      <c r="C470" s="736"/>
      <c r="D470" s="787"/>
      <c r="E470" s="788"/>
      <c r="F470" s="789"/>
      <c r="G470" s="787"/>
      <c r="H470" s="787"/>
      <c r="I470" s="787"/>
      <c r="J470" s="790"/>
      <c r="K470" s="790"/>
      <c r="L470" s="787"/>
      <c r="M470" s="787"/>
    </row>
    <row r="471" spans="1:13" ht="15" x14ac:dyDescent="0.25">
      <c r="A471" s="736"/>
      <c r="B471" s="736"/>
      <c r="C471" s="736"/>
      <c r="D471" s="787"/>
      <c r="E471" s="788"/>
      <c r="F471" s="789"/>
      <c r="G471" s="787"/>
      <c r="H471" s="787"/>
      <c r="I471" s="787"/>
      <c r="J471" s="790"/>
      <c r="K471" s="790"/>
      <c r="L471" s="787"/>
      <c r="M471" s="787"/>
    </row>
    <row r="472" spans="1:13" ht="15" x14ac:dyDescent="0.25">
      <c r="A472" s="736"/>
      <c r="B472" s="736"/>
      <c r="C472" s="736"/>
      <c r="D472" s="787"/>
      <c r="E472" s="788"/>
      <c r="F472" s="789"/>
      <c r="G472" s="787"/>
      <c r="H472" s="787"/>
      <c r="I472" s="787"/>
      <c r="J472" s="790"/>
      <c r="K472" s="790"/>
      <c r="L472" s="787"/>
      <c r="M472" s="787"/>
    </row>
    <row r="473" spans="1:13" ht="15" x14ac:dyDescent="0.25">
      <c r="A473" s="736"/>
      <c r="B473" s="736"/>
      <c r="C473" s="736"/>
      <c r="D473" s="787"/>
      <c r="E473" s="788"/>
      <c r="F473" s="789"/>
      <c r="G473" s="787"/>
      <c r="H473" s="787"/>
      <c r="I473" s="787"/>
      <c r="J473" s="790"/>
      <c r="K473" s="790"/>
      <c r="L473" s="787"/>
      <c r="M473" s="787"/>
    </row>
    <row r="474" spans="1:13" ht="15" x14ac:dyDescent="0.25">
      <c r="A474" s="736"/>
      <c r="B474" s="736"/>
      <c r="C474" s="736"/>
      <c r="D474" s="787"/>
      <c r="E474" s="788"/>
      <c r="F474" s="789"/>
      <c r="G474" s="787"/>
      <c r="H474" s="787"/>
      <c r="I474" s="787"/>
      <c r="J474" s="790"/>
      <c r="K474" s="790"/>
      <c r="L474" s="787"/>
      <c r="M474" s="787"/>
    </row>
    <row r="475" spans="1:13" ht="15" x14ac:dyDescent="0.25">
      <c r="A475" s="736"/>
      <c r="B475" s="736"/>
      <c r="C475" s="736"/>
      <c r="D475" s="787"/>
      <c r="E475" s="788"/>
      <c r="F475" s="789"/>
      <c r="G475" s="787"/>
      <c r="H475" s="787"/>
      <c r="I475" s="787"/>
      <c r="J475" s="790"/>
      <c r="K475" s="790"/>
      <c r="L475" s="787"/>
      <c r="M475" s="787"/>
    </row>
    <row r="476" spans="1:13" ht="15" x14ac:dyDescent="0.25">
      <c r="A476" s="736"/>
      <c r="B476" s="736"/>
      <c r="C476" s="736"/>
      <c r="D476" s="787"/>
      <c r="E476" s="788"/>
      <c r="F476" s="789"/>
      <c r="G476" s="787"/>
      <c r="H476" s="787"/>
      <c r="I476" s="787"/>
      <c r="J476" s="790"/>
      <c r="K476" s="790"/>
      <c r="L476" s="787"/>
      <c r="M476" s="787"/>
    </row>
    <row r="477" spans="1:13" ht="15" x14ac:dyDescent="0.25">
      <c r="A477" s="736"/>
      <c r="B477" s="736"/>
      <c r="C477" s="736"/>
      <c r="D477" s="787"/>
      <c r="E477" s="788"/>
      <c r="F477" s="789"/>
      <c r="G477" s="787"/>
      <c r="H477" s="787"/>
      <c r="I477" s="787"/>
      <c r="J477" s="790"/>
      <c r="K477" s="790"/>
      <c r="L477" s="787"/>
      <c r="M477" s="787"/>
    </row>
    <row r="478" spans="1:13" ht="15" x14ac:dyDescent="0.25">
      <c r="A478" s="736"/>
      <c r="B478" s="736"/>
      <c r="C478" s="736"/>
      <c r="D478" s="787"/>
      <c r="E478" s="788"/>
      <c r="F478" s="789"/>
      <c r="G478" s="787"/>
      <c r="H478" s="787"/>
      <c r="I478" s="787"/>
      <c r="J478" s="790"/>
      <c r="K478" s="790"/>
      <c r="L478" s="787"/>
      <c r="M478" s="787"/>
    </row>
    <row r="479" spans="1:13" ht="15" x14ac:dyDescent="0.25">
      <c r="A479" s="736"/>
      <c r="B479" s="736"/>
      <c r="C479" s="736"/>
      <c r="D479" s="787"/>
      <c r="E479" s="788"/>
      <c r="F479" s="789"/>
      <c r="G479" s="787"/>
      <c r="H479" s="787"/>
      <c r="I479" s="787"/>
      <c r="J479" s="790"/>
      <c r="K479" s="790"/>
      <c r="L479" s="787"/>
      <c r="M479" s="787"/>
    </row>
    <row r="480" spans="1:13" ht="15" x14ac:dyDescent="0.25">
      <c r="A480" s="736"/>
      <c r="B480" s="736"/>
      <c r="C480" s="736"/>
      <c r="D480" s="787"/>
      <c r="E480" s="788"/>
      <c r="F480" s="789"/>
      <c r="G480" s="787"/>
      <c r="H480" s="787"/>
      <c r="I480" s="787"/>
      <c r="J480" s="790"/>
      <c r="K480" s="790"/>
      <c r="L480" s="787"/>
      <c r="M480" s="787"/>
    </row>
    <row r="481" spans="1:13" ht="15" x14ac:dyDescent="0.25">
      <c r="A481" s="736"/>
      <c r="B481" s="736"/>
      <c r="C481" s="736"/>
      <c r="D481" s="787"/>
      <c r="E481" s="788"/>
      <c r="F481" s="789"/>
      <c r="G481" s="787"/>
      <c r="H481" s="787"/>
      <c r="I481" s="787"/>
      <c r="J481" s="790"/>
      <c r="K481" s="790"/>
      <c r="L481" s="787"/>
      <c r="M481" s="787"/>
    </row>
    <row r="482" spans="1:13" ht="15" x14ac:dyDescent="0.25">
      <c r="A482" s="736"/>
      <c r="B482" s="736"/>
      <c r="C482" s="736"/>
      <c r="D482" s="787"/>
      <c r="E482" s="788"/>
      <c r="F482" s="789"/>
      <c r="G482" s="787"/>
      <c r="H482" s="787"/>
      <c r="I482" s="787"/>
      <c r="J482" s="790"/>
      <c r="K482" s="790"/>
      <c r="L482" s="787"/>
      <c r="M482" s="787"/>
    </row>
    <row r="483" spans="1:13" ht="15" x14ac:dyDescent="0.25">
      <c r="A483" s="736"/>
      <c r="B483" s="736"/>
      <c r="C483" s="736"/>
      <c r="D483" s="787"/>
      <c r="E483" s="788"/>
      <c r="F483" s="789"/>
      <c r="G483" s="787"/>
      <c r="H483" s="787"/>
      <c r="I483" s="787"/>
      <c r="J483" s="790"/>
      <c r="K483" s="790"/>
      <c r="L483" s="787"/>
      <c r="M483" s="787"/>
    </row>
    <row r="484" spans="1:13" ht="15" x14ac:dyDescent="0.25">
      <c r="A484" s="736"/>
      <c r="B484" s="736"/>
      <c r="C484" s="736"/>
      <c r="D484" s="787"/>
      <c r="E484" s="788"/>
      <c r="F484" s="789"/>
      <c r="G484" s="787"/>
      <c r="H484" s="787"/>
      <c r="I484" s="787"/>
      <c r="J484" s="790"/>
      <c r="K484" s="790"/>
      <c r="L484" s="787"/>
      <c r="M484" s="787"/>
    </row>
    <row r="485" spans="1:13" ht="15" x14ac:dyDescent="0.25">
      <c r="A485" s="736"/>
      <c r="B485" s="736"/>
      <c r="C485" s="736"/>
      <c r="D485" s="787"/>
      <c r="E485" s="788"/>
      <c r="F485" s="789"/>
      <c r="G485" s="787"/>
      <c r="H485" s="787"/>
      <c r="I485" s="787"/>
      <c r="J485" s="790"/>
      <c r="K485" s="790"/>
      <c r="L485" s="787"/>
      <c r="M485" s="787"/>
    </row>
    <row r="486" spans="1:13" ht="15" x14ac:dyDescent="0.25">
      <c r="A486" s="736"/>
      <c r="B486" s="736"/>
      <c r="C486" s="736"/>
      <c r="D486" s="787"/>
      <c r="E486" s="788"/>
      <c r="F486" s="789"/>
      <c r="G486" s="787"/>
      <c r="H486" s="787"/>
      <c r="I486" s="787"/>
      <c r="J486" s="790"/>
      <c r="K486" s="790"/>
      <c r="L486" s="787"/>
      <c r="M486" s="787"/>
    </row>
    <row r="487" spans="1:13" ht="15" x14ac:dyDescent="0.25">
      <c r="A487" s="736"/>
      <c r="B487" s="736"/>
      <c r="C487" s="736"/>
      <c r="D487" s="787"/>
      <c r="E487" s="788"/>
      <c r="F487" s="789"/>
      <c r="G487" s="787"/>
      <c r="H487" s="787"/>
      <c r="I487" s="787"/>
      <c r="J487" s="790"/>
      <c r="K487" s="790"/>
      <c r="L487" s="787"/>
      <c r="M487" s="787"/>
    </row>
    <row r="488" spans="1:13" ht="15" x14ac:dyDescent="0.25">
      <c r="A488" s="736"/>
      <c r="B488" s="736"/>
      <c r="C488" s="736"/>
      <c r="D488" s="787"/>
      <c r="E488" s="788"/>
      <c r="F488" s="789"/>
      <c r="G488" s="787"/>
      <c r="H488" s="787"/>
      <c r="I488" s="787"/>
      <c r="J488" s="790"/>
      <c r="K488" s="790"/>
      <c r="L488" s="787"/>
      <c r="M488" s="787"/>
    </row>
    <row r="489" spans="1:13" ht="15" x14ac:dyDescent="0.25">
      <c r="A489" s="736"/>
      <c r="B489" s="736"/>
      <c r="C489" s="736"/>
      <c r="D489" s="787"/>
      <c r="E489" s="788"/>
      <c r="F489" s="789"/>
      <c r="G489" s="787"/>
      <c r="H489" s="787"/>
      <c r="I489" s="787"/>
      <c r="J489" s="790"/>
      <c r="K489" s="790"/>
      <c r="L489" s="787"/>
      <c r="M489" s="787"/>
    </row>
    <row r="490" spans="1:13" ht="15" x14ac:dyDescent="0.25">
      <c r="A490" s="736"/>
      <c r="B490" s="736"/>
      <c r="C490" s="736"/>
      <c r="D490" s="787"/>
      <c r="E490" s="788"/>
      <c r="F490" s="789"/>
      <c r="G490" s="787"/>
      <c r="H490" s="787"/>
      <c r="I490" s="787"/>
      <c r="J490" s="790"/>
      <c r="K490" s="790"/>
      <c r="L490" s="787"/>
      <c r="M490" s="787"/>
    </row>
    <row r="491" spans="1:13" ht="15" x14ac:dyDescent="0.25">
      <c r="A491" s="736"/>
      <c r="B491" s="736"/>
      <c r="C491" s="736"/>
      <c r="D491" s="787"/>
      <c r="E491" s="788"/>
      <c r="F491" s="789"/>
      <c r="G491" s="787"/>
      <c r="H491" s="787"/>
      <c r="I491" s="787"/>
      <c r="J491" s="790"/>
      <c r="K491" s="790"/>
      <c r="L491" s="787"/>
      <c r="M491" s="787"/>
    </row>
    <row r="492" spans="1:13" ht="15" x14ac:dyDescent="0.25">
      <c r="A492" s="736"/>
      <c r="B492" s="736"/>
      <c r="C492" s="736"/>
      <c r="D492" s="787"/>
      <c r="E492" s="788"/>
      <c r="F492" s="789"/>
      <c r="G492" s="787"/>
      <c r="H492" s="787"/>
      <c r="I492" s="787"/>
      <c r="J492" s="790"/>
      <c r="K492" s="790"/>
      <c r="L492" s="787"/>
      <c r="M492" s="787"/>
    </row>
    <row r="493" spans="1:13" ht="15" x14ac:dyDescent="0.25">
      <c r="A493" s="736"/>
      <c r="B493" s="736"/>
      <c r="C493" s="736"/>
      <c r="D493" s="787"/>
      <c r="E493" s="788"/>
      <c r="F493" s="789"/>
      <c r="G493" s="787"/>
      <c r="H493" s="787"/>
      <c r="I493" s="787"/>
      <c r="J493" s="790"/>
      <c r="K493" s="790"/>
      <c r="L493" s="787"/>
      <c r="M493" s="787"/>
    </row>
    <row r="494" spans="1:13" ht="15" x14ac:dyDescent="0.25">
      <c r="A494" s="736"/>
      <c r="B494" s="736"/>
      <c r="C494" s="736"/>
      <c r="D494" s="787"/>
      <c r="E494" s="788"/>
      <c r="F494" s="789"/>
      <c r="G494" s="787"/>
      <c r="H494" s="787"/>
      <c r="I494" s="787"/>
      <c r="J494" s="790"/>
      <c r="K494" s="790"/>
      <c r="L494" s="787"/>
      <c r="M494" s="787"/>
    </row>
    <row r="495" spans="1:13" ht="15" x14ac:dyDescent="0.25">
      <c r="A495" s="736"/>
      <c r="B495" s="736"/>
      <c r="C495" s="736"/>
      <c r="D495" s="787"/>
      <c r="E495" s="788"/>
      <c r="F495" s="789"/>
      <c r="G495" s="787"/>
      <c r="H495" s="787"/>
      <c r="I495" s="787"/>
      <c r="J495" s="790"/>
      <c r="K495" s="790"/>
      <c r="L495" s="787"/>
      <c r="M495" s="787"/>
    </row>
    <row r="496" spans="1:13" ht="15" x14ac:dyDescent="0.25">
      <c r="A496" s="736"/>
      <c r="B496" s="736"/>
      <c r="C496" s="736"/>
      <c r="D496" s="787"/>
      <c r="E496" s="788"/>
      <c r="F496" s="789"/>
      <c r="G496" s="787"/>
      <c r="H496" s="787"/>
      <c r="I496" s="787"/>
      <c r="J496" s="790"/>
      <c r="K496" s="790"/>
      <c r="L496" s="787"/>
      <c r="M496" s="787"/>
    </row>
    <row r="497" spans="1:13" ht="15" x14ac:dyDescent="0.25">
      <c r="A497" s="736"/>
      <c r="B497" s="736"/>
      <c r="C497" s="736"/>
      <c r="D497" s="787"/>
      <c r="E497" s="788"/>
      <c r="F497" s="789"/>
      <c r="G497" s="787"/>
      <c r="H497" s="787"/>
      <c r="I497" s="787"/>
      <c r="J497" s="790"/>
      <c r="K497" s="790"/>
      <c r="L497" s="787"/>
      <c r="M497" s="787"/>
    </row>
    <row r="498" spans="1:13" ht="15" x14ac:dyDescent="0.25">
      <c r="A498" s="736"/>
      <c r="B498" s="736"/>
      <c r="C498" s="736"/>
      <c r="D498" s="787"/>
      <c r="E498" s="788"/>
      <c r="F498" s="789"/>
      <c r="G498" s="787"/>
      <c r="H498" s="787"/>
      <c r="I498" s="787"/>
      <c r="J498" s="790"/>
      <c r="K498" s="790"/>
      <c r="L498" s="787"/>
      <c r="M498" s="787"/>
    </row>
    <row r="499" spans="1:13" ht="15" x14ac:dyDescent="0.25">
      <c r="A499" s="736"/>
      <c r="B499" s="736"/>
      <c r="C499" s="736"/>
      <c r="D499" s="787"/>
      <c r="E499" s="788"/>
      <c r="F499" s="789"/>
      <c r="G499" s="787"/>
      <c r="H499" s="787"/>
      <c r="I499" s="787"/>
      <c r="J499" s="790"/>
      <c r="K499" s="790"/>
      <c r="L499" s="787"/>
      <c r="M499" s="787"/>
    </row>
    <row r="500" spans="1:13" ht="15" x14ac:dyDescent="0.25">
      <c r="A500" s="736"/>
      <c r="B500" s="736"/>
      <c r="C500" s="736"/>
      <c r="D500" s="787"/>
      <c r="E500" s="788"/>
      <c r="F500" s="789"/>
      <c r="G500" s="787"/>
      <c r="H500" s="787"/>
      <c r="I500" s="787"/>
      <c r="J500" s="790"/>
      <c r="K500" s="790"/>
      <c r="L500" s="787"/>
      <c r="M500" s="787"/>
    </row>
    <row r="501" spans="1:13" ht="15" x14ac:dyDescent="0.25">
      <c r="A501" s="736"/>
      <c r="B501" s="736"/>
      <c r="C501" s="736"/>
      <c r="D501" s="787"/>
      <c r="E501" s="788"/>
      <c r="F501" s="789"/>
      <c r="G501" s="787"/>
      <c r="H501" s="787"/>
      <c r="I501" s="787"/>
      <c r="J501" s="790"/>
      <c r="K501" s="790"/>
      <c r="L501" s="787"/>
      <c r="M501" s="787"/>
    </row>
    <row r="502" spans="1:13" ht="15" x14ac:dyDescent="0.25">
      <c r="A502" s="736"/>
      <c r="B502" s="736"/>
      <c r="C502" s="736"/>
      <c r="D502" s="787"/>
      <c r="E502" s="788"/>
      <c r="F502" s="789"/>
      <c r="G502" s="787"/>
      <c r="H502" s="787"/>
      <c r="I502" s="787"/>
      <c r="J502" s="790"/>
      <c r="K502" s="790"/>
      <c r="L502" s="787"/>
      <c r="M502" s="787"/>
    </row>
    <row r="503" spans="1:13" ht="15" x14ac:dyDescent="0.25">
      <c r="A503" s="736"/>
      <c r="B503" s="736"/>
      <c r="C503" s="736"/>
      <c r="D503" s="787"/>
      <c r="E503" s="788"/>
      <c r="F503" s="789"/>
      <c r="G503" s="787"/>
      <c r="H503" s="787"/>
      <c r="I503" s="787"/>
      <c r="J503" s="790"/>
      <c r="K503" s="790"/>
      <c r="L503" s="787"/>
      <c r="M503" s="787"/>
    </row>
    <row r="504" spans="1:13" ht="15" x14ac:dyDescent="0.25">
      <c r="A504" s="736"/>
      <c r="B504" s="736"/>
      <c r="C504" s="736"/>
      <c r="D504" s="787"/>
      <c r="E504" s="788"/>
      <c r="F504" s="789"/>
      <c r="G504" s="787"/>
      <c r="H504" s="787"/>
      <c r="I504" s="787"/>
      <c r="J504" s="790"/>
      <c r="K504" s="790"/>
      <c r="L504" s="787"/>
      <c r="M504" s="787"/>
    </row>
    <row r="505" spans="1:13" ht="15" x14ac:dyDescent="0.25">
      <c r="A505" s="736"/>
      <c r="B505" s="736"/>
      <c r="C505" s="736"/>
      <c r="D505" s="787"/>
      <c r="E505" s="788"/>
      <c r="F505" s="789"/>
      <c r="G505" s="787"/>
      <c r="H505" s="787"/>
      <c r="I505" s="787"/>
      <c r="J505" s="790"/>
      <c r="K505" s="790"/>
      <c r="L505" s="787"/>
      <c r="M505" s="787"/>
    </row>
    <row r="506" spans="1:13" ht="15" x14ac:dyDescent="0.25">
      <c r="A506" s="736"/>
      <c r="B506" s="736"/>
      <c r="C506" s="736"/>
      <c r="D506" s="787"/>
      <c r="E506" s="788"/>
      <c r="F506" s="789"/>
      <c r="G506" s="787"/>
      <c r="H506" s="787"/>
      <c r="I506" s="787"/>
      <c r="J506" s="790"/>
      <c r="K506" s="790"/>
      <c r="L506" s="787"/>
      <c r="M506" s="787"/>
    </row>
    <row r="507" spans="1:13" ht="15" x14ac:dyDescent="0.25">
      <c r="A507" s="736"/>
      <c r="B507" s="736"/>
      <c r="C507" s="736"/>
      <c r="D507" s="787"/>
      <c r="E507" s="788"/>
      <c r="F507" s="789"/>
      <c r="G507" s="787"/>
      <c r="H507" s="787"/>
      <c r="I507" s="787"/>
      <c r="J507" s="790"/>
      <c r="K507" s="790"/>
      <c r="L507" s="787"/>
      <c r="M507" s="787"/>
    </row>
    <row r="508" spans="1:13" ht="15" x14ac:dyDescent="0.25">
      <c r="A508" s="736"/>
      <c r="B508" s="736"/>
      <c r="C508" s="736"/>
      <c r="D508" s="787"/>
      <c r="E508" s="788"/>
      <c r="F508" s="789"/>
      <c r="G508" s="787"/>
      <c r="H508" s="787"/>
      <c r="I508" s="787"/>
      <c r="J508" s="790"/>
      <c r="K508" s="790"/>
      <c r="L508" s="787"/>
      <c r="M508" s="787"/>
    </row>
    <row r="509" spans="1:13" ht="15" x14ac:dyDescent="0.25">
      <c r="A509" s="736"/>
      <c r="B509" s="736"/>
      <c r="C509" s="736"/>
      <c r="D509" s="787"/>
      <c r="E509" s="788"/>
      <c r="F509" s="789"/>
      <c r="G509" s="787"/>
      <c r="H509" s="787"/>
      <c r="I509" s="787"/>
      <c r="J509" s="790"/>
      <c r="K509" s="790"/>
      <c r="L509" s="787"/>
      <c r="M509" s="787"/>
    </row>
    <row r="510" spans="1:13" ht="15" x14ac:dyDescent="0.25">
      <c r="A510" s="736"/>
      <c r="B510" s="736"/>
      <c r="C510" s="736"/>
      <c r="D510" s="787"/>
      <c r="E510" s="788"/>
      <c r="F510" s="789"/>
      <c r="G510" s="787"/>
      <c r="H510" s="787"/>
      <c r="I510" s="787"/>
      <c r="J510" s="790"/>
      <c r="K510" s="790"/>
      <c r="L510" s="787"/>
      <c r="M510" s="787"/>
    </row>
    <row r="511" spans="1:13" ht="15" x14ac:dyDescent="0.25">
      <c r="A511" s="736"/>
      <c r="B511" s="736"/>
      <c r="C511" s="736"/>
      <c r="D511" s="787"/>
      <c r="E511" s="788"/>
      <c r="F511" s="789"/>
      <c r="G511" s="787"/>
      <c r="H511" s="787"/>
      <c r="I511" s="787"/>
      <c r="J511" s="790"/>
      <c r="K511" s="790"/>
      <c r="L511" s="787"/>
      <c r="M511" s="787"/>
    </row>
    <row r="512" spans="1:13" ht="15" x14ac:dyDescent="0.25">
      <c r="A512" s="736"/>
      <c r="B512" s="736"/>
      <c r="C512" s="736"/>
      <c r="D512" s="787"/>
      <c r="E512" s="788"/>
      <c r="F512" s="789"/>
      <c r="G512" s="787"/>
      <c r="H512" s="787"/>
      <c r="I512" s="787"/>
      <c r="J512" s="790"/>
      <c r="K512" s="790"/>
      <c r="L512" s="787"/>
      <c r="M512" s="787"/>
    </row>
    <row r="513" spans="1:13" ht="15" x14ac:dyDescent="0.25">
      <c r="A513" s="736"/>
      <c r="B513" s="736"/>
      <c r="C513" s="736"/>
      <c r="D513" s="787"/>
      <c r="E513" s="788"/>
      <c r="F513" s="789"/>
      <c r="G513" s="787"/>
      <c r="H513" s="787"/>
      <c r="I513" s="787"/>
      <c r="J513" s="790"/>
      <c r="K513" s="790"/>
      <c r="L513" s="787"/>
      <c r="M513" s="787"/>
    </row>
    <row r="514" spans="1:13" ht="15" x14ac:dyDescent="0.25">
      <c r="A514" s="736"/>
      <c r="B514" s="736"/>
      <c r="C514" s="736"/>
      <c r="D514" s="787"/>
      <c r="E514" s="788"/>
      <c r="F514" s="789"/>
      <c r="G514" s="787"/>
      <c r="H514" s="787"/>
      <c r="I514" s="787"/>
      <c r="J514" s="790"/>
      <c r="K514" s="790"/>
      <c r="L514" s="787"/>
      <c r="M514" s="787"/>
    </row>
    <row r="515" spans="1:13" ht="15" x14ac:dyDescent="0.25">
      <c r="A515" s="736"/>
      <c r="B515" s="736"/>
      <c r="C515" s="736"/>
      <c r="D515" s="787"/>
      <c r="E515" s="788"/>
      <c r="F515" s="789"/>
      <c r="G515" s="787"/>
      <c r="H515" s="787"/>
      <c r="I515" s="787"/>
      <c r="J515" s="790"/>
      <c r="K515" s="790"/>
      <c r="L515" s="787"/>
      <c r="M515" s="787"/>
    </row>
    <row r="516" spans="1:13" ht="15" x14ac:dyDescent="0.25">
      <c r="A516" s="736"/>
      <c r="B516" s="736"/>
      <c r="C516" s="736"/>
      <c r="D516" s="787"/>
      <c r="E516" s="788"/>
      <c r="F516" s="789"/>
      <c r="G516" s="787"/>
      <c r="H516" s="787"/>
      <c r="I516" s="787"/>
      <c r="J516" s="790"/>
      <c r="K516" s="790"/>
      <c r="L516" s="787"/>
      <c r="M516" s="787"/>
    </row>
    <row r="517" spans="1:13" ht="15" x14ac:dyDescent="0.25">
      <c r="A517" s="736"/>
      <c r="B517" s="736"/>
      <c r="C517" s="736"/>
      <c r="D517" s="787"/>
      <c r="E517" s="788"/>
      <c r="F517" s="789"/>
      <c r="G517" s="787"/>
      <c r="H517" s="787"/>
      <c r="I517" s="787"/>
      <c r="J517" s="790"/>
      <c r="K517" s="790"/>
      <c r="L517" s="787"/>
      <c r="M517" s="787"/>
    </row>
    <row r="518" spans="1:13" ht="15" x14ac:dyDescent="0.25">
      <c r="A518" s="736"/>
      <c r="B518" s="736"/>
      <c r="C518" s="736"/>
      <c r="D518" s="787"/>
      <c r="E518" s="788"/>
      <c r="F518" s="789"/>
      <c r="G518" s="787"/>
      <c r="H518" s="787"/>
      <c r="I518" s="787"/>
      <c r="J518" s="790"/>
      <c r="K518" s="790"/>
      <c r="L518" s="787"/>
      <c r="M518" s="787"/>
    </row>
    <row r="519" spans="1:13" ht="15" x14ac:dyDescent="0.25">
      <c r="A519" s="736"/>
      <c r="B519" s="736"/>
      <c r="C519" s="736"/>
      <c r="D519" s="787"/>
      <c r="E519" s="788"/>
      <c r="F519" s="789"/>
      <c r="G519" s="787"/>
      <c r="H519" s="787"/>
      <c r="I519" s="787"/>
      <c r="J519" s="790"/>
      <c r="K519" s="790"/>
      <c r="L519" s="787"/>
      <c r="M519" s="787"/>
    </row>
    <row r="520" spans="1:13" ht="15" x14ac:dyDescent="0.25">
      <c r="A520" s="736"/>
      <c r="B520" s="736"/>
      <c r="C520" s="736"/>
      <c r="D520" s="787"/>
      <c r="E520" s="788"/>
      <c r="F520" s="789"/>
      <c r="G520" s="787"/>
      <c r="H520" s="787"/>
      <c r="I520" s="787"/>
      <c r="J520" s="790"/>
      <c r="K520" s="790"/>
      <c r="L520" s="787"/>
      <c r="M520" s="787"/>
    </row>
    <row r="521" spans="1:13" ht="15" x14ac:dyDescent="0.25">
      <c r="A521" s="736"/>
      <c r="B521" s="736"/>
      <c r="C521" s="736"/>
      <c r="D521" s="787"/>
      <c r="E521" s="788"/>
      <c r="F521" s="789"/>
      <c r="G521" s="787"/>
      <c r="H521" s="787"/>
      <c r="I521" s="787"/>
      <c r="J521" s="790"/>
      <c r="K521" s="790"/>
      <c r="L521" s="787"/>
      <c r="M521" s="787"/>
    </row>
    <row r="522" spans="1:13" ht="15" x14ac:dyDescent="0.25">
      <c r="A522" s="736"/>
      <c r="B522" s="736"/>
      <c r="C522" s="736"/>
      <c r="D522" s="787"/>
      <c r="E522" s="788"/>
      <c r="F522" s="789"/>
      <c r="G522" s="787"/>
      <c r="H522" s="787"/>
      <c r="I522" s="787"/>
      <c r="J522" s="790"/>
      <c r="K522" s="790"/>
      <c r="L522" s="787"/>
      <c r="M522" s="787"/>
    </row>
    <row r="523" spans="1:13" ht="15" x14ac:dyDescent="0.25">
      <c r="A523" s="736"/>
      <c r="B523" s="736"/>
      <c r="C523" s="736"/>
      <c r="D523" s="787"/>
      <c r="E523" s="788"/>
      <c r="F523" s="789"/>
      <c r="G523" s="787"/>
      <c r="H523" s="787"/>
      <c r="I523" s="787"/>
      <c r="J523" s="790"/>
      <c r="K523" s="790"/>
      <c r="L523" s="787"/>
      <c r="M523" s="787"/>
    </row>
    <row r="524" spans="1:13" ht="15" x14ac:dyDescent="0.25">
      <c r="A524" s="736"/>
      <c r="B524" s="736"/>
      <c r="C524" s="736"/>
      <c r="D524" s="787"/>
      <c r="E524" s="788"/>
      <c r="F524" s="789"/>
      <c r="G524" s="787"/>
      <c r="H524" s="787"/>
      <c r="I524" s="787"/>
      <c r="J524" s="790"/>
      <c r="K524" s="790"/>
      <c r="L524" s="787"/>
      <c r="M524" s="787"/>
    </row>
    <row r="525" spans="1:13" ht="15" x14ac:dyDescent="0.25">
      <c r="A525" s="736"/>
      <c r="B525" s="736"/>
      <c r="C525" s="736"/>
      <c r="D525" s="787"/>
      <c r="E525" s="788"/>
      <c r="F525" s="789"/>
      <c r="G525" s="787"/>
      <c r="H525" s="787"/>
      <c r="I525" s="787"/>
      <c r="J525" s="790"/>
      <c r="K525" s="790"/>
      <c r="L525" s="787"/>
      <c r="M525" s="787"/>
    </row>
    <row r="526" spans="1:13" ht="15" x14ac:dyDescent="0.25">
      <c r="A526" s="736"/>
      <c r="B526" s="736"/>
      <c r="C526" s="736"/>
      <c r="D526" s="787"/>
      <c r="E526" s="788"/>
      <c r="F526" s="789"/>
      <c r="G526" s="787"/>
      <c r="H526" s="787"/>
      <c r="I526" s="787"/>
      <c r="J526" s="790"/>
      <c r="K526" s="790"/>
      <c r="L526" s="787"/>
      <c r="M526" s="787"/>
    </row>
    <row r="527" spans="1:13" ht="15" x14ac:dyDescent="0.25">
      <c r="A527" s="736"/>
      <c r="B527" s="736"/>
      <c r="C527" s="736"/>
      <c r="D527" s="787"/>
      <c r="E527" s="788"/>
      <c r="F527" s="789"/>
      <c r="G527" s="787"/>
      <c r="H527" s="787"/>
      <c r="I527" s="787"/>
      <c r="J527" s="790"/>
      <c r="K527" s="790"/>
      <c r="L527" s="787"/>
      <c r="M527" s="787"/>
    </row>
    <row r="528" spans="1:13" ht="15" x14ac:dyDescent="0.25">
      <c r="A528" s="736"/>
      <c r="B528" s="736"/>
      <c r="C528" s="736"/>
      <c r="D528" s="787"/>
      <c r="E528" s="788"/>
      <c r="F528" s="789"/>
      <c r="G528" s="787"/>
      <c r="H528" s="787"/>
      <c r="I528" s="787"/>
      <c r="J528" s="790"/>
      <c r="K528" s="790"/>
      <c r="L528" s="787"/>
      <c r="M528" s="787"/>
    </row>
    <row r="529" spans="1:13" ht="15" x14ac:dyDescent="0.25">
      <c r="A529" s="736"/>
      <c r="B529" s="736"/>
      <c r="C529" s="736"/>
      <c r="D529" s="787"/>
      <c r="E529" s="788"/>
      <c r="F529" s="789"/>
      <c r="G529" s="787"/>
      <c r="H529" s="787"/>
      <c r="I529" s="787"/>
      <c r="J529" s="790"/>
      <c r="K529" s="790"/>
      <c r="L529" s="787"/>
      <c r="M529" s="787"/>
    </row>
    <row r="530" spans="1:13" ht="15" x14ac:dyDescent="0.25">
      <c r="A530" s="736"/>
      <c r="B530" s="736"/>
      <c r="C530" s="736"/>
      <c r="D530" s="787"/>
      <c r="E530" s="788"/>
      <c r="F530" s="789"/>
      <c r="G530" s="787"/>
      <c r="H530" s="787"/>
      <c r="I530" s="787"/>
      <c r="J530" s="790"/>
      <c r="K530" s="790"/>
      <c r="L530" s="787"/>
      <c r="M530" s="787"/>
    </row>
    <row r="531" spans="1:13" ht="15" x14ac:dyDescent="0.25">
      <c r="A531" s="736"/>
      <c r="B531" s="736"/>
      <c r="C531" s="736"/>
      <c r="D531" s="787"/>
      <c r="E531" s="788"/>
      <c r="F531" s="789"/>
      <c r="G531" s="787"/>
      <c r="H531" s="787"/>
      <c r="I531" s="787"/>
      <c r="J531" s="790"/>
      <c r="K531" s="790"/>
      <c r="L531" s="787"/>
      <c r="M531" s="787"/>
    </row>
    <row r="532" spans="1:13" ht="15" x14ac:dyDescent="0.25">
      <c r="A532" s="736"/>
      <c r="B532" s="736"/>
      <c r="C532" s="736"/>
      <c r="D532" s="787"/>
      <c r="E532" s="788"/>
      <c r="F532" s="789"/>
      <c r="G532" s="787"/>
      <c r="H532" s="787"/>
      <c r="I532" s="787"/>
      <c r="J532" s="790"/>
      <c r="K532" s="790"/>
      <c r="L532" s="787"/>
      <c r="M532" s="787"/>
    </row>
    <row r="533" spans="1:13" ht="15" x14ac:dyDescent="0.25">
      <c r="D533" s="801"/>
      <c r="E533" s="802"/>
      <c r="F533" s="801"/>
      <c r="G533" s="801"/>
      <c r="H533" s="801"/>
      <c r="I533" s="801"/>
      <c r="J533" s="803"/>
      <c r="K533" s="811"/>
      <c r="L533" s="805">
        <f>SUM(L2:L532)</f>
        <v>0</v>
      </c>
    </row>
    <row r="534" spans="1:13" ht="15" x14ac:dyDescent="0.25"/>
    <row r="535" spans="1:13" ht="15" x14ac:dyDescent="0.25"/>
    <row r="536" spans="1:13" ht="15" x14ac:dyDescent="0.25"/>
    <row r="537" spans="1:13" ht="15" x14ac:dyDescent="0.25"/>
    <row r="538" spans="1:13" ht="15" x14ac:dyDescent="0.25"/>
    <row r="539" spans="1:13" ht="15" x14ac:dyDescent="0.25"/>
    <row r="540" spans="1:13" ht="15" x14ac:dyDescent="0.25"/>
    <row r="541" spans="1:13" ht="15" x14ac:dyDescent="0.25"/>
    <row r="542" spans="1:13" ht="15" x14ac:dyDescent="0.25"/>
    <row r="543" spans="1:13" ht="15" x14ac:dyDescent="0.25"/>
    <row r="544" spans="1:13" ht="15" x14ac:dyDescent="0.25"/>
    <row r="545" spans="12:12" ht="15" x14ac:dyDescent="0.25"/>
    <row r="546" spans="12:12" ht="15" x14ac:dyDescent="0.25"/>
    <row r="547" spans="12:12" ht="15" x14ac:dyDescent="0.25"/>
    <row r="548" spans="12:12" ht="15" x14ac:dyDescent="0.25"/>
    <row r="549" spans="12:12" ht="15" x14ac:dyDescent="0.25"/>
    <row r="550" spans="12:12" ht="15" x14ac:dyDescent="0.25"/>
    <row r="551" spans="12:12" ht="15" x14ac:dyDescent="0.25"/>
    <row r="552" spans="12:12" ht="15" x14ac:dyDescent="0.25"/>
    <row r="553" spans="12:12" ht="15" x14ac:dyDescent="0.25"/>
    <row r="554" spans="12:12" ht="15" x14ac:dyDescent="0.25"/>
    <row r="555" spans="12:12" ht="15" x14ac:dyDescent="0.25"/>
    <row r="556" spans="12:12" ht="15" x14ac:dyDescent="0.25"/>
    <row r="557" spans="12:12" ht="15" x14ac:dyDescent="0.25"/>
    <row r="558" spans="12:12" ht="15" x14ac:dyDescent="0.25"/>
    <row r="559" spans="12:12" ht="15" x14ac:dyDescent="0.25"/>
    <row r="560" spans="12:12" ht="15" x14ac:dyDescent="0.25">
      <c r="L560" s="808"/>
    </row>
    <row r="561" spans="12:12" ht="15" x14ac:dyDescent="0.25">
      <c r="L561" s="808"/>
    </row>
    <row r="562" spans="12:12" ht="15" x14ac:dyDescent="0.25">
      <c r="L562" s="808"/>
    </row>
    <row r="563" spans="12:12" ht="15" x14ac:dyDescent="0.25">
      <c r="L563" s="808"/>
    </row>
    <row r="564" spans="12:12" ht="15" x14ac:dyDescent="0.25">
      <c r="L564" s="808"/>
    </row>
    <row r="565" spans="12:12" ht="15" x14ac:dyDescent="0.25">
      <c r="L565" s="808"/>
    </row>
    <row r="566" spans="12:12" ht="15" x14ac:dyDescent="0.25">
      <c r="L566" s="808"/>
    </row>
    <row r="567" spans="12:12" ht="15" x14ac:dyDescent="0.25">
      <c r="L567" s="808"/>
    </row>
    <row r="568" spans="12:12" ht="15" x14ac:dyDescent="0.25">
      <c r="L568" s="808"/>
    </row>
    <row r="569" spans="12:12" ht="15" x14ac:dyDescent="0.25"/>
    <row r="570" spans="12:12" ht="15" x14ac:dyDescent="0.25"/>
    <row r="571" spans="12:12" ht="15" x14ac:dyDescent="0.25"/>
    <row r="572" spans="12:12" ht="15" x14ac:dyDescent="0.25"/>
    <row r="573" spans="12:12" ht="15" x14ac:dyDescent="0.25"/>
    <row r="574" spans="12:12" ht="15" x14ac:dyDescent="0.25"/>
    <row r="575" spans="12:12" ht="15" x14ac:dyDescent="0.25"/>
    <row r="576" spans="12:12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224" spans="10:12" ht="50.1" customHeight="1" x14ac:dyDescent="0.25">
      <c r="J11224" s="809" t="s">
        <v>303</v>
      </c>
      <c r="K11224" s="804" t="s">
        <v>302</v>
      </c>
    </row>
    <row r="11226" spans="10:12" ht="50.1" customHeight="1" x14ac:dyDescent="0.25">
      <c r="L11226" s="810"/>
    </row>
  </sheetData>
  <autoFilter ref="E1:E11227"/>
  <pageMargins left="0.7" right="0.7" top="0.75" bottom="0.75" header="0.3" footer="0.3"/>
  <pageSetup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3"/>
  <sheetViews>
    <sheetView workbookViewId="0">
      <selection activeCell="I27" sqref="I27"/>
    </sheetView>
  </sheetViews>
  <sheetFormatPr defaultRowHeight="15" x14ac:dyDescent="0.25"/>
  <cols>
    <col min="1" max="1" width="10.7109375" style="728" bestFit="1" customWidth="1"/>
    <col min="2" max="2" width="18.140625" style="493" customWidth="1"/>
    <col min="3" max="3" width="14.28515625" style="493" bestFit="1" customWidth="1"/>
    <col min="4" max="4" width="14.85546875" style="493" customWidth="1"/>
    <col min="5" max="5" width="9.140625" style="493"/>
    <col min="6" max="6" width="9.140625" style="494"/>
    <col min="7" max="7" width="9.140625" style="495"/>
    <col min="8" max="8" width="9.140625" style="496"/>
    <col min="9" max="9" width="27.140625" style="493" customWidth="1"/>
  </cols>
  <sheetData>
    <row r="1" spans="1:9" ht="15" customHeight="1" x14ac:dyDescent="0.25">
      <c r="A1" s="1279" t="s">
        <v>249</v>
      </c>
      <c r="B1" s="1278" t="s">
        <v>250</v>
      </c>
      <c r="C1" s="1278" t="s">
        <v>251</v>
      </c>
      <c r="D1" s="1278" t="s">
        <v>252</v>
      </c>
      <c r="E1" s="1278" t="s">
        <v>253</v>
      </c>
      <c r="F1" s="490" t="s">
        <v>91</v>
      </c>
      <c r="G1" s="492" t="s">
        <v>93</v>
      </c>
      <c r="H1" s="491" t="s">
        <v>95</v>
      </c>
      <c r="I1" s="1278" t="s">
        <v>254</v>
      </c>
    </row>
    <row r="2" spans="1:9" ht="49.5" customHeight="1" x14ac:dyDescent="0.25">
      <c r="A2" s="1279"/>
      <c r="B2" s="1278"/>
      <c r="C2" s="1278"/>
      <c r="D2" s="1278"/>
      <c r="E2" s="1278"/>
      <c r="F2" s="490" t="s">
        <v>255</v>
      </c>
      <c r="G2" s="492" t="s">
        <v>255</v>
      </c>
      <c r="H2" s="491" t="s">
        <v>255</v>
      </c>
      <c r="I2" s="1278"/>
    </row>
    <row r="3" spans="1:9" x14ac:dyDescent="0.25">
      <c r="A3" s="727">
        <v>43178</v>
      </c>
      <c r="B3" s="780" t="s">
        <v>331</v>
      </c>
      <c r="C3" s="489" t="s">
        <v>332</v>
      </c>
      <c r="D3" s="489" t="s">
        <v>333</v>
      </c>
      <c r="E3" s="489" t="s">
        <v>91</v>
      </c>
      <c r="F3" s="490">
        <v>84</v>
      </c>
      <c r="G3" s="492"/>
      <c r="H3" s="491"/>
      <c r="I3" s="489"/>
    </row>
    <row r="4" spans="1:9" x14ac:dyDescent="0.25">
      <c r="A4" s="727">
        <v>43179</v>
      </c>
      <c r="B4" s="780" t="s">
        <v>331</v>
      </c>
      <c r="C4" s="489" t="s">
        <v>332</v>
      </c>
      <c r="D4" s="489" t="s">
        <v>333</v>
      </c>
      <c r="E4" s="489" t="s">
        <v>91</v>
      </c>
      <c r="F4" s="490">
        <v>144</v>
      </c>
      <c r="G4" s="492"/>
      <c r="H4" s="491"/>
      <c r="I4" s="489"/>
    </row>
    <row r="5" spans="1:9" x14ac:dyDescent="0.25">
      <c r="A5" s="727">
        <v>43180</v>
      </c>
      <c r="B5" s="780" t="s">
        <v>331</v>
      </c>
      <c r="C5" s="489" t="s">
        <v>332</v>
      </c>
      <c r="D5" s="489" t="s">
        <v>333</v>
      </c>
      <c r="E5" s="489" t="s">
        <v>91</v>
      </c>
      <c r="F5" s="490">
        <v>106</v>
      </c>
      <c r="G5" s="492"/>
      <c r="H5" s="491"/>
      <c r="I5" s="489"/>
    </row>
    <row r="6" spans="1:9" x14ac:dyDescent="0.25">
      <c r="A6" s="727">
        <v>43199</v>
      </c>
      <c r="B6" s="780" t="s">
        <v>163</v>
      </c>
      <c r="C6" s="489" t="s">
        <v>346</v>
      </c>
      <c r="D6" s="489" t="s">
        <v>347</v>
      </c>
      <c r="E6" s="489" t="s">
        <v>91</v>
      </c>
      <c r="F6" s="490">
        <v>250</v>
      </c>
      <c r="G6" s="492"/>
      <c r="H6" s="491"/>
      <c r="I6" s="489"/>
    </row>
    <row r="7" spans="1:9" x14ac:dyDescent="0.25">
      <c r="A7" s="727">
        <v>43200</v>
      </c>
      <c r="B7" s="780" t="s">
        <v>163</v>
      </c>
      <c r="C7" s="489" t="s">
        <v>346</v>
      </c>
      <c r="D7" s="489" t="s">
        <v>347</v>
      </c>
      <c r="E7" s="489" t="s">
        <v>91</v>
      </c>
      <c r="F7" s="490">
        <v>350</v>
      </c>
      <c r="G7" s="492"/>
      <c r="H7" s="491"/>
      <c r="I7" s="489"/>
    </row>
    <row r="8" spans="1:9" x14ac:dyDescent="0.25">
      <c r="A8" s="727">
        <v>43209</v>
      </c>
      <c r="B8" s="780" t="s">
        <v>349</v>
      </c>
      <c r="C8" s="489" t="s">
        <v>350</v>
      </c>
      <c r="D8" s="489" t="s">
        <v>351</v>
      </c>
      <c r="E8" s="489" t="s">
        <v>93</v>
      </c>
      <c r="F8" s="490"/>
      <c r="G8" s="492">
        <v>1</v>
      </c>
      <c r="H8" s="491"/>
      <c r="I8" s="489"/>
    </row>
    <row r="9" spans="1:9" x14ac:dyDescent="0.25">
      <c r="A9" s="727">
        <v>43212</v>
      </c>
      <c r="B9" s="780" t="s">
        <v>163</v>
      </c>
      <c r="C9" s="489" t="s">
        <v>346</v>
      </c>
      <c r="D9" s="489"/>
      <c r="E9" s="489" t="s">
        <v>91</v>
      </c>
      <c r="F9" s="490">
        <v>500</v>
      </c>
      <c r="G9" s="492"/>
      <c r="H9" s="491"/>
      <c r="I9" s="489"/>
    </row>
    <row r="10" spans="1:9" x14ac:dyDescent="0.25">
      <c r="A10" s="727">
        <v>43214</v>
      </c>
      <c r="B10" s="780" t="s">
        <v>358</v>
      </c>
      <c r="C10" s="489" t="s">
        <v>344</v>
      </c>
      <c r="D10" s="489" t="s">
        <v>357</v>
      </c>
      <c r="E10" s="489" t="s">
        <v>93</v>
      </c>
      <c r="F10" s="490"/>
      <c r="G10" s="492"/>
      <c r="H10" s="491"/>
      <c r="I10" s="489" t="s">
        <v>1483</v>
      </c>
    </row>
    <row r="11" spans="1:9" x14ac:dyDescent="0.25">
      <c r="A11" s="727">
        <v>43215</v>
      </c>
      <c r="B11" s="780" t="s">
        <v>358</v>
      </c>
      <c r="C11" s="489" t="s">
        <v>344</v>
      </c>
      <c r="D11" s="489" t="s">
        <v>357</v>
      </c>
      <c r="E11" s="489" t="s">
        <v>93</v>
      </c>
      <c r="F11" s="490"/>
      <c r="G11" s="492"/>
      <c r="H11" s="491"/>
      <c r="I11" s="489" t="s">
        <v>1482</v>
      </c>
    </row>
    <row r="12" spans="1:9" x14ac:dyDescent="0.25">
      <c r="A12" s="727">
        <v>43217</v>
      </c>
      <c r="B12" s="780" t="s">
        <v>359</v>
      </c>
      <c r="C12" s="489" t="s">
        <v>350</v>
      </c>
      <c r="D12" s="489" t="s">
        <v>360</v>
      </c>
      <c r="E12" s="489" t="s">
        <v>93</v>
      </c>
      <c r="F12" s="490"/>
      <c r="G12" s="492">
        <v>25</v>
      </c>
      <c r="H12" s="491"/>
      <c r="I12" s="489"/>
    </row>
    <row r="13" spans="1:9" x14ac:dyDescent="0.25">
      <c r="A13" s="727">
        <v>43223</v>
      </c>
      <c r="B13" s="780" t="s">
        <v>375</v>
      </c>
      <c r="C13" s="489" t="s">
        <v>369</v>
      </c>
      <c r="D13" s="489" t="s">
        <v>370</v>
      </c>
      <c r="E13" s="489" t="s">
        <v>93</v>
      </c>
      <c r="F13" s="490"/>
      <c r="G13" s="492">
        <v>160</v>
      </c>
      <c r="H13" s="491"/>
      <c r="I13" s="489"/>
    </row>
    <row r="14" spans="1:9" x14ac:dyDescent="0.25">
      <c r="A14" s="727">
        <v>43244</v>
      </c>
      <c r="B14" s="780" t="s">
        <v>426</v>
      </c>
      <c r="C14" s="489" t="s">
        <v>427</v>
      </c>
      <c r="D14" s="489" t="s">
        <v>428</v>
      </c>
      <c r="E14" s="489" t="s">
        <v>93</v>
      </c>
      <c r="F14" s="490"/>
      <c r="G14" s="492">
        <v>3</v>
      </c>
      <c r="H14" s="491"/>
      <c r="I14" s="489"/>
    </row>
    <row r="15" spans="1:9" x14ac:dyDescent="0.25">
      <c r="A15" s="727">
        <v>43389</v>
      </c>
      <c r="B15" s="780" t="s">
        <v>1466</v>
      </c>
      <c r="C15" s="489" t="s">
        <v>1467</v>
      </c>
      <c r="D15" s="489" t="s">
        <v>1468</v>
      </c>
      <c r="E15" s="489" t="s">
        <v>93</v>
      </c>
      <c r="F15" s="490"/>
      <c r="G15" s="492">
        <v>150</v>
      </c>
      <c r="H15" s="491"/>
      <c r="I15" s="489"/>
    </row>
    <row r="16" spans="1:9" x14ac:dyDescent="0.25">
      <c r="A16" s="727">
        <v>43390</v>
      </c>
      <c r="B16" s="780" t="s">
        <v>1466</v>
      </c>
      <c r="C16" s="489" t="s">
        <v>1467</v>
      </c>
      <c r="D16" s="489" t="s">
        <v>1468</v>
      </c>
      <c r="E16" s="489" t="s">
        <v>93</v>
      </c>
      <c r="F16" s="490"/>
      <c r="G16" s="492">
        <v>450</v>
      </c>
      <c r="H16" s="491"/>
      <c r="I16" s="489"/>
    </row>
    <row r="17" spans="1:9" x14ac:dyDescent="0.25">
      <c r="A17" s="727">
        <v>43390</v>
      </c>
      <c r="B17" s="780" t="s">
        <v>359</v>
      </c>
      <c r="C17" s="489" t="s">
        <v>1225</v>
      </c>
      <c r="D17" s="489" t="s">
        <v>360</v>
      </c>
      <c r="E17" s="489" t="s">
        <v>93</v>
      </c>
      <c r="F17" s="490"/>
      <c r="G17" s="492">
        <v>60</v>
      </c>
      <c r="H17" s="491"/>
      <c r="I17" s="489"/>
    </row>
    <row r="18" spans="1:9" x14ac:dyDescent="0.25">
      <c r="A18" s="727">
        <v>43391</v>
      </c>
      <c r="B18" s="780" t="s">
        <v>1466</v>
      </c>
      <c r="C18" s="489" t="s">
        <v>1467</v>
      </c>
      <c r="D18" s="489" t="s">
        <v>1468</v>
      </c>
      <c r="E18" s="489" t="s">
        <v>93</v>
      </c>
      <c r="F18" s="490"/>
      <c r="G18" s="492">
        <v>400</v>
      </c>
      <c r="H18" s="491"/>
      <c r="I18" s="489"/>
    </row>
    <row r="19" spans="1:9" x14ac:dyDescent="0.25">
      <c r="A19" s="727">
        <v>43402</v>
      </c>
      <c r="B19" s="780" t="s">
        <v>1489</v>
      </c>
      <c r="C19" s="489" t="s">
        <v>350</v>
      </c>
      <c r="D19" s="489" t="s">
        <v>1490</v>
      </c>
      <c r="E19" s="489" t="s">
        <v>93</v>
      </c>
      <c r="F19" s="490"/>
      <c r="G19" s="492">
        <v>73.5</v>
      </c>
      <c r="H19" s="491"/>
      <c r="I19" s="489" t="s">
        <v>1491</v>
      </c>
    </row>
    <row r="20" spans="1:9" x14ac:dyDescent="0.25">
      <c r="A20" s="727">
        <v>43403</v>
      </c>
      <c r="B20" s="780" t="s">
        <v>1489</v>
      </c>
      <c r="C20" s="489" t="s">
        <v>350</v>
      </c>
      <c r="D20" s="489" t="s">
        <v>1490</v>
      </c>
      <c r="E20" s="489" t="s">
        <v>93</v>
      </c>
      <c r="F20" s="490"/>
      <c r="G20" s="492">
        <v>11</v>
      </c>
      <c r="H20" s="491"/>
      <c r="I20" s="489"/>
    </row>
    <row r="21" spans="1:9" x14ac:dyDescent="0.25">
      <c r="A21" s="727">
        <v>43404</v>
      </c>
      <c r="B21" s="780" t="s">
        <v>1489</v>
      </c>
      <c r="C21" s="489" t="s">
        <v>350</v>
      </c>
      <c r="D21" s="489" t="s">
        <v>1490</v>
      </c>
      <c r="E21" s="489" t="s">
        <v>93</v>
      </c>
      <c r="F21" s="490"/>
      <c r="G21" s="492">
        <v>12</v>
      </c>
      <c r="H21" s="491"/>
      <c r="I21" s="489"/>
    </row>
    <row r="22" spans="1:9" x14ac:dyDescent="0.25">
      <c r="A22" s="727">
        <v>43405</v>
      </c>
      <c r="B22" s="780" t="s">
        <v>1489</v>
      </c>
      <c r="C22" s="489" t="s">
        <v>350</v>
      </c>
      <c r="D22" s="489" t="s">
        <v>1490</v>
      </c>
      <c r="E22" s="489" t="s">
        <v>93</v>
      </c>
      <c r="F22" s="490"/>
      <c r="G22" s="492">
        <v>28</v>
      </c>
      <c r="H22" s="491"/>
      <c r="I22" s="489"/>
    </row>
    <row r="23" spans="1:9" x14ac:dyDescent="0.25">
      <c r="A23" s="727">
        <v>43409</v>
      </c>
      <c r="B23" s="780" t="s">
        <v>1489</v>
      </c>
      <c r="C23" s="489" t="s">
        <v>768</v>
      </c>
      <c r="D23" s="489" t="s">
        <v>1490</v>
      </c>
      <c r="E23" s="489" t="s">
        <v>93</v>
      </c>
      <c r="F23" s="490"/>
      <c r="G23" s="492">
        <v>4</v>
      </c>
      <c r="H23" s="491"/>
      <c r="I23" s="489"/>
    </row>
    <row r="24" spans="1:9" x14ac:dyDescent="0.25">
      <c r="A24" s="727">
        <v>43410</v>
      </c>
      <c r="B24" s="780" t="s">
        <v>1489</v>
      </c>
      <c r="C24" s="489" t="s">
        <v>768</v>
      </c>
      <c r="D24" s="489" t="s">
        <v>1490</v>
      </c>
      <c r="E24" s="489" t="s">
        <v>93</v>
      </c>
      <c r="F24" s="490"/>
      <c r="G24" s="492">
        <v>15</v>
      </c>
      <c r="H24" s="491"/>
      <c r="I24" s="489"/>
    </row>
    <row r="25" spans="1:9" x14ac:dyDescent="0.25">
      <c r="A25" s="727">
        <v>43410</v>
      </c>
      <c r="B25" s="780" t="s">
        <v>1512</v>
      </c>
      <c r="C25" s="489" t="s">
        <v>1513</v>
      </c>
      <c r="D25" s="489" t="s">
        <v>1514</v>
      </c>
      <c r="E25" s="489" t="s">
        <v>93</v>
      </c>
      <c r="F25" s="490"/>
      <c r="G25" s="492">
        <v>130</v>
      </c>
      <c r="H25" s="491"/>
      <c r="I25" s="489"/>
    </row>
    <row r="26" spans="1:9" x14ac:dyDescent="0.25">
      <c r="A26" s="727">
        <v>43411</v>
      </c>
      <c r="B26" s="780" t="s">
        <v>1512</v>
      </c>
      <c r="C26" s="489" t="s">
        <v>1513</v>
      </c>
      <c r="D26" s="489" t="s">
        <v>1514</v>
      </c>
      <c r="E26" s="489" t="s">
        <v>93</v>
      </c>
      <c r="F26" s="490"/>
      <c r="G26" s="492">
        <v>45</v>
      </c>
      <c r="H26" s="491"/>
      <c r="I26" s="489"/>
    </row>
    <row r="27" spans="1:9" x14ac:dyDescent="0.25">
      <c r="A27" s="727">
        <v>43413</v>
      </c>
      <c r="B27" s="780" t="s">
        <v>1512</v>
      </c>
      <c r="C27" s="489" t="s">
        <v>1513</v>
      </c>
      <c r="D27" s="489" t="s">
        <v>1514</v>
      </c>
      <c r="E27" s="489" t="s">
        <v>93</v>
      </c>
      <c r="F27" s="490"/>
      <c r="G27" s="492">
        <v>60</v>
      </c>
      <c r="H27" s="491"/>
      <c r="I27" s="489"/>
    </row>
    <row r="28" spans="1:9" x14ac:dyDescent="0.25">
      <c r="A28" s="727">
        <v>43417</v>
      </c>
      <c r="B28" s="780" t="s">
        <v>1512</v>
      </c>
      <c r="C28" s="489" t="s">
        <v>1513</v>
      </c>
      <c r="D28" s="489" t="s">
        <v>1514</v>
      </c>
      <c r="E28" s="489" t="s">
        <v>93</v>
      </c>
      <c r="F28" s="490"/>
      <c r="G28" s="492">
        <v>40</v>
      </c>
      <c r="H28" s="491"/>
      <c r="I28" s="489"/>
    </row>
    <row r="29" spans="1:9" x14ac:dyDescent="0.25">
      <c r="A29" s="727">
        <v>43418</v>
      </c>
      <c r="B29" s="780" t="s">
        <v>1512</v>
      </c>
      <c r="C29" s="489" t="s">
        <v>1513</v>
      </c>
      <c r="D29" s="489" t="s">
        <v>1514</v>
      </c>
      <c r="E29" s="489" t="s">
        <v>93</v>
      </c>
      <c r="F29" s="490"/>
      <c r="G29" s="492">
        <v>40</v>
      </c>
      <c r="H29" s="491"/>
      <c r="I29" s="489"/>
    </row>
    <row r="30" spans="1:9" x14ac:dyDescent="0.25">
      <c r="A30" s="727"/>
      <c r="B30" s="780"/>
      <c r="C30" s="489"/>
      <c r="D30" s="489"/>
      <c r="E30" s="489"/>
      <c r="F30" s="490"/>
      <c r="G30" s="492"/>
      <c r="H30" s="491"/>
      <c r="I30" s="489"/>
    </row>
    <row r="31" spans="1:9" x14ac:dyDescent="0.25">
      <c r="A31" s="727"/>
      <c r="B31" s="780"/>
      <c r="C31" s="489"/>
      <c r="D31" s="489"/>
      <c r="E31" s="489"/>
      <c r="F31" s="490"/>
      <c r="G31" s="492"/>
      <c r="H31" s="491"/>
      <c r="I31" s="489"/>
    </row>
    <row r="32" spans="1:9" x14ac:dyDescent="0.25">
      <c r="A32" s="727"/>
      <c r="B32" s="780"/>
      <c r="C32" s="489"/>
      <c r="D32" s="489"/>
      <c r="E32" s="489"/>
      <c r="F32" s="490">
        <f>SUM(F3:F29)</f>
        <v>1434</v>
      </c>
      <c r="G32" s="492">
        <f>SUM(G3:G29)</f>
        <v>1707.5</v>
      </c>
      <c r="H32" s="491"/>
      <c r="I32" s="489"/>
    </row>
    <row r="33" spans="1:9" x14ac:dyDescent="0.25">
      <c r="A33" s="727"/>
      <c r="B33" s="780"/>
      <c r="C33" s="489"/>
      <c r="D33" s="489"/>
      <c r="E33" s="489"/>
      <c r="F33" s="490"/>
      <c r="G33" s="492"/>
      <c r="H33" s="491"/>
      <c r="I33" s="489"/>
    </row>
    <row r="34" spans="1:9" x14ac:dyDescent="0.25">
      <c r="A34" s="727"/>
      <c r="B34" s="780"/>
      <c r="C34" s="489"/>
      <c r="D34" s="489"/>
      <c r="E34" s="489"/>
      <c r="F34" s="490"/>
      <c r="G34" s="492"/>
      <c r="H34" s="491"/>
      <c r="I34" s="489"/>
    </row>
    <row r="35" spans="1:9" x14ac:dyDescent="0.25">
      <c r="A35" s="727"/>
      <c r="B35" s="780"/>
      <c r="C35" s="489"/>
      <c r="D35" s="489"/>
      <c r="E35" s="489"/>
      <c r="F35" s="490"/>
      <c r="G35" s="492"/>
      <c r="H35" s="491"/>
      <c r="I35" s="489"/>
    </row>
    <row r="36" spans="1:9" x14ac:dyDescent="0.25">
      <c r="A36" s="727"/>
      <c r="B36" s="780"/>
      <c r="C36" s="489"/>
      <c r="D36" s="489"/>
      <c r="E36" s="489"/>
      <c r="F36" s="490"/>
      <c r="G36" s="492"/>
      <c r="H36" s="491"/>
      <c r="I36" s="489"/>
    </row>
    <row r="37" spans="1:9" x14ac:dyDescent="0.25">
      <c r="A37" s="727"/>
      <c r="B37" s="780"/>
      <c r="C37" s="489"/>
      <c r="D37" s="489"/>
      <c r="E37" s="489"/>
      <c r="F37" s="490"/>
      <c r="G37" s="492"/>
      <c r="H37" s="491"/>
      <c r="I37" s="489"/>
    </row>
    <row r="38" spans="1:9" x14ac:dyDescent="0.25">
      <c r="A38" s="727"/>
      <c r="B38" s="780"/>
      <c r="C38" s="489"/>
      <c r="D38" s="489"/>
      <c r="E38" s="489"/>
      <c r="F38" s="490"/>
      <c r="G38" s="492"/>
      <c r="H38" s="491"/>
      <c r="I38" s="489"/>
    </row>
    <row r="39" spans="1:9" x14ac:dyDescent="0.25">
      <c r="A39" s="727"/>
      <c r="B39" s="780"/>
      <c r="C39" s="489"/>
      <c r="D39" s="489"/>
      <c r="E39" s="489"/>
      <c r="F39" s="490"/>
      <c r="G39" s="492"/>
      <c r="H39" s="491"/>
      <c r="I39" s="489"/>
    </row>
    <row r="40" spans="1:9" x14ac:dyDescent="0.25">
      <c r="A40" s="727"/>
      <c r="B40" s="780"/>
      <c r="C40" s="489"/>
      <c r="D40" s="489"/>
      <c r="E40" s="489"/>
      <c r="F40" s="490"/>
      <c r="G40" s="492"/>
      <c r="H40" s="491"/>
      <c r="I40" s="489"/>
    </row>
    <row r="41" spans="1:9" x14ac:dyDescent="0.25">
      <c r="A41" s="727"/>
      <c r="B41" s="489"/>
      <c r="C41" s="489"/>
      <c r="D41" s="489"/>
      <c r="E41" s="489"/>
      <c r="F41" s="490"/>
      <c r="G41" s="492"/>
      <c r="H41" s="491"/>
      <c r="I41" s="489"/>
    </row>
    <row r="42" spans="1:9" x14ac:dyDescent="0.25">
      <c r="A42" s="727"/>
      <c r="B42" s="489"/>
      <c r="C42" s="489"/>
      <c r="D42" s="489"/>
      <c r="E42" s="489"/>
      <c r="F42" s="490"/>
      <c r="G42" s="492"/>
      <c r="H42" s="491"/>
      <c r="I42" s="489"/>
    </row>
    <row r="43" spans="1:9" x14ac:dyDescent="0.25">
      <c r="A43" s="727"/>
      <c r="B43" s="489"/>
      <c r="C43" s="489"/>
      <c r="D43" s="489"/>
      <c r="E43" s="489"/>
      <c r="F43" s="490"/>
      <c r="G43" s="492"/>
      <c r="H43" s="491"/>
      <c r="I43" s="489"/>
    </row>
    <row r="44" spans="1:9" x14ac:dyDescent="0.25">
      <c r="A44" s="727"/>
      <c r="B44" s="489"/>
      <c r="C44" s="489"/>
      <c r="D44" s="489"/>
      <c r="E44" s="489"/>
      <c r="F44" s="490"/>
      <c r="G44" s="492"/>
      <c r="H44" s="491"/>
      <c r="I44" s="489"/>
    </row>
    <row r="45" spans="1:9" x14ac:dyDescent="0.25">
      <c r="A45" s="727"/>
      <c r="B45" s="489"/>
      <c r="C45" s="489"/>
      <c r="D45" s="489"/>
      <c r="E45" s="489"/>
      <c r="F45" s="490"/>
      <c r="G45" s="492"/>
      <c r="H45" s="491"/>
      <c r="I45" s="489"/>
    </row>
    <row r="46" spans="1:9" x14ac:dyDescent="0.25">
      <c r="A46" s="727"/>
      <c r="B46" s="489"/>
      <c r="C46" s="489"/>
      <c r="D46" s="489"/>
      <c r="E46" s="489"/>
      <c r="F46" s="490"/>
      <c r="G46" s="492"/>
      <c r="H46" s="491"/>
      <c r="I46" s="489"/>
    </row>
    <row r="47" spans="1:9" x14ac:dyDescent="0.25">
      <c r="A47" s="727"/>
      <c r="B47" s="489"/>
      <c r="C47" s="489"/>
      <c r="D47" s="489"/>
      <c r="E47" s="489"/>
      <c r="F47" s="490"/>
      <c r="G47" s="492"/>
      <c r="H47" s="491"/>
      <c r="I47" s="489"/>
    </row>
    <row r="48" spans="1:9" x14ac:dyDescent="0.25">
      <c r="A48" s="727"/>
      <c r="B48" s="489"/>
      <c r="C48" s="489"/>
      <c r="D48" s="489"/>
      <c r="E48" s="489"/>
      <c r="F48" s="490"/>
      <c r="G48" s="492"/>
      <c r="H48" s="491"/>
      <c r="I48" s="489"/>
    </row>
    <row r="49" spans="1:9" x14ac:dyDescent="0.25">
      <c r="A49" s="727"/>
      <c r="B49" s="489"/>
      <c r="C49" s="489"/>
      <c r="D49" s="489"/>
      <c r="E49" s="489"/>
      <c r="F49" s="490"/>
      <c r="G49" s="492"/>
      <c r="H49" s="491"/>
      <c r="I49" s="489"/>
    </row>
    <row r="50" spans="1:9" x14ac:dyDescent="0.25">
      <c r="A50" s="727"/>
      <c r="B50" s="489"/>
      <c r="C50" s="489"/>
      <c r="D50" s="489"/>
      <c r="E50" s="489"/>
      <c r="F50" s="490"/>
      <c r="G50" s="492"/>
      <c r="H50" s="491"/>
      <c r="I50" s="489"/>
    </row>
    <row r="51" spans="1:9" x14ac:dyDescent="0.25">
      <c r="A51" s="727"/>
      <c r="B51" s="489"/>
      <c r="C51" s="489"/>
      <c r="D51" s="489"/>
      <c r="E51" s="489"/>
      <c r="F51" s="490"/>
      <c r="G51" s="492"/>
      <c r="H51" s="491"/>
      <c r="I51" s="489"/>
    </row>
    <row r="52" spans="1:9" x14ac:dyDescent="0.25">
      <c r="A52" s="727"/>
      <c r="B52" s="489"/>
      <c r="C52" s="489"/>
      <c r="D52" s="489"/>
      <c r="E52" s="489"/>
      <c r="F52" s="490"/>
      <c r="G52" s="492"/>
      <c r="H52" s="491"/>
      <c r="I52" s="489"/>
    </row>
    <row r="53" spans="1:9" x14ac:dyDescent="0.25">
      <c r="A53" s="727"/>
      <c r="B53" s="489"/>
      <c r="C53" s="489"/>
      <c r="D53" s="489"/>
      <c r="E53" s="489"/>
      <c r="F53" s="490"/>
      <c r="G53" s="492"/>
      <c r="H53" s="491"/>
      <c r="I53" s="489"/>
    </row>
    <row r="54" spans="1:9" x14ac:dyDescent="0.25">
      <c r="A54" s="727"/>
      <c r="B54" s="489"/>
      <c r="C54" s="489"/>
      <c r="D54" s="489"/>
      <c r="E54" s="489"/>
      <c r="F54" s="490"/>
      <c r="G54" s="492"/>
      <c r="H54" s="491"/>
      <c r="I54" s="489"/>
    </row>
    <row r="55" spans="1:9" x14ac:dyDescent="0.25">
      <c r="A55" s="727"/>
      <c r="B55" s="489"/>
      <c r="C55" s="489"/>
      <c r="D55" s="489"/>
      <c r="E55" s="489"/>
      <c r="F55" s="490"/>
      <c r="G55" s="492"/>
      <c r="H55" s="491"/>
      <c r="I55" s="489"/>
    </row>
    <row r="56" spans="1:9" x14ac:dyDescent="0.25">
      <c r="A56" s="727"/>
      <c r="B56" s="489"/>
      <c r="C56" s="489"/>
      <c r="D56" s="489"/>
      <c r="E56" s="489"/>
      <c r="F56" s="490"/>
      <c r="G56" s="492"/>
      <c r="H56" s="491"/>
      <c r="I56" s="489"/>
    </row>
    <row r="57" spans="1:9" x14ac:dyDescent="0.25">
      <c r="A57" s="727"/>
      <c r="B57" s="489"/>
      <c r="C57" s="489"/>
      <c r="D57" s="489"/>
      <c r="E57" s="489"/>
      <c r="F57" s="490"/>
      <c r="G57" s="492"/>
      <c r="H57" s="491"/>
      <c r="I57" s="489"/>
    </row>
    <row r="58" spans="1:9" x14ac:dyDescent="0.25">
      <c r="A58" s="727"/>
      <c r="B58" s="489"/>
      <c r="C58" s="489"/>
      <c r="D58" s="489"/>
      <c r="E58" s="489"/>
      <c r="F58" s="490"/>
      <c r="G58" s="492"/>
      <c r="H58" s="491"/>
      <c r="I58" s="489"/>
    </row>
    <row r="59" spans="1:9" x14ac:dyDescent="0.25">
      <c r="A59" s="727"/>
      <c r="B59" s="489"/>
      <c r="C59" s="489"/>
      <c r="D59" s="489"/>
      <c r="E59" s="489"/>
      <c r="F59" s="490"/>
      <c r="G59" s="492"/>
      <c r="H59" s="491"/>
      <c r="I59" s="489"/>
    </row>
    <row r="60" spans="1:9" x14ac:dyDescent="0.25">
      <c r="A60" s="727"/>
      <c r="B60" s="489"/>
      <c r="C60" s="489"/>
      <c r="D60" s="489"/>
      <c r="E60" s="489"/>
      <c r="F60" s="490"/>
      <c r="G60" s="492"/>
      <c r="H60" s="491"/>
      <c r="I60" s="489"/>
    </row>
    <row r="61" spans="1:9" x14ac:dyDescent="0.25">
      <c r="A61" s="727"/>
      <c r="B61" s="489"/>
      <c r="C61" s="489"/>
      <c r="D61" s="489"/>
      <c r="E61" s="489"/>
      <c r="F61" s="490"/>
      <c r="G61" s="492"/>
      <c r="H61" s="491"/>
      <c r="I61" s="489"/>
    </row>
    <row r="62" spans="1:9" x14ac:dyDescent="0.25">
      <c r="A62" s="727"/>
      <c r="B62" s="489"/>
      <c r="C62" s="489"/>
      <c r="D62" s="489"/>
      <c r="E62" s="489"/>
      <c r="F62" s="490"/>
      <c r="G62" s="492"/>
      <c r="H62" s="491"/>
      <c r="I62" s="489"/>
    </row>
    <row r="63" spans="1:9" x14ac:dyDescent="0.25">
      <c r="A63" s="727"/>
      <c r="B63" s="489"/>
      <c r="C63" s="489"/>
      <c r="D63" s="489"/>
      <c r="E63" s="489"/>
      <c r="F63" s="490"/>
      <c r="G63" s="492"/>
      <c r="H63" s="491"/>
      <c r="I63" s="489"/>
    </row>
    <row r="64" spans="1:9" x14ac:dyDescent="0.25">
      <c r="A64" s="727"/>
      <c r="B64" s="489"/>
      <c r="C64" s="489"/>
      <c r="D64" s="489"/>
      <c r="E64" s="489"/>
      <c r="F64" s="490"/>
      <c r="G64" s="492"/>
      <c r="H64" s="491"/>
      <c r="I64" s="489"/>
    </row>
    <row r="65" spans="1:9" x14ac:dyDescent="0.25">
      <c r="A65" s="727"/>
      <c r="B65" s="489"/>
      <c r="C65" s="489"/>
      <c r="D65" s="489"/>
      <c r="E65" s="489"/>
      <c r="F65" s="490"/>
      <c r="G65" s="492"/>
      <c r="H65" s="491"/>
      <c r="I65" s="489"/>
    </row>
    <row r="66" spans="1:9" x14ac:dyDescent="0.25">
      <c r="A66" s="727"/>
      <c r="B66" s="489"/>
      <c r="C66" s="489"/>
      <c r="D66" s="489"/>
      <c r="E66" s="489"/>
      <c r="F66" s="490"/>
      <c r="G66" s="492"/>
      <c r="H66" s="491"/>
      <c r="I66" s="489"/>
    </row>
    <row r="67" spans="1:9" x14ac:dyDescent="0.25">
      <c r="A67" s="727"/>
      <c r="B67" s="489"/>
      <c r="C67" s="489"/>
      <c r="D67" s="489"/>
      <c r="E67" s="489"/>
      <c r="F67" s="490"/>
      <c r="G67" s="492"/>
      <c r="H67" s="491"/>
      <c r="I67" s="489"/>
    </row>
    <row r="68" spans="1:9" x14ac:dyDescent="0.25">
      <c r="A68" s="727"/>
      <c r="B68" s="489"/>
      <c r="C68" s="489"/>
      <c r="D68" s="489"/>
      <c r="E68" s="489"/>
      <c r="F68" s="490"/>
      <c r="G68" s="492"/>
      <c r="H68" s="491"/>
      <c r="I68" s="489"/>
    </row>
    <row r="69" spans="1:9" x14ac:dyDescent="0.25">
      <c r="A69" s="727"/>
      <c r="B69" s="489"/>
      <c r="C69" s="489"/>
      <c r="D69" s="489"/>
      <c r="E69" s="489"/>
      <c r="F69" s="490"/>
      <c r="G69" s="492"/>
      <c r="H69" s="491"/>
      <c r="I69" s="489"/>
    </row>
    <row r="70" spans="1:9" x14ac:dyDescent="0.25">
      <c r="A70" s="727"/>
      <c r="B70" s="489"/>
      <c r="C70" s="489"/>
      <c r="D70" s="489"/>
      <c r="E70" s="489"/>
      <c r="F70" s="490"/>
      <c r="G70" s="492"/>
      <c r="H70" s="491"/>
      <c r="I70" s="489"/>
    </row>
    <row r="71" spans="1:9" x14ac:dyDescent="0.25">
      <c r="A71" s="727"/>
      <c r="B71" s="489"/>
      <c r="C71" s="489"/>
      <c r="D71" s="489"/>
      <c r="E71" s="489"/>
      <c r="F71" s="490"/>
      <c r="G71" s="492"/>
      <c r="H71" s="491"/>
      <c r="I71" s="489"/>
    </row>
    <row r="72" spans="1:9" x14ac:dyDescent="0.25">
      <c r="A72" s="727"/>
      <c r="B72" s="489"/>
      <c r="C72" s="489"/>
      <c r="D72" s="489"/>
      <c r="E72" s="489"/>
      <c r="F72" s="490"/>
      <c r="G72" s="492"/>
      <c r="H72" s="491"/>
      <c r="I72" s="489"/>
    </row>
    <row r="73" spans="1:9" x14ac:dyDescent="0.25">
      <c r="A73" s="727"/>
      <c r="B73" s="489"/>
      <c r="C73" s="489"/>
      <c r="D73" s="489"/>
      <c r="E73" s="489"/>
      <c r="F73" s="490"/>
      <c r="G73" s="492"/>
      <c r="H73" s="491"/>
      <c r="I73" s="489"/>
    </row>
    <row r="74" spans="1:9" x14ac:dyDescent="0.25">
      <c r="A74" s="727"/>
      <c r="B74" s="489"/>
      <c r="C74" s="489"/>
      <c r="D74" s="489"/>
      <c r="E74" s="489"/>
      <c r="F74" s="490"/>
      <c r="G74" s="492"/>
      <c r="H74" s="491"/>
      <c r="I74" s="489"/>
    </row>
    <row r="75" spans="1:9" x14ac:dyDescent="0.25">
      <c r="A75" s="727"/>
      <c r="B75" s="489"/>
      <c r="C75" s="489"/>
      <c r="D75" s="489"/>
      <c r="E75" s="489"/>
      <c r="F75" s="490"/>
      <c r="G75" s="492"/>
      <c r="H75" s="491"/>
      <c r="I75" s="489"/>
    </row>
    <row r="76" spans="1:9" x14ac:dyDescent="0.25">
      <c r="A76" s="727"/>
      <c r="B76" s="489"/>
      <c r="C76" s="489"/>
      <c r="D76" s="489"/>
      <c r="E76" s="489"/>
      <c r="F76" s="490"/>
      <c r="G76" s="492"/>
      <c r="H76" s="491"/>
      <c r="I76" s="489"/>
    </row>
    <row r="77" spans="1:9" x14ac:dyDescent="0.25">
      <c r="A77" s="727"/>
      <c r="B77" s="489"/>
      <c r="C77" s="489"/>
      <c r="D77" s="489"/>
      <c r="E77" s="489"/>
      <c r="F77" s="490"/>
      <c r="G77" s="492"/>
      <c r="H77" s="491"/>
      <c r="I77" s="489"/>
    </row>
    <row r="78" spans="1:9" x14ac:dyDescent="0.25">
      <c r="A78" s="727"/>
      <c r="B78" s="489"/>
      <c r="C78" s="489"/>
      <c r="D78" s="489"/>
      <c r="E78" s="489"/>
      <c r="F78" s="490"/>
      <c r="G78" s="492"/>
      <c r="H78" s="491"/>
      <c r="I78" s="489"/>
    </row>
    <row r="79" spans="1:9" x14ac:dyDescent="0.25">
      <c r="A79" s="727"/>
      <c r="B79" s="489"/>
      <c r="C79" s="489"/>
      <c r="D79" s="489"/>
      <c r="E79" s="489"/>
      <c r="F79" s="490"/>
      <c r="G79" s="492"/>
      <c r="H79" s="491"/>
      <c r="I79" s="489"/>
    </row>
    <row r="80" spans="1:9" x14ac:dyDescent="0.25">
      <c r="A80" s="727"/>
      <c r="B80" s="489"/>
      <c r="C80" s="489"/>
      <c r="D80" s="489"/>
      <c r="E80" s="489"/>
      <c r="F80" s="490"/>
      <c r="G80" s="492"/>
      <c r="H80" s="491"/>
      <c r="I80" s="489"/>
    </row>
    <row r="81" spans="1:9" x14ac:dyDescent="0.25">
      <c r="A81" s="727"/>
      <c r="B81" s="489"/>
      <c r="C81" s="489"/>
      <c r="D81" s="489"/>
      <c r="E81" s="489"/>
      <c r="F81" s="490"/>
      <c r="G81" s="492"/>
      <c r="H81" s="491"/>
      <c r="I81" s="489"/>
    </row>
    <row r="82" spans="1:9" x14ac:dyDescent="0.25">
      <c r="A82" s="727"/>
      <c r="B82" s="489"/>
      <c r="C82" s="489"/>
      <c r="D82" s="489"/>
      <c r="E82" s="489"/>
      <c r="F82" s="490"/>
      <c r="G82" s="492"/>
      <c r="H82" s="491"/>
      <c r="I82" s="489"/>
    </row>
    <row r="83" spans="1:9" x14ac:dyDescent="0.25">
      <c r="A83" s="727"/>
      <c r="B83" s="489"/>
      <c r="C83" s="489"/>
      <c r="D83" s="489"/>
      <c r="E83" s="489"/>
      <c r="F83" s="490"/>
      <c r="G83" s="492"/>
      <c r="H83" s="491"/>
      <c r="I83" s="489"/>
    </row>
    <row r="84" spans="1:9" x14ac:dyDescent="0.25">
      <c r="A84" s="727"/>
      <c r="B84" s="489"/>
      <c r="C84" s="489"/>
      <c r="D84" s="489"/>
      <c r="E84" s="489"/>
      <c r="F84" s="490"/>
      <c r="G84" s="492"/>
      <c r="H84" s="491"/>
      <c r="I84" s="489"/>
    </row>
    <row r="85" spans="1:9" x14ac:dyDescent="0.25">
      <c r="A85" s="727"/>
      <c r="B85" s="489"/>
      <c r="C85" s="489"/>
      <c r="D85" s="489"/>
      <c r="E85" s="489"/>
      <c r="F85" s="490"/>
      <c r="G85" s="492"/>
      <c r="H85" s="491"/>
      <c r="I85" s="489"/>
    </row>
    <row r="86" spans="1:9" x14ac:dyDescent="0.25">
      <c r="A86" s="727"/>
      <c r="B86" s="489"/>
      <c r="C86" s="489"/>
      <c r="D86" s="489"/>
      <c r="E86" s="489"/>
      <c r="F86" s="490"/>
      <c r="G86" s="492"/>
      <c r="H86" s="491"/>
      <c r="I86" s="489"/>
    </row>
    <row r="87" spans="1:9" x14ac:dyDescent="0.25">
      <c r="A87" s="727"/>
      <c r="B87" s="489"/>
      <c r="C87" s="489"/>
      <c r="D87" s="489"/>
      <c r="E87" s="489"/>
      <c r="F87" s="490"/>
      <c r="G87" s="492"/>
      <c r="H87" s="491"/>
      <c r="I87" s="489"/>
    </row>
    <row r="88" spans="1:9" x14ac:dyDescent="0.25">
      <c r="A88" s="727"/>
      <c r="B88" s="489"/>
      <c r="C88" s="489"/>
      <c r="D88" s="489"/>
      <c r="E88" s="489"/>
      <c r="F88" s="490"/>
      <c r="G88" s="492"/>
      <c r="H88" s="491"/>
      <c r="I88" s="489"/>
    </row>
    <row r="89" spans="1:9" x14ac:dyDescent="0.25">
      <c r="A89" s="727"/>
      <c r="B89" s="489"/>
      <c r="C89" s="489"/>
      <c r="D89" s="489"/>
      <c r="E89" s="489"/>
      <c r="F89" s="490"/>
      <c r="G89" s="492"/>
      <c r="H89" s="491"/>
      <c r="I89" s="489"/>
    </row>
    <row r="90" spans="1:9" x14ac:dyDescent="0.25">
      <c r="A90" s="727"/>
      <c r="B90" s="489"/>
      <c r="C90" s="489"/>
      <c r="D90" s="489"/>
      <c r="E90" s="489"/>
      <c r="F90" s="490"/>
      <c r="G90" s="492"/>
      <c r="H90" s="491"/>
      <c r="I90" s="489"/>
    </row>
    <row r="91" spans="1:9" x14ac:dyDescent="0.25">
      <c r="A91" s="727"/>
      <c r="B91" s="489"/>
      <c r="C91" s="489"/>
      <c r="D91" s="489"/>
      <c r="E91" s="489"/>
      <c r="F91" s="490"/>
      <c r="G91" s="492"/>
      <c r="H91" s="491"/>
      <c r="I91" s="489"/>
    </row>
    <row r="92" spans="1:9" x14ac:dyDescent="0.25">
      <c r="A92" s="727"/>
      <c r="B92" s="489"/>
      <c r="C92" s="489"/>
      <c r="D92" s="489"/>
      <c r="E92" s="489"/>
      <c r="F92" s="490"/>
      <c r="G92" s="492"/>
      <c r="H92" s="491"/>
      <c r="I92" s="489"/>
    </row>
    <row r="93" spans="1:9" x14ac:dyDescent="0.25">
      <c r="A93" s="727"/>
      <c r="B93" s="489"/>
      <c r="C93" s="489"/>
      <c r="D93" s="489"/>
      <c r="E93" s="489"/>
      <c r="F93" s="490"/>
      <c r="G93" s="492"/>
      <c r="H93" s="491"/>
      <c r="I93" s="489"/>
    </row>
    <row r="94" spans="1:9" x14ac:dyDescent="0.25">
      <c r="A94" s="727"/>
      <c r="B94" s="489"/>
      <c r="C94" s="489"/>
      <c r="D94" s="489"/>
      <c r="E94" s="489"/>
      <c r="F94" s="490"/>
      <c r="G94" s="492"/>
      <c r="H94" s="491"/>
      <c r="I94" s="489"/>
    </row>
    <row r="95" spans="1:9" x14ac:dyDescent="0.25">
      <c r="A95" s="727"/>
      <c r="B95" s="489"/>
      <c r="C95" s="489"/>
      <c r="D95" s="489"/>
      <c r="E95" s="489"/>
      <c r="F95" s="490"/>
      <c r="G95" s="492"/>
      <c r="H95" s="491"/>
      <c r="I95" s="489"/>
    </row>
    <row r="96" spans="1:9" x14ac:dyDescent="0.25">
      <c r="A96" s="727"/>
      <c r="B96" s="489"/>
      <c r="C96" s="489"/>
      <c r="D96" s="489"/>
      <c r="E96" s="489"/>
      <c r="F96" s="490"/>
      <c r="G96" s="492"/>
      <c r="H96" s="491"/>
      <c r="I96" s="489"/>
    </row>
    <row r="97" spans="1:9" x14ac:dyDescent="0.25">
      <c r="A97" s="727"/>
      <c r="B97" s="489"/>
      <c r="C97" s="489"/>
      <c r="D97" s="489"/>
      <c r="E97" s="489"/>
      <c r="F97" s="490"/>
      <c r="G97" s="492"/>
      <c r="H97" s="491"/>
      <c r="I97" s="489"/>
    </row>
    <row r="98" spans="1:9" x14ac:dyDescent="0.25">
      <c r="A98" s="727"/>
      <c r="B98" s="489"/>
      <c r="C98" s="489"/>
      <c r="D98" s="489"/>
      <c r="E98" s="489"/>
      <c r="F98" s="490"/>
      <c r="G98" s="492"/>
      <c r="H98" s="491"/>
      <c r="I98" s="489"/>
    </row>
    <row r="99" spans="1:9" x14ac:dyDescent="0.25">
      <c r="A99" s="727"/>
      <c r="B99" s="489"/>
      <c r="C99" s="489"/>
      <c r="D99" s="489"/>
      <c r="E99" s="489"/>
      <c r="F99" s="490"/>
      <c r="G99" s="492"/>
      <c r="H99" s="491"/>
      <c r="I99" s="489"/>
    </row>
    <row r="100" spans="1:9" x14ac:dyDescent="0.25">
      <c r="A100" s="727"/>
      <c r="B100" s="489"/>
      <c r="C100" s="489"/>
      <c r="D100" s="489"/>
      <c r="E100" s="489"/>
      <c r="F100" s="490"/>
      <c r="G100" s="492"/>
      <c r="H100" s="491"/>
      <c r="I100" s="489"/>
    </row>
    <row r="101" spans="1:9" x14ac:dyDescent="0.25">
      <c r="A101" s="727"/>
      <c r="B101" s="489"/>
      <c r="C101" s="489"/>
      <c r="D101" s="489"/>
      <c r="E101" s="489"/>
      <c r="F101" s="490"/>
      <c r="G101" s="492"/>
      <c r="H101" s="491"/>
      <c r="I101" s="489"/>
    </row>
    <row r="102" spans="1:9" x14ac:dyDescent="0.25">
      <c r="A102" s="727"/>
      <c r="B102" s="489"/>
      <c r="C102" s="489"/>
      <c r="D102" s="489"/>
      <c r="E102" s="489"/>
      <c r="F102" s="490"/>
      <c r="G102" s="492"/>
      <c r="H102" s="491"/>
      <c r="I102" s="489"/>
    </row>
    <row r="103" spans="1:9" x14ac:dyDescent="0.25">
      <c r="A103" s="727"/>
      <c r="B103" s="489"/>
      <c r="C103" s="489"/>
      <c r="D103" s="489"/>
      <c r="E103" s="489"/>
      <c r="F103" s="490"/>
      <c r="G103" s="492"/>
      <c r="H103" s="491"/>
      <c r="I103" s="489"/>
    </row>
    <row r="104" spans="1:9" x14ac:dyDescent="0.25">
      <c r="A104" s="727"/>
      <c r="B104" s="489"/>
      <c r="C104" s="489"/>
      <c r="D104" s="489"/>
      <c r="E104" s="489"/>
      <c r="F104" s="490"/>
      <c r="G104" s="492"/>
      <c r="H104" s="491"/>
      <c r="I104" s="489"/>
    </row>
    <row r="105" spans="1:9" x14ac:dyDescent="0.25">
      <c r="A105" s="727"/>
      <c r="B105" s="489"/>
      <c r="C105" s="489"/>
      <c r="D105" s="489"/>
      <c r="E105" s="489"/>
      <c r="F105" s="490"/>
      <c r="G105" s="492"/>
      <c r="H105" s="491"/>
      <c r="I105" s="489"/>
    </row>
    <row r="106" spans="1:9" x14ac:dyDescent="0.25">
      <c r="A106" s="727"/>
      <c r="B106" s="489"/>
      <c r="C106" s="489"/>
      <c r="D106" s="489"/>
      <c r="E106" s="489"/>
      <c r="F106" s="490"/>
      <c r="G106" s="492"/>
      <c r="H106" s="491"/>
      <c r="I106" s="489"/>
    </row>
    <row r="107" spans="1:9" x14ac:dyDescent="0.25">
      <c r="A107" s="727"/>
      <c r="B107" s="489"/>
      <c r="C107" s="489"/>
      <c r="D107" s="489"/>
      <c r="E107" s="489"/>
      <c r="F107" s="490"/>
      <c r="G107" s="492"/>
      <c r="H107" s="491"/>
      <c r="I107" s="489"/>
    </row>
    <row r="108" spans="1:9" x14ac:dyDescent="0.25">
      <c r="A108" s="727"/>
      <c r="B108" s="489"/>
      <c r="C108" s="489"/>
      <c r="D108" s="489"/>
      <c r="E108" s="489"/>
      <c r="F108" s="490"/>
      <c r="G108" s="492"/>
      <c r="H108" s="491"/>
      <c r="I108" s="489"/>
    </row>
    <row r="109" spans="1:9" x14ac:dyDescent="0.25">
      <c r="A109" s="727"/>
      <c r="B109" s="489"/>
      <c r="C109" s="489"/>
      <c r="D109" s="489"/>
      <c r="E109" s="489"/>
      <c r="F109" s="490"/>
      <c r="G109" s="492"/>
      <c r="H109" s="491"/>
      <c r="I109" s="489"/>
    </row>
    <row r="110" spans="1:9" x14ac:dyDescent="0.25">
      <c r="A110" s="727"/>
      <c r="B110" s="489"/>
      <c r="C110" s="489"/>
      <c r="D110" s="489"/>
      <c r="E110" s="489"/>
      <c r="F110" s="490"/>
      <c r="G110" s="492"/>
      <c r="H110" s="491"/>
      <c r="I110" s="489"/>
    </row>
    <row r="111" spans="1:9" x14ac:dyDescent="0.25">
      <c r="A111" s="727"/>
      <c r="B111" s="489"/>
      <c r="C111" s="489"/>
      <c r="D111" s="489"/>
      <c r="E111" s="489"/>
      <c r="F111" s="490"/>
      <c r="G111" s="492"/>
      <c r="H111" s="491"/>
      <c r="I111" s="489"/>
    </row>
    <row r="112" spans="1:9" x14ac:dyDescent="0.25">
      <c r="A112" s="727"/>
      <c r="B112" s="489"/>
      <c r="C112" s="489"/>
      <c r="D112" s="489"/>
      <c r="E112" s="489"/>
      <c r="F112" s="490"/>
      <c r="G112" s="492"/>
      <c r="H112" s="491"/>
      <c r="I112" s="489"/>
    </row>
    <row r="113" spans="1:9" x14ac:dyDescent="0.25">
      <c r="A113" s="727"/>
      <c r="B113" s="489"/>
      <c r="C113" s="489"/>
      <c r="D113" s="489"/>
      <c r="E113" s="489"/>
      <c r="F113" s="490"/>
      <c r="G113" s="492"/>
      <c r="H113" s="491"/>
      <c r="I113" s="489"/>
    </row>
    <row r="114" spans="1:9" x14ac:dyDescent="0.25">
      <c r="A114" s="727"/>
      <c r="B114" s="489"/>
      <c r="C114" s="489"/>
      <c r="D114" s="489"/>
      <c r="E114" s="489"/>
      <c r="F114" s="490"/>
      <c r="G114" s="492"/>
      <c r="H114" s="491"/>
      <c r="I114" s="489"/>
    </row>
    <row r="115" spans="1:9" x14ac:dyDescent="0.25">
      <c r="A115" s="727"/>
      <c r="B115" s="489"/>
      <c r="C115" s="489"/>
      <c r="D115" s="489"/>
      <c r="E115" s="489"/>
      <c r="F115" s="490"/>
      <c r="G115" s="492"/>
      <c r="H115" s="491"/>
      <c r="I115" s="489"/>
    </row>
    <row r="116" spans="1:9" x14ac:dyDescent="0.25">
      <c r="A116" s="727"/>
      <c r="B116" s="489"/>
      <c r="C116" s="489"/>
      <c r="D116" s="489"/>
      <c r="E116" s="489"/>
      <c r="F116" s="490"/>
      <c r="G116" s="492"/>
      <c r="H116" s="491"/>
      <c r="I116" s="489"/>
    </row>
    <row r="117" spans="1:9" x14ac:dyDescent="0.25">
      <c r="A117" s="727"/>
      <c r="B117" s="489"/>
      <c r="C117" s="489"/>
      <c r="D117" s="489"/>
      <c r="E117" s="489"/>
      <c r="F117" s="490"/>
      <c r="G117" s="492"/>
      <c r="H117" s="491"/>
      <c r="I117" s="489"/>
    </row>
    <row r="118" spans="1:9" x14ac:dyDescent="0.25">
      <c r="A118" s="727"/>
      <c r="B118" s="489"/>
      <c r="C118" s="489"/>
      <c r="D118" s="489"/>
      <c r="E118" s="489"/>
      <c r="F118" s="490"/>
      <c r="G118" s="492"/>
      <c r="H118" s="491"/>
      <c r="I118" s="489"/>
    </row>
    <row r="119" spans="1:9" x14ac:dyDescent="0.25">
      <c r="A119" s="727"/>
      <c r="B119" s="489"/>
      <c r="C119" s="489"/>
      <c r="D119" s="489"/>
      <c r="E119" s="489"/>
      <c r="F119" s="490"/>
      <c r="G119" s="492"/>
      <c r="H119" s="491"/>
      <c r="I119" s="489"/>
    </row>
    <row r="120" spans="1:9" x14ac:dyDescent="0.25">
      <c r="A120" s="727"/>
      <c r="B120" s="489"/>
      <c r="C120" s="489"/>
      <c r="D120" s="489"/>
      <c r="E120" s="489"/>
      <c r="F120" s="490"/>
      <c r="G120" s="492"/>
      <c r="H120" s="491"/>
      <c r="I120" s="489"/>
    </row>
    <row r="121" spans="1:9" x14ac:dyDescent="0.25">
      <c r="A121" s="727"/>
      <c r="B121" s="489"/>
      <c r="C121" s="489"/>
      <c r="D121" s="489"/>
      <c r="E121" s="489"/>
      <c r="F121" s="490"/>
      <c r="G121" s="492"/>
      <c r="H121" s="491"/>
      <c r="I121" s="489"/>
    </row>
    <row r="122" spans="1:9" x14ac:dyDescent="0.25">
      <c r="A122" s="727"/>
      <c r="B122" s="489"/>
      <c r="C122" s="489"/>
      <c r="D122" s="489"/>
      <c r="E122" s="489"/>
      <c r="F122" s="490"/>
      <c r="G122" s="492"/>
      <c r="H122" s="491"/>
      <c r="I122" s="489"/>
    </row>
    <row r="123" spans="1:9" x14ac:dyDescent="0.25">
      <c r="A123" s="727"/>
      <c r="B123" s="489"/>
      <c r="C123" s="489"/>
      <c r="D123" s="489"/>
      <c r="E123" s="489"/>
      <c r="F123" s="490"/>
      <c r="G123" s="492"/>
      <c r="H123" s="491"/>
      <c r="I123" s="489"/>
    </row>
    <row r="124" spans="1:9" x14ac:dyDescent="0.25">
      <c r="A124" s="727"/>
      <c r="B124" s="489"/>
      <c r="C124" s="489"/>
      <c r="D124" s="489"/>
      <c r="E124" s="489"/>
      <c r="F124" s="490"/>
      <c r="G124" s="492"/>
      <c r="H124" s="491"/>
      <c r="I124" s="489"/>
    </row>
    <row r="125" spans="1:9" x14ac:dyDescent="0.25">
      <c r="A125" s="727"/>
      <c r="B125" s="489"/>
      <c r="C125" s="489"/>
      <c r="D125" s="489"/>
      <c r="E125" s="489"/>
      <c r="F125" s="490"/>
      <c r="G125" s="492"/>
      <c r="H125" s="491"/>
      <c r="I125" s="489"/>
    </row>
    <row r="126" spans="1:9" x14ac:dyDescent="0.25">
      <c r="A126" s="727"/>
      <c r="B126" s="489"/>
      <c r="C126" s="489"/>
      <c r="D126" s="489"/>
      <c r="E126" s="489"/>
      <c r="F126" s="490"/>
      <c r="G126" s="492"/>
      <c r="H126" s="491"/>
      <c r="I126" s="489"/>
    </row>
    <row r="127" spans="1:9" x14ac:dyDescent="0.25">
      <c r="A127" s="727"/>
      <c r="B127" s="489"/>
      <c r="C127" s="489"/>
      <c r="D127" s="489"/>
      <c r="E127" s="489"/>
      <c r="F127" s="490"/>
      <c r="G127" s="492"/>
      <c r="H127" s="491"/>
      <c r="I127" s="489"/>
    </row>
    <row r="128" spans="1:9" x14ac:dyDescent="0.25">
      <c r="A128" s="727"/>
      <c r="B128" s="489"/>
      <c r="C128" s="489"/>
      <c r="D128" s="489"/>
      <c r="E128" s="489"/>
      <c r="F128" s="490"/>
      <c r="G128" s="492"/>
      <c r="H128" s="491"/>
      <c r="I128" s="489"/>
    </row>
    <row r="129" spans="1:9" x14ac:dyDescent="0.25">
      <c r="A129" s="727"/>
      <c r="B129" s="489"/>
      <c r="C129" s="489"/>
      <c r="D129" s="489"/>
      <c r="E129" s="489"/>
      <c r="F129" s="490"/>
      <c r="G129" s="492"/>
      <c r="H129" s="491"/>
      <c r="I129" s="489"/>
    </row>
    <row r="130" spans="1:9" x14ac:dyDescent="0.25">
      <c r="A130" s="727"/>
      <c r="B130" s="489"/>
      <c r="C130" s="489"/>
      <c r="D130" s="489"/>
      <c r="E130" s="489"/>
      <c r="F130" s="490"/>
      <c r="G130" s="492"/>
      <c r="H130" s="491"/>
      <c r="I130" s="489"/>
    </row>
    <row r="131" spans="1:9" x14ac:dyDescent="0.25">
      <c r="A131" s="727"/>
      <c r="B131" s="489"/>
      <c r="C131" s="489"/>
      <c r="D131" s="489"/>
      <c r="E131" s="489"/>
      <c r="F131" s="490"/>
      <c r="G131" s="492"/>
      <c r="H131" s="491"/>
      <c r="I131" s="489"/>
    </row>
    <row r="132" spans="1:9" x14ac:dyDescent="0.25">
      <c r="A132" s="727"/>
      <c r="B132" s="489"/>
      <c r="C132" s="489"/>
      <c r="D132" s="489"/>
      <c r="E132" s="489"/>
      <c r="F132" s="490"/>
      <c r="G132" s="492"/>
      <c r="H132" s="491"/>
      <c r="I132" s="489"/>
    </row>
    <row r="133" spans="1:9" x14ac:dyDescent="0.25">
      <c r="A133" s="727"/>
      <c r="B133" s="489"/>
      <c r="C133" s="489"/>
      <c r="D133" s="489"/>
      <c r="E133" s="489"/>
      <c r="F133" s="490"/>
      <c r="G133" s="492"/>
      <c r="H133" s="491"/>
      <c r="I133" s="489"/>
    </row>
    <row r="134" spans="1:9" x14ac:dyDescent="0.25">
      <c r="A134" s="727"/>
      <c r="B134" s="489"/>
      <c r="C134" s="489"/>
      <c r="D134" s="489"/>
      <c r="E134" s="489"/>
      <c r="F134" s="490"/>
      <c r="G134" s="492"/>
      <c r="H134" s="491"/>
      <c r="I134" s="489"/>
    </row>
    <row r="135" spans="1:9" x14ac:dyDescent="0.25">
      <c r="A135" s="727"/>
      <c r="B135" s="489"/>
      <c r="C135" s="489"/>
      <c r="D135" s="489"/>
      <c r="E135" s="489"/>
      <c r="F135" s="490"/>
      <c r="G135" s="492"/>
      <c r="H135" s="491"/>
      <c r="I135" s="489"/>
    </row>
    <row r="136" spans="1:9" x14ac:dyDescent="0.25">
      <c r="A136" s="727"/>
      <c r="B136" s="489"/>
      <c r="C136" s="489"/>
      <c r="D136" s="489"/>
      <c r="E136" s="489"/>
      <c r="F136" s="490"/>
      <c r="G136" s="492"/>
      <c r="H136" s="491"/>
      <c r="I136" s="489"/>
    </row>
    <row r="137" spans="1:9" x14ac:dyDescent="0.25">
      <c r="A137" s="727"/>
      <c r="B137" s="489"/>
      <c r="C137" s="489"/>
      <c r="D137" s="489"/>
      <c r="E137" s="489"/>
      <c r="F137" s="490"/>
      <c r="G137" s="492"/>
      <c r="H137" s="491"/>
      <c r="I137" s="489"/>
    </row>
    <row r="138" spans="1:9" x14ac:dyDescent="0.25">
      <c r="A138" s="727"/>
      <c r="B138" s="489"/>
      <c r="C138" s="489"/>
      <c r="D138" s="489"/>
      <c r="E138" s="489"/>
      <c r="F138" s="490"/>
      <c r="G138" s="492"/>
      <c r="H138" s="491"/>
      <c r="I138" s="489"/>
    </row>
    <row r="139" spans="1:9" x14ac:dyDescent="0.25">
      <c r="A139" s="727"/>
      <c r="B139" s="489"/>
      <c r="C139" s="489"/>
      <c r="D139" s="489"/>
      <c r="E139" s="489"/>
      <c r="F139" s="490"/>
      <c r="G139" s="492"/>
      <c r="H139" s="491"/>
      <c r="I139" s="489"/>
    </row>
    <row r="140" spans="1:9" x14ac:dyDescent="0.25">
      <c r="A140" s="727"/>
      <c r="B140" s="489"/>
      <c r="C140" s="489"/>
      <c r="D140" s="489"/>
      <c r="E140" s="489"/>
      <c r="F140" s="490"/>
      <c r="G140" s="492"/>
      <c r="H140" s="491"/>
      <c r="I140" s="489"/>
    </row>
    <row r="141" spans="1:9" x14ac:dyDescent="0.25">
      <c r="A141" s="727"/>
      <c r="B141" s="489"/>
      <c r="C141" s="489"/>
      <c r="D141" s="489"/>
      <c r="E141" s="489"/>
      <c r="F141" s="490"/>
      <c r="G141" s="492"/>
      <c r="H141" s="491"/>
      <c r="I141" s="489"/>
    </row>
    <row r="142" spans="1:9" x14ac:dyDescent="0.25">
      <c r="A142" s="727"/>
      <c r="B142" s="489"/>
      <c r="C142" s="489"/>
      <c r="D142" s="489"/>
      <c r="E142" s="489"/>
      <c r="F142" s="490"/>
      <c r="G142" s="492"/>
      <c r="H142" s="491"/>
      <c r="I142" s="489"/>
    </row>
    <row r="143" spans="1:9" x14ac:dyDescent="0.25">
      <c r="A143" s="727"/>
      <c r="B143" s="489"/>
      <c r="C143" s="489"/>
      <c r="D143" s="489"/>
      <c r="E143" s="489"/>
      <c r="F143" s="490"/>
      <c r="G143" s="492"/>
      <c r="H143" s="491"/>
      <c r="I143" s="489"/>
    </row>
    <row r="144" spans="1:9" x14ac:dyDescent="0.25">
      <c r="A144" s="727"/>
      <c r="B144" s="489"/>
      <c r="C144" s="489"/>
      <c r="D144" s="489"/>
      <c r="E144" s="489"/>
      <c r="F144" s="490"/>
      <c r="G144" s="492"/>
      <c r="H144" s="491"/>
      <c r="I144" s="489"/>
    </row>
    <row r="145" spans="1:9" x14ac:dyDescent="0.25">
      <c r="A145" s="727"/>
      <c r="B145" s="489"/>
      <c r="C145" s="489"/>
      <c r="D145" s="489"/>
      <c r="E145" s="489"/>
      <c r="F145" s="490"/>
      <c r="G145" s="492"/>
      <c r="H145" s="491"/>
      <c r="I145" s="489"/>
    </row>
    <row r="146" spans="1:9" x14ac:dyDescent="0.25">
      <c r="A146" s="727"/>
      <c r="B146" s="489"/>
      <c r="C146" s="489"/>
      <c r="D146" s="489"/>
      <c r="E146" s="489"/>
      <c r="F146" s="490"/>
      <c r="G146" s="492"/>
      <c r="H146" s="491"/>
      <c r="I146" s="489"/>
    </row>
    <row r="147" spans="1:9" x14ac:dyDescent="0.25">
      <c r="A147" s="727"/>
      <c r="B147" s="489"/>
      <c r="C147" s="489"/>
      <c r="D147" s="489"/>
      <c r="E147" s="489"/>
      <c r="F147" s="490"/>
      <c r="G147" s="492"/>
      <c r="H147" s="491"/>
      <c r="I147" s="489"/>
    </row>
    <row r="148" spans="1:9" x14ac:dyDescent="0.25">
      <c r="A148" s="727"/>
      <c r="B148" s="489"/>
      <c r="C148" s="489"/>
      <c r="D148" s="489"/>
      <c r="E148" s="489"/>
      <c r="F148" s="490"/>
      <c r="G148" s="492"/>
      <c r="H148" s="491"/>
      <c r="I148" s="489"/>
    </row>
    <row r="149" spans="1:9" x14ac:dyDescent="0.25">
      <c r="A149" s="727"/>
      <c r="B149" s="489"/>
      <c r="C149" s="489"/>
      <c r="D149" s="489"/>
      <c r="E149" s="489"/>
      <c r="F149" s="490"/>
      <c r="G149" s="492"/>
      <c r="H149" s="491"/>
      <c r="I149" s="489"/>
    </row>
    <row r="150" spans="1:9" x14ac:dyDescent="0.25">
      <c r="A150" s="727"/>
      <c r="B150" s="489"/>
      <c r="C150" s="489"/>
      <c r="D150" s="489"/>
      <c r="E150" s="489"/>
      <c r="F150" s="490"/>
      <c r="G150" s="492"/>
      <c r="H150" s="491"/>
      <c r="I150" s="489"/>
    </row>
    <row r="151" spans="1:9" x14ac:dyDescent="0.25">
      <c r="A151" s="727"/>
      <c r="B151" s="489"/>
      <c r="C151" s="489"/>
      <c r="D151" s="489"/>
      <c r="E151" s="489"/>
      <c r="F151" s="490"/>
      <c r="G151" s="492"/>
      <c r="H151" s="491"/>
      <c r="I151" s="489"/>
    </row>
    <row r="152" spans="1:9" x14ac:dyDescent="0.25">
      <c r="A152" s="727"/>
      <c r="B152" s="489"/>
      <c r="C152" s="489"/>
      <c r="D152" s="489"/>
      <c r="E152" s="489"/>
      <c r="F152" s="490"/>
      <c r="G152" s="492"/>
      <c r="H152" s="491"/>
      <c r="I152" s="489"/>
    </row>
    <row r="153" spans="1:9" x14ac:dyDescent="0.25">
      <c r="A153" s="727"/>
      <c r="B153" s="489"/>
      <c r="C153" s="489"/>
      <c r="D153" s="489"/>
      <c r="E153" s="489"/>
      <c r="F153" s="490"/>
      <c r="G153" s="492"/>
      <c r="H153" s="491"/>
      <c r="I153" s="489"/>
    </row>
    <row r="154" spans="1:9" x14ac:dyDescent="0.25">
      <c r="A154" s="727"/>
      <c r="B154" s="489"/>
      <c r="C154" s="489"/>
      <c r="D154" s="489"/>
      <c r="E154" s="489"/>
      <c r="F154" s="490"/>
      <c r="G154" s="492"/>
      <c r="H154" s="491"/>
      <c r="I154" s="489"/>
    </row>
    <row r="155" spans="1:9" x14ac:dyDescent="0.25">
      <c r="A155" s="727"/>
      <c r="B155" s="489"/>
      <c r="C155" s="489"/>
      <c r="D155" s="489"/>
      <c r="E155" s="489"/>
      <c r="F155" s="490"/>
      <c r="G155" s="492"/>
      <c r="H155" s="491"/>
      <c r="I155" s="489"/>
    </row>
    <row r="156" spans="1:9" x14ac:dyDescent="0.25">
      <c r="A156" s="727"/>
      <c r="B156" s="489"/>
      <c r="C156" s="489"/>
      <c r="D156" s="489"/>
      <c r="E156" s="489"/>
      <c r="F156" s="490"/>
      <c r="G156" s="492"/>
      <c r="H156" s="491"/>
      <c r="I156" s="489"/>
    </row>
    <row r="157" spans="1:9" x14ac:dyDescent="0.25">
      <c r="A157" s="727"/>
      <c r="B157" s="489"/>
      <c r="C157" s="489"/>
      <c r="D157" s="489"/>
      <c r="E157" s="489"/>
      <c r="F157" s="490"/>
      <c r="G157" s="492"/>
      <c r="H157" s="491"/>
      <c r="I157" s="489"/>
    </row>
    <row r="158" spans="1:9" x14ac:dyDescent="0.25">
      <c r="A158" s="727"/>
      <c r="B158" s="489"/>
      <c r="C158" s="489"/>
      <c r="D158" s="489"/>
      <c r="E158" s="489"/>
      <c r="F158" s="490"/>
      <c r="G158" s="492"/>
      <c r="H158" s="491"/>
      <c r="I158" s="489"/>
    </row>
    <row r="159" spans="1:9" x14ac:dyDescent="0.25">
      <c r="A159" s="727"/>
      <c r="B159" s="489"/>
      <c r="C159" s="489"/>
      <c r="D159" s="489"/>
      <c r="E159" s="489"/>
      <c r="F159" s="490"/>
      <c r="G159" s="492"/>
      <c r="H159" s="491"/>
      <c r="I159" s="489"/>
    </row>
    <row r="160" spans="1:9" x14ac:dyDescent="0.25">
      <c r="A160" s="727"/>
      <c r="B160" s="489"/>
      <c r="C160" s="489"/>
      <c r="D160" s="489"/>
      <c r="E160" s="489"/>
      <c r="F160" s="490"/>
      <c r="G160" s="492"/>
      <c r="H160" s="491"/>
      <c r="I160" s="489"/>
    </row>
    <row r="161" spans="1:9" x14ac:dyDescent="0.25">
      <c r="A161" s="727"/>
      <c r="B161" s="489"/>
      <c r="C161" s="489"/>
      <c r="D161" s="489"/>
      <c r="E161" s="489"/>
      <c r="F161" s="490"/>
      <c r="G161" s="492"/>
      <c r="H161" s="491"/>
      <c r="I161" s="489"/>
    </row>
    <row r="162" spans="1:9" x14ac:dyDescent="0.25">
      <c r="A162" s="727"/>
      <c r="B162" s="489"/>
      <c r="C162" s="489"/>
      <c r="D162" s="489"/>
      <c r="E162" s="489"/>
      <c r="F162" s="490"/>
      <c r="G162" s="492"/>
      <c r="H162" s="491"/>
      <c r="I162" s="489"/>
    </row>
    <row r="163" spans="1:9" x14ac:dyDescent="0.25">
      <c r="A163" s="727"/>
      <c r="B163" s="489"/>
      <c r="C163" s="489"/>
      <c r="D163" s="489"/>
      <c r="E163" s="489"/>
      <c r="F163" s="490"/>
      <c r="G163" s="492"/>
      <c r="H163" s="491"/>
      <c r="I163" s="489"/>
    </row>
    <row r="164" spans="1:9" x14ac:dyDescent="0.25">
      <c r="A164" s="727"/>
      <c r="B164" s="489"/>
      <c r="C164" s="489"/>
      <c r="D164" s="489"/>
      <c r="E164" s="489"/>
      <c r="F164" s="490"/>
      <c r="G164" s="492"/>
      <c r="H164" s="491"/>
      <c r="I164" s="489"/>
    </row>
    <row r="165" spans="1:9" x14ac:dyDescent="0.25">
      <c r="A165" s="727"/>
      <c r="B165" s="489"/>
      <c r="C165" s="489"/>
      <c r="D165" s="489"/>
      <c r="E165" s="489"/>
      <c r="F165" s="490"/>
      <c r="G165" s="492"/>
      <c r="H165" s="491"/>
      <c r="I165" s="489"/>
    </row>
    <row r="166" spans="1:9" x14ac:dyDescent="0.25">
      <c r="A166" s="727"/>
      <c r="B166" s="489"/>
      <c r="C166" s="489"/>
      <c r="D166" s="489"/>
      <c r="E166" s="489"/>
      <c r="F166" s="490"/>
      <c r="G166" s="492"/>
      <c r="H166" s="491"/>
      <c r="I166" s="489"/>
    </row>
    <row r="167" spans="1:9" x14ac:dyDescent="0.25">
      <c r="A167" s="727"/>
      <c r="B167" s="489"/>
      <c r="C167" s="489"/>
      <c r="D167" s="489"/>
      <c r="E167" s="489"/>
      <c r="F167" s="490"/>
      <c r="G167" s="492"/>
      <c r="H167" s="491"/>
      <c r="I167" s="489"/>
    </row>
    <row r="168" spans="1:9" x14ac:dyDescent="0.25">
      <c r="A168" s="727"/>
      <c r="B168" s="489"/>
      <c r="C168" s="489"/>
      <c r="D168" s="489"/>
      <c r="E168" s="489"/>
      <c r="F168" s="490"/>
      <c r="G168" s="492"/>
      <c r="H168" s="491"/>
      <c r="I168" s="489"/>
    </row>
    <row r="169" spans="1:9" x14ac:dyDescent="0.25">
      <c r="A169" s="727"/>
      <c r="B169" s="489"/>
      <c r="C169" s="489"/>
      <c r="D169" s="489"/>
      <c r="E169" s="489"/>
      <c r="F169" s="490"/>
      <c r="G169" s="492"/>
      <c r="H169" s="491"/>
      <c r="I169" s="489"/>
    </row>
    <row r="170" spans="1:9" x14ac:dyDescent="0.25">
      <c r="A170" s="727"/>
      <c r="B170" s="489"/>
      <c r="C170" s="489"/>
      <c r="D170" s="489"/>
      <c r="E170" s="489"/>
      <c r="F170" s="490"/>
      <c r="G170" s="492"/>
      <c r="H170" s="491"/>
      <c r="I170" s="489"/>
    </row>
    <row r="171" spans="1:9" x14ac:dyDescent="0.25">
      <c r="A171" s="727"/>
      <c r="B171" s="489"/>
      <c r="C171" s="489"/>
      <c r="D171" s="489"/>
      <c r="E171" s="489"/>
      <c r="F171" s="490"/>
      <c r="G171" s="492"/>
      <c r="H171" s="491"/>
      <c r="I171" s="489"/>
    </row>
    <row r="172" spans="1:9" x14ac:dyDescent="0.25">
      <c r="A172" s="727"/>
      <c r="B172" s="489"/>
      <c r="C172" s="489"/>
      <c r="D172" s="489"/>
      <c r="E172" s="489"/>
      <c r="F172" s="490"/>
      <c r="G172" s="492"/>
      <c r="H172" s="491"/>
      <c r="I172" s="489"/>
    </row>
    <row r="173" spans="1:9" x14ac:dyDescent="0.25">
      <c r="A173" s="727"/>
      <c r="B173" s="489"/>
      <c r="C173" s="489"/>
      <c r="D173" s="489"/>
      <c r="E173" s="489"/>
      <c r="F173" s="490"/>
      <c r="G173" s="492"/>
      <c r="H173" s="491"/>
      <c r="I173" s="489"/>
    </row>
    <row r="174" spans="1:9" x14ac:dyDescent="0.25">
      <c r="A174" s="727"/>
      <c r="B174" s="489"/>
      <c r="C174" s="489"/>
      <c r="D174" s="489"/>
      <c r="E174" s="489"/>
      <c r="F174" s="490"/>
      <c r="G174" s="492"/>
      <c r="H174" s="491"/>
      <c r="I174" s="489"/>
    </row>
    <row r="175" spans="1:9" x14ac:dyDescent="0.25">
      <c r="A175" s="727"/>
      <c r="B175" s="489"/>
      <c r="C175" s="489"/>
      <c r="D175" s="489"/>
      <c r="E175" s="489"/>
      <c r="F175" s="490"/>
      <c r="G175" s="492"/>
      <c r="H175" s="491"/>
      <c r="I175" s="489"/>
    </row>
    <row r="176" spans="1:9" x14ac:dyDescent="0.25">
      <c r="A176" s="727"/>
      <c r="B176" s="489"/>
      <c r="C176" s="489"/>
      <c r="D176" s="489"/>
      <c r="E176" s="489"/>
      <c r="F176" s="490"/>
      <c r="G176" s="492"/>
      <c r="H176" s="491"/>
      <c r="I176" s="489"/>
    </row>
    <row r="177" spans="1:9" x14ac:dyDescent="0.25">
      <c r="A177" s="727"/>
      <c r="B177" s="489"/>
      <c r="C177" s="489"/>
      <c r="D177" s="489"/>
      <c r="E177" s="489"/>
      <c r="F177" s="490"/>
      <c r="G177" s="492"/>
      <c r="H177" s="491"/>
      <c r="I177" s="489"/>
    </row>
    <row r="178" spans="1:9" x14ac:dyDescent="0.25">
      <c r="A178" s="727"/>
      <c r="B178" s="489"/>
      <c r="C178" s="489"/>
      <c r="D178" s="489"/>
      <c r="E178" s="489"/>
      <c r="F178" s="490"/>
      <c r="G178" s="492"/>
      <c r="H178" s="491"/>
      <c r="I178" s="489"/>
    </row>
    <row r="179" spans="1:9" x14ac:dyDescent="0.25">
      <c r="A179" s="727"/>
      <c r="B179" s="489"/>
      <c r="C179" s="489"/>
      <c r="D179" s="489"/>
      <c r="E179" s="489"/>
      <c r="F179" s="490"/>
      <c r="G179" s="492"/>
      <c r="H179" s="491"/>
      <c r="I179" s="489"/>
    </row>
    <row r="180" spans="1:9" x14ac:dyDescent="0.25">
      <c r="A180" s="727"/>
      <c r="B180" s="489"/>
      <c r="C180" s="489"/>
      <c r="D180" s="489"/>
      <c r="E180" s="489"/>
      <c r="F180" s="490"/>
      <c r="G180" s="492"/>
      <c r="H180" s="491"/>
      <c r="I180" s="489"/>
    </row>
    <row r="181" spans="1:9" x14ac:dyDescent="0.25">
      <c r="A181" s="727"/>
      <c r="B181" s="489"/>
      <c r="C181" s="489"/>
      <c r="D181" s="489"/>
      <c r="E181" s="489"/>
      <c r="F181" s="490"/>
      <c r="G181" s="492"/>
      <c r="H181" s="491"/>
      <c r="I181" s="489"/>
    </row>
    <row r="182" spans="1:9" x14ac:dyDescent="0.25">
      <c r="A182" s="727"/>
      <c r="B182" s="489"/>
      <c r="C182" s="489"/>
      <c r="D182" s="489"/>
      <c r="E182" s="489"/>
      <c r="F182" s="490"/>
      <c r="G182" s="492"/>
      <c r="H182" s="491"/>
      <c r="I182" s="489"/>
    </row>
    <row r="183" spans="1:9" x14ac:dyDescent="0.25">
      <c r="A183" s="727"/>
      <c r="B183" s="489"/>
      <c r="C183" s="489"/>
      <c r="D183" s="489"/>
      <c r="E183" s="489"/>
      <c r="F183" s="490"/>
      <c r="G183" s="492"/>
      <c r="H183" s="491"/>
      <c r="I183" s="489"/>
    </row>
    <row r="184" spans="1:9" x14ac:dyDescent="0.25">
      <c r="A184" s="727"/>
      <c r="B184" s="489"/>
      <c r="C184" s="489"/>
      <c r="D184" s="489"/>
      <c r="E184" s="489"/>
      <c r="F184" s="490"/>
      <c r="G184" s="492"/>
      <c r="H184" s="491"/>
      <c r="I184" s="489"/>
    </row>
    <row r="185" spans="1:9" x14ac:dyDescent="0.25">
      <c r="A185" s="727"/>
      <c r="B185" s="489"/>
      <c r="C185" s="489"/>
      <c r="D185" s="489"/>
      <c r="E185" s="489"/>
      <c r="F185" s="490"/>
      <c r="G185" s="492"/>
      <c r="H185" s="491"/>
      <c r="I185" s="489"/>
    </row>
    <row r="186" spans="1:9" x14ac:dyDescent="0.25">
      <c r="A186" s="727"/>
      <c r="B186" s="489"/>
      <c r="C186" s="489"/>
      <c r="D186" s="489"/>
      <c r="E186" s="489"/>
      <c r="F186" s="490"/>
      <c r="G186" s="492"/>
      <c r="H186" s="491"/>
      <c r="I186" s="489"/>
    </row>
    <row r="187" spans="1:9" x14ac:dyDescent="0.25">
      <c r="A187" s="727"/>
      <c r="B187" s="489"/>
      <c r="C187" s="489"/>
      <c r="D187" s="489"/>
      <c r="E187" s="489"/>
      <c r="F187" s="490"/>
      <c r="G187" s="492"/>
      <c r="H187" s="491"/>
      <c r="I187" s="489"/>
    </row>
    <row r="188" spans="1:9" x14ac:dyDescent="0.25">
      <c r="A188" s="727"/>
      <c r="B188" s="489"/>
      <c r="C188" s="489"/>
      <c r="D188" s="489"/>
      <c r="E188" s="489"/>
      <c r="F188" s="490"/>
      <c r="G188" s="492"/>
      <c r="H188" s="491"/>
      <c r="I188" s="489"/>
    </row>
    <row r="189" spans="1:9" x14ac:dyDescent="0.25">
      <c r="A189" s="727"/>
      <c r="B189" s="489"/>
      <c r="C189" s="489"/>
      <c r="D189" s="489"/>
      <c r="E189" s="489"/>
      <c r="F189" s="490"/>
      <c r="G189" s="492"/>
      <c r="H189" s="491"/>
      <c r="I189" s="489"/>
    </row>
    <row r="190" spans="1:9" x14ac:dyDescent="0.25">
      <c r="A190" s="727"/>
      <c r="B190" s="489"/>
      <c r="C190" s="489"/>
      <c r="D190" s="489"/>
      <c r="E190" s="489"/>
      <c r="F190" s="490"/>
      <c r="G190" s="492"/>
      <c r="H190" s="491"/>
      <c r="I190" s="489"/>
    </row>
    <row r="191" spans="1:9" x14ac:dyDescent="0.25">
      <c r="A191" s="727"/>
      <c r="B191" s="489"/>
      <c r="C191" s="489"/>
      <c r="D191" s="489"/>
      <c r="E191" s="489"/>
      <c r="F191" s="490"/>
      <c r="G191" s="492"/>
      <c r="H191" s="491"/>
      <c r="I191" s="489"/>
    </row>
    <row r="192" spans="1:9" x14ac:dyDescent="0.25">
      <c r="A192" s="727"/>
      <c r="B192" s="489"/>
      <c r="C192" s="489"/>
      <c r="D192" s="489"/>
      <c r="E192" s="489"/>
      <c r="F192" s="490"/>
      <c r="G192" s="492"/>
      <c r="H192" s="491"/>
      <c r="I192" s="489"/>
    </row>
    <row r="193" spans="1:9" x14ac:dyDescent="0.25">
      <c r="A193" s="727"/>
      <c r="B193" s="489"/>
      <c r="C193" s="489"/>
      <c r="D193" s="489"/>
      <c r="E193" s="489"/>
      <c r="F193" s="490"/>
      <c r="G193" s="492"/>
      <c r="H193" s="491"/>
      <c r="I193" s="489"/>
    </row>
    <row r="194" spans="1:9" x14ac:dyDescent="0.25">
      <c r="A194" s="727"/>
      <c r="B194" s="489"/>
      <c r="C194" s="489"/>
      <c r="D194" s="489"/>
      <c r="E194" s="489"/>
      <c r="F194" s="490"/>
      <c r="G194" s="492"/>
      <c r="H194" s="491"/>
      <c r="I194" s="489"/>
    </row>
    <row r="195" spans="1:9" x14ac:dyDescent="0.25">
      <c r="A195" s="727"/>
      <c r="B195" s="489"/>
      <c r="C195" s="489"/>
      <c r="D195" s="489"/>
      <c r="E195" s="489"/>
      <c r="F195" s="490"/>
      <c r="G195" s="492"/>
      <c r="H195" s="491"/>
      <c r="I195" s="489"/>
    </row>
    <row r="196" spans="1:9" x14ac:dyDescent="0.25">
      <c r="A196" s="727"/>
      <c r="B196" s="489"/>
      <c r="C196" s="489"/>
      <c r="D196" s="489"/>
      <c r="E196" s="489"/>
      <c r="F196" s="490"/>
      <c r="G196" s="492"/>
      <c r="H196" s="491"/>
      <c r="I196" s="489"/>
    </row>
    <row r="197" spans="1:9" x14ac:dyDescent="0.25">
      <c r="A197" s="727"/>
      <c r="B197" s="489"/>
      <c r="C197" s="489"/>
      <c r="D197" s="489"/>
      <c r="E197" s="489"/>
      <c r="F197" s="490"/>
      <c r="G197" s="492"/>
      <c r="H197" s="491"/>
      <c r="I197" s="489"/>
    </row>
    <row r="198" spans="1:9" x14ac:dyDescent="0.25">
      <c r="A198" s="727"/>
      <c r="B198" s="489"/>
      <c r="C198" s="489"/>
      <c r="D198" s="489"/>
      <c r="E198" s="489"/>
      <c r="F198" s="490"/>
      <c r="G198" s="492"/>
      <c r="H198" s="491"/>
      <c r="I198" s="489"/>
    </row>
    <row r="199" spans="1:9" x14ac:dyDescent="0.25">
      <c r="A199" s="727"/>
      <c r="B199" s="489"/>
      <c r="C199" s="489"/>
      <c r="D199" s="489"/>
      <c r="E199" s="489"/>
      <c r="F199" s="490"/>
      <c r="G199" s="492"/>
      <c r="H199" s="491"/>
      <c r="I199" s="489"/>
    </row>
    <row r="200" spans="1:9" x14ac:dyDescent="0.25">
      <c r="A200" s="727"/>
      <c r="B200" s="489"/>
      <c r="C200" s="489"/>
      <c r="D200" s="489"/>
      <c r="E200" s="489"/>
      <c r="F200" s="490"/>
      <c r="G200" s="492"/>
      <c r="H200" s="491"/>
      <c r="I200" s="489"/>
    </row>
    <row r="201" spans="1:9" x14ac:dyDescent="0.25">
      <c r="A201" s="727"/>
      <c r="B201" s="489"/>
      <c r="C201" s="489"/>
      <c r="D201" s="489"/>
      <c r="E201" s="489"/>
      <c r="F201" s="490"/>
      <c r="G201" s="492"/>
      <c r="H201" s="491"/>
      <c r="I201" s="489"/>
    </row>
    <row r="202" spans="1:9" x14ac:dyDescent="0.25">
      <c r="A202" s="727"/>
      <c r="B202" s="489"/>
      <c r="C202" s="489"/>
      <c r="D202" s="489"/>
      <c r="E202" s="489"/>
      <c r="F202" s="490"/>
      <c r="G202" s="492"/>
      <c r="H202" s="491"/>
      <c r="I202" s="489"/>
    </row>
    <row r="203" spans="1:9" x14ac:dyDescent="0.25">
      <c r="A203" s="727"/>
      <c r="B203" s="489"/>
      <c r="C203" s="489"/>
      <c r="D203" s="489"/>
      <c r="E203" s="489"/>
      <c r="F203" s="490"/>
      <c r="G203" s="492"/>
      <c r="H203" s="491"/>
      <c r="I203" s="489"/>
    </row>
    <row r="204" spans="1:9" x14ac:dyDescent="0.25">
      <c r="A204" s="727"/>
      <c r="B204" s="489"/>
      <c r="C204" s="489"/>
      <c r="D204" s="489"/>
      <c r="E204" s="489"/>
      <c r="F204" s="490"/>
      <c r="G204" s="492"/>
      <c r="H204" s="491"/>
      <c r="I204" s="489"/>
    </row>
    <row r="205" spans="1:9" x14ac:dyDescent="0.25">
      <c r="A205" s="727"/>
      <c r="B205" s="489"/>
      <c r="C205" s="489"/>
      <c r="D205" s="489"/>
      <c r="E205" s="489"/>
      <c r="F205" s="490"/>
      <c r="G205" s="492"/>
      <c r="H205" s="491"/>
      <c r="I205" s="489"/>
    </row>
    <row r="206" spans="1:9" x14ac:dyDescent="0.25">
      <c r="A206" s="727"/>
      <c r="B206" s="489"/>
      <c r="C206" s="489"/>
      <c r="D206" s="489"/>
      <c r="E206" s="489"/>
      <c r="F206" s="490"/>
      <c r="G206" s="492"/>
      <c r="H206" s="491"/>
      <c r="I206" s="489"/>
    </row>
    <row r="207" spans="1:9" x14ac:dyDescent="0.25">
      <c r="A207" s="727"/>
      <c r="B207" s="489"/>
      <c r="C207" s="489"/>
      <c r="D207" s="489"/>
      <c r="E207" s="489"/>
      <c r="F207" s="490"/>
      <c r="G207" s="492"/>
      <c r="H207" s="491"/>
      <c r="I207" s="489"/>
    </row>
    <row r="208" spans="1:9" x14ac:dyDescent="0.25">
      <c r="A208" s="727"/>
      <c r="B208" s="489"/>
      <c r="C208" s="489"/>
      <c r="D208" s="489"/>
      <c r="E208" s="489"/>
      <c r="F208" s="490"/>
      <c r="G208" s="492"/>
      <c r="H208" s="491"/>
      <c r="I208" s="489"/>
    </row>
    <row r="209" spans="1:9" x14ac:dyDescent="0.25">
      <c r="A209" s="727"/>
      <c r="B209" s="489"/>
      <c r="C209" s="489"/>
      <c r="D209" s="489"/>
      <c r="E209" s="489"/>
      <c r="F209" s="490"/>
      <c r="G209" s="492"/>
      <c r="H209" s="491"/>
      <c r="I209" s="489"/>
    </row>
    <row r="210" spans="1:9" x14ac:dyDescent="0.25">
      <c r="A210" s="727"/>
      <c r="B210" s="489"/>
      <c r="C210" s="489"/>
      <c r="D210" s="489"/>
      <c r="E210" s="489"/>
      <c r="F210" s="490"/>
      <c r="G210" s="492"/>
      <c r="H210" s="491"/>
      <c r="I210" s="489"/>
    </row>
    <row r="211" spans="1:9" x14ac:dyDescent="0.25">
      <c r="A211" s="727"/>
      <c r="B211" s="489"/>
      <c r="C211" s="489"/>
      <c r="D211" s="489"/>
      <c r="E211" s="489"/>
      <c r="F211" s="490"/>
      <c r="G211" s="492"/>
      <c r="H211" s="491"/>
      <c r="I211" s="489"/>
    </row>
    <row r="212" spans="1:9" x14ac:dyDescent="0.25">
      <c r="A212" s="727"/>
      <c r="B212" s="489"/>
      <c r="C212" s="489"/>
      <c r="D212" s="489"/>
      <c r="E212" s="489"/>
      <c r="F212" s="490"/>
      <c r="G212" s="492"/>
      <c r="H212" s="491"/>
      <c r="I212" s="489"/>
    </row>
    <row r="213" spans="1:9" x14ac:dyDescent="0.25">
      <c r="A213" s="727"/>
      <c r="B213" s="489"/>
      <c r="C213" s="489"/>
      <c r="D213" s="489"/>
      <c r="E213" s="489"/>
      <c r="F213" s="490"/>
      <c r="G213" s="492"/>
      <c r="H213" s="491"/>
      <c r="I213" s="489"/>
    </row>
    <row r="214" spans="1:9" x14ac:dyDescent="0.25">
      <c r="A214" s="727"/>
      <c r="B214" s="489"/>
      <c r="C214" s="489"/>
      <c r="D214" s="489"/>
      <c r="E214" s="489"/>
      <c r="F214" s="490"/>
      <c r="G214" s="492"/>
      <c r="H214" s="491"/>
      <c r="I214" s="489"/>
    </row>
    <row r="215" spans="1:9" x14ac:dyDescent="0.25">
      <c r="A215" s="727"/>
      <c r="B215" s="489"/>
      <c r="C215" s="489"/>
      <c r="D215" s="489"/>
      <c r="E215" s="489"/>
      <c r="F215" s="490"/>
      <c r="G215" s="492"/>
      <c r="H215" s="491"/>
      <c r="I215" s="489"/>
    </row>
    <row r="216" spans="1:9" x14ac:dyDescent="0.25">
      <c r="A216" s="727"/>
      <c r="B216" s="489"/>
      <c r="C216" s="489"/>
      <c r="D216" s="489"/>
      <c r="E216" s="489"/>
      <c r="F216" s="490"/>
      <c r="G216" s="492"/>
      <c r="H216" s="491"/>
      <c r="I216" s="489"/>
    </row>
    <row r="217" spans="1:9" x14ac:dyDescent="0.25">
      <c r="A217" s="727"/>
      <c r="B217" s="489"/>
      <c r="C217" s="489"/>
      <c r="D217" s="489"/>
      <c r="E217" s="489"/>
      <c r="F217" s="490"/>
      <c r="G217" s="492"/>
      <c r="H217" s="491"/>
      <c r="I217" s="489"/>
    </row>
    <row r="218" spans="1:9" x14ac:dyDescent="0.25">
      <c r="A218" s="727"/>
      <c r="B218" s="489"/>
      <c r="C218" s="489"/>
      <c r="D218" s="489"/>
      <c r="E218" s="489"/>
      <c r="F218" s="490"/>
      <c r="G218" s="492"/>
      <c r="H218" s="491"/>
      <c r="I218" s="489"/>
    </row>
    <row r="219" spans="1:9" x14ac:dyDescent="0.25">
      <c r="A219" s="727"/>
      <c r="B219" s="489"/>
      <c r="C219" s="489"/>
      <c r="D219" s="489"/>
      <c r="E219" s="489"/>
      <c r="F219" s="490"/>
      <c r="G219" s="492"/>
      <c r="H219" s="491"/>
      <c r="I219" s="489"/>
    </row>
    <row r="220" spans="1:9" x14ac:dyDescent="0.25">
      <c r="A220" s="727"/>
      <c r="B220" s="489"/>
      <c r="C220" s="489"/>
      <c r="D220" s="489"/>
      <c r="E220" s="489"/>
      <c r="F220" s="490"/>
      <c r="G220" s="492"/>
      <c r="H220" s="491"/>
      <c r="I220" s="489"/>
    </row>
    <row r="221" spans="1:9" x14ac:dyDescent="0.25">
      <c r="A221" s="727"/>
      <c r="B221" s="489"/>
      <c r="C221" s="489"/>
      <c r="D221" s="489"/>
      <c r="E221" s="489"/>
      <c r="F221" s="490"/>
      <c r="G221" s="492"/>
      <c r="H221" s="491"/>
      <c r="I221" s="489"/>
    </row>
    <row r="222" spans="1:9" x14ac:dyDescent="0.25">
      <c r="A222" s="727"/>
      <c r="B222" s="489"/>
      <c r="C222" s="489"/>
      <c r="D222" s="489"/>
      <c r="E222" s="489"/>
      <c r="F222" s="490"/>
      <c r="G222" s="492"/>
      <c r="H222" s="491"/>
      <c r="I222" s="489"/>
    </row>
    <row r="223" spans="1:9" x14ac:dyDescent="0.25">
      <c r="A223" s="727"/>
      <c r="B223" s="489"/>
      <c r="C223" s="489"/>
      <c r="D223" s="489"/>
      <c r="E223" s="489"/>
      <c r="F223" s="490"/>
      <c r="G223" s="492"/>
      <c r="H223" s="491"/>
      <c r="I223" s="489"/>
    </row>
    <row r="224" spans="1:9" x14ac:dyDescent="0.25">
      <c r="A224" s="727"/>
      <c r="B224" s="489"/>
      <c r="C224" s="489"/>
      <c r="D224" s="489"/>
      <c r="E224" s="489"/>
      <c r="F224" s="490"/>
      <c r="G224" s="492"/>
      <c r="H224" s="491"/>
      <c r="I224" s="489"/>
    </row>
    <row r="225" spans="1:9" x14ac:dyDescent="0.25">
      <c r="A225" s="727"/>
      <c r="B225" s="489"/>
      <c r="C225" s="489"/>
      <c r="D225" s="489"/>
      <c r="E225" s="489"/>
      <c r="F225" s="490"/>
      <c r="G225" s="492"/>
      <c r="H225" s="491"/>
      <c r="I225" s="489"/>
    </row>
    <row r="226" spans="1:9" x14ac:dyDescent="0.25">
      <c r="A226" s="727"/>
      <c r="B226" s="489"/>
      <c r="C226" s="489"/>
      <c r="D226" s="489"/>
      <c r="E226" s="489"/>
      <c r="F226" s="490"/>
      <c r="G226" s="492"/>
      <c r="H226" s="491"/>
      <c r="I226" s="489"/>
    </row>
    <row r="227" spans="1:9" x14ac:dyDescent="0.25">
      <c r="A227" s="727"/>
      <c r="B227" s="489"/>
      <c r="C227" s="489"/>
      <c r="D227" s="489"/>
      <c r="E227" s="489"/>
      <c r="F227" s="490"/>
      <c r="G227" s="492"/>
      <c r="H227" s="491"/>
      <c r="I227" s="489"/>
    </row>
    <row r="228" spans="1:9" x14ac:dyDescent="0.25">
      <c r="A228" s="727"/>
      <c r="B228" s="489"/>
      <c r="C228" s="489"/>
      <c r="D228" s="489"/>
      <c r="E228" s="489"/>
      <c r="F228" s="490"/>
      <c r="G228" s="492"/>
      <c r="H228" s="491"/>
      <c r="I228" s="489"/>
    </row>
    <row r="229" spans="1:9" x14ac:dyDescent="0.25">
      <c r="A229" s="727"/>
      <c r="B229" s="489"/>
      <c r="C229" s="489"/>
      <c r="D229" s="489"/>
      <c r="E229" s="489"/>
      <c r="F229" s="490"/>
      <c r="G229" s="492"/>
      <c r="H229" s="491"/>
      <c r="I229" s="489"/>
    </row>
    <row r="230" spans="1:9" x14ac:dyDescent="0.25">
      <c r="A230" s="727"/>
      <c r="B230" s="489"/>
      <c r="C230" s="489"/>
      <c r="D230" s="489"/>
      <c r="E230" s="489"/>
      <c r="F230" s="490"/>
      <c r="G230" s="492"/>
      <c r="H230" s="491"/>
      <c r="I230" s="489"/>
    </row>
    <row r="231" spans="1:9" x14ac:dyDescent="0.25">
      <c r="A231" s="727"/>
      <c r="B231" s="489"/>
      <c r="C231" s="489"/>
      <c r="D231" s="489"/>
      <c r="E231" s="489"/>
      <c r="F231" s="490"/>
      <c r="G231" s="492"/>
      <c r="H231" s="491"/>
      <c r="I231" s="489"/>
    </row>
    <row r="232" spans="1:9" x14ac:dyDescent="0.25">
      <c r="A232" s="727"/>
      <c r="B232" s="489"/>
      <c r="C232" s="489"/>
      <c r="D232" s="489"/>
      <c r="E232" s="489"/>
      <c r="F232" s="490"/>
      <c r="G232" s="492"/>
      <c r="H232" s="491"/>
      <c r="I232" s="489"/>
    </row>
    <row r="233" spans="1:9" x14ac:dyDescent="0.25">
      <c r="A233" s="727"/>
      <c r="B233" s="489"/>
      <c r="C233" s="489"/>
      <c r="D233" s="489"/>
      <c r="E233" s="489"/>
      <c r="F233" s="490"/>
      <c r="G233" s="492"/>
      <c r="H233" s="491"/>
      <c r="I233" s="489"/>
    </row>
    <row r="234" spans="1:9" x14ac:dyDescent="0.25">
      <c r="A234" s="727"/>
      <c r="B234" s="489"/>
      <c r="C234" s="489"/>
      <c r="D234" s="489"/>
      <c r="E234" s="489"/>
      <c r="F234" s="490"/>
      <c r="G234" s="492"/>
      <c r="H234" s="491"/>
      <c r="I234" s="489"/>
    </row>
    <row r="235" spans="1:9" x14ac:dyDescent="0.25">
      <c r="A235" s="727"/>
      <c r="B235" s="489"/>
      <c r="C235" s="489"/>
      <c r="D235" s="489"/>
      <c r="E235" s="489"/>
      <c r="F235" s="490"/>
      <c r="G235" s="492"/>
      <c r="H235" s="491"/>
      <c r="I235" s="489"/>
    </row>
    <row r="236" spans="1:9" x14ac:dyDescent="0.25">
      <c r="A236" s="727"/>
      <c r="B236" s="489"/>
      <c r="C236" s="489"/>
      <c r="D236" s="489"/>
      <c r="E236" s="489"/>
      <c r="F236" s="490"/>
      <c r="G236" s="492"/>
      <c r="H236" s="491"/>
      <c r="I236" s="489"/>
    </row>
    <row r="237" spans="1:9" x14ac:dyDescent="0.25">
      <c r="A237" s="727"/>
      <c r="B237" s="489"/>
      <c r="C237" s="489"/>
      <c r="D237" s="489"/>
      <c r="E237" s="489"/>
      <c r="F237" s="490"/>
      <c r="G237" s="492"/>
      <c r="H237" s="491"/>
      <c r="I237" s="489"/>
    </row>
    <row r="238" spans="1:9" x14ac:dyDescent="0.25">
      <c r="A238" s="727"/>
      <c r="B238" s="489"/>
      <c r="C238" s="489"/>
      <c r="D238" s="489"/>
      <c r="E238" s="489"/>
      <c r="F238" s="490"/>
      <c r="G238" s="492"/>
      <c r="H238" s="491"/>
      <c r="I238" s="489"/>
    </row>
    <row r="239" spans="1:9" x14ac:dyDescent="0.25">
      <c r="A239" s="727"/>
      <c r="B239" s="489"/>
      <c r="C239" s="489"/>
      <c r="D239" s="489"/>
      <c r="E239" s="489"/>
      <c r="F239" s="490"/>
      <c r="G239" s="492"/>
      <c r="H239" s="491"/>
      <c r="I239" s="489"/>
    </row>
    <row r="240" spans="1:9" x14ac:dyDescent="0.25">
      <c r="A240" s="727"/>
      <c r="B240" s="489"/>
      <c r="C240" s="489"/>
      <c r="D240" s="489"/>
      <c r="E240" s="489"/>
      <c r="F240" s="490"/>
      <c r="G240" s="492"/>
      <c r="H240" s="491"/>
      <c r="I240" s="489"/>
    </row>
    <row r="241" spans="1:9" x14ac:dyDescent="0.25">
      <c r="A241" s="727"/>
      <c r="B241" s="489"/>
      <c r="C241" s="489"/>
      <c r="D241" s="489"/>
      <c r="E241" s="489"/>
      <c r="F241" s="490"/>
      <c r="G241" s="492"/>
      <c r="H241" s="491"/>
      <c r="I241" s="489"/>
    </row>
    <row r="242" spans="1:9" x14ac:dyDescent="0.25">
      <c r="A242" s="727"/>
      <c r="B242" s="489"/>
      <c r="C242" s="489"/>
      <c r="D242" s="489"/>
      <c r="E242" s="489"/>
      <c r="F242" s="490"/>
      <c r="G242" s="492"/>
      <c r="H242" s="491"/>
      <c r="I242" s="489"/>
    </row>
    <row r="243" spans="1:9" x14ac:dyDescent="0.25">
      <c r="A243" s="727"/>
      <c r="B243" s="489"/>
      <c r="C243" s="489"/>
      <c r="D243" s="489"/>
      <c r="E243" s="489"/>
      <c r="F243" s="490"/>
      <c r="G243" s="492"/>
      <c r="H243" s="491"/>
      <c r="I243" s="489"/>
    </row>
    <row r="244" spans="1:9" x14ac:dyDescent="0.25">
      <c r="A244" s="727"/>
      <c r="B244" s="489"/>
      <c r="C244" s="489"/>
      <c r="D244" s="489"/>
      <c r="E244" s="489"/>
      <c r="F244" s="490"/>
      <c r="G244" s="492"/>
      <c r="H244" s="491"/>
      <c r="I244" s="489"/>
    </row>
    <row r="245" spans="1:9" x14ac:dyDescent="0.25">
      <c r="A245" s="727"/>
      <c r="B245" s="489"/>
      <c r="C245" s="489"/>
      <c r="D245" s="489"/>
      <c r="E245" s="489"/>
      <c r="F245" s="490"/>
      <c r="G245" s="492"/>
      <c r="H245" s="491"/>
      <c r="I245" s="489"/>
    </row>
    <row r="246" spans="1:9" x14ac:dyDescent="0.25">
      <c r="A246" s="727"/>
      <c r="B246" s="489"/>
      <c r="C246" s="489"/>
      <c r="D246" s="489"/>
      <c r="E246" s="489"/>
      <c r="F246" s="490"/>
      <c r="G246" s="492"/>
      <c r="H246" s="491"/>
      <c r="I246" s="489"/>
    </row>
    <row r="247" spans="1:9" x14ac:dyDescent="0.25">
      <c r="A247" s="727"/>
      <c r="B247" s="489"/>
      <c r="C247" s="489"/>
      <c r="D247" s="489"/>
      <c r="E247" s="489"/>
      <c r="F247" s="490"/>
      <c r="G247" s="492"/>
      <c r="H247" s="491"/>
      <c r="I247" s="489"/>
    </row>
    <row r="248" spans="1:9" x14ac:dyDescent="0.25">
      <c r="A248" s="727"/>
      <c r="B248" s="489"/>
      <c r="C248" s="489"/>
      <c r="D248" s="489"/>
      <c r="E248" s="489"/>
      <c r="F248" s="490"/>
      <c r="G248" s="492"/>
      <c r="H248" s="491"/>
      <c r="I248" s="489"/>
    </row>
    <row r="249" spans="1:9" x14ac:dyDescent="0.25">
      <c r="A249" s="727"/>
      <c r="B249" s="489"/>
      <c r="C249" s="489"/>
      <c r="D249" s="489"/>
      <c r="E249" s="489"/>
      <c r="F249" s="490"/>
      <c r="G249" s="492"/>
      <c r="H249" s="491"/>
      <c r="I249" s="489"/>
    </row>
    <row r="250" spans="1:9" x14ac:dyDescent="0.25">
      <c r="A250" s="727"/>
      <c r="B250" s="489"/>
      <c r="C250" s="489"/>
      <c r="D250" s="489"/>
      <c r="E250" s="489"/>
      <c r="F250" s="490"/>
      <c r="G250" s="492"/>
      <c r="H250" s="491"/>
      <c r="I250" s="489"/>
    </row>
    <row r="251" spans="1:9" x14ac:dyDescent="0.25">
      <c r="A251" s="727"/>
      <c r="B251" s="489"/>
      <c r="C251" s="489"/>
      <c r="D251" s="489"/>
      <c r="E251" s="489"/>
      <c r="F251" s="490"/>
      <c r="G251" s="492"/>
      <c r="H251" s="491"/>
      <c r="I251" s="489"/>
    </row>
    <row r="252" spans="1:9" x14ac:dyDescent="0.25">
      <c r="A252" s="727"/>
      <c r="B252" s="489"/>
      <c r="C252" s="489"/>
      <c r="D252" s="489"/>
      <c r="E252" s="489"/>
      <c r="F252" s="490"/>
      <c r="G252" s="492"/>
      <c r="H252" s="491"/>
      <c r="I252" s="489"/>
    </row>
    <row r="253" spans="1:9" x14ac:dyDescent="0.25">
      <c r="A253" s="727"/>
      <c r="B253" s="489"/>
      <c r="C253" s="489"/>
      <c r="D253" s="489"/>
      <c r="E253" s="489"/>
      <c r="F253" s="490"/>
      <c r="G253" s="492"/>
      <c r="H253" s="491"/>
      <c r="I253" s="489"/>
    </row>
    <row r="254" spans="1:9" x14ac:dyDescent="0.25">
      <c r="A254" s="727"/>
      <c r="B254" s="489"/>
      <c r="C254" s="489"/>
      <c r="D254" s="489"/>
      <c r="E254" s="489"/>
      <c r="F254" s="490"/>
      <c r="G254" s="492"/>
      <c r="H254" s="491"/>
      <c r="I254" s="489"/>
    </row>
    <row r="255" spans="1:9" x14ac:dyDescent="0.25">
      <c r="A255" s="727"/>
      <c r="B255" s="489"/>
      <c r="C255" s="489"/>
      <c r="D255" s="489"/>
      <c r="E255" s="489"/>
      <c r="F255" s="490"/>
      <c r="G255" s="492"/>
      <c r="H255" s="491"/>
      <c r="I255" s="489"/>
    </row>
    <row r="256" spans="1:9" x14ac:dyDescent="0.25">
      <c r="A256" s="727"/>
      <c r="B256" s="489"/>
      <c r="C256" s="489"/>
      <c r="D256" s="489"/>
      <c r="E256" s="489"/>
      <c r="F256" s="490"/>
      <c r="G256" s="492"/>
      <c r="H256" s="491"/>
      <c r="I256" s="489"/>
    </row>
    <row r="257" spans="1:9" x14ac:dyDescent="0.25">
      <c r="A257" s="727"/>
      <c r="B257" s="489"/>
      <c r="C257" s="489"/>
      <c r="D257" s="489"/>
      <c r="E257" s="489"/>
      <c r="F257" s="490"/>
      <c r="G257" s="492"/>
      <c r="H257" s="491"/>
      <c r="I257" s="489"/>
    </row>
    <row r="258" spans="1:9" x14ac:dyDescent="0.25">
      <c r="A258" s="727"/>
      <c r="B258" s="489"/>
      <c r="C258" s="489"/>
      <c r="D258" s="489"/>
      <c r="E258" s="489"/>
      <c r="F258" s="490"/>
      <c r="G258" s="492"/>
      <c r="H258" s="491"/>
      <c r="I258" s="489"/>
    </row>
    <row r="259" spans="1:9" x14ac:dyDescent="0.25">
      <c r="A259" s="727"/>
      <c r="B259" s="489"/>
      <c r="C259" s="489"/>
      <c r="D259" s="489"/>
      <c r="E259" s="489"/>
      <c r="F259" s="490"/>
      <c r="G259" s="492"/>
      <c r="H259" s="491"/>
      <c r="I259" s="489"/>
    </row>
    <row r="260" spans="1:9" x14ac:dyDescent="0.25">
      <c r="A260" s="727"/>
      <c r="B260" s="489"/>
      <c r="C260" s="489"/>
      <c r="D260" s="489"/>
      <c r="E260" s="489"/>
      <c r="F260" s="490"/>
      <c r="G260" s="492"/>
      <c r="H260" s="491"/>
      <c r="I260" s="489"/>
    </row>
    <row r="261" spans="1:9" x14ac:dyDescent="0.25">
      <c r="A261" s="727"/>
      <c r="B261" s="489"/>
      <c r="C261" s="489"/>
      <c r="D261" s="489"/>
      <c r="E261" s="489"/>
      <c r="F261" s="490"/>
      <c r="G261" s="492"/>
      <c r="H261" s="491"/>
      <c r="I261" s="489"/>
    </row>
    <row r="262" spans="1:9" x14ac:dyDescent="0.25">
      <c r="A262" s="727"/>
      <c r="B262" s="489"/>
      <c r="C262" s="489"/>
      <c r="D262" s="489"/>
      <c r="E262" s="489"/>
      <c r="F262" s="490"/>
      <c r="G262" s="492"/>
      <c r="H262" s="491"/>
      <c r="I262" s="489"/>
    </row>
    <row r="263" spans="1:9" x14ac:dyDescent="0.25">
      <c r="A263" s="727"/>
      <c r="B263" s="489"/>
      <c r="C263" s="489"/>
      <c r="D263" s="489"/>
      <c r="E263" s="489"/>
      <c r="F263" s="490"/>
      <c r="G263" s="492"/>
      <c r="H263" s="491"/>
      <c r="I263" s="489"/>
    </row>
    <row r="264" spans="1:9" x14ac:dyDescent="0.25">
      <c r="A264" s="727"/>
      <c r="B264" s="489"/>
      <c r="C264" s="489"/>
      <c r="D264" s="489"/>
      <c r="E264" s="489"/>
      <c r="F264" s="490"/>
      <c r="G264" s="492"/>
      <c r="H264" s="491"/>
      <c r="I264" s="489"/>
    </row>
    <row r="265" spans="1:9" x14ac:dyDescent="0.25">
      <c r="A265" s="727"/>
      <c r="B265" s="489"/>
      <c r="C265" s="489"/>
      <c r="D265" s="489"/>
      <c r="E265" s="489"/>
      <c r="F265" s="490"/>
      <c r="G265" s="492"/>
      <c r="H265" s="491"/>
      <c r="I265" s="489"/>
    </row>
    <row r="266" spans="1:9" x14ac:dyDescent="0.25">
      <c r="A266" s="727"/>
      <c r="B266" s="489"/>
      <c r="C266" s="489"/>
      <c r="D266" s="489"/>
      <c r="E266" s="489"/>
      <c r="F266" s="490"/>
      <c r="G266" s="492"/>
      <c r="H266" s="491"/>
      <c r="I266" s="489"/>
    </row>
    <row r="267" spans="1:9" x14ac:dyDescent="0.25">
      <c r="A267" s="727"/>
      <c r="B267" s="489"/>
      <c r="C267" s="489"/>
      <c r="D267" s="489"/>
      <c r="E267" s="489"/>
      <c r="F267" s="490"/>
      <c r="G267" s="492"/>
      <c r="H267" s="491"/>
      <c r="I267" s="489"/>
    </row>
    <row r="268" spans="1:9" x14ac:dyDescent="0.25">
      <c r="A268" s="727"/>
      <c r="B268" s="489"/>
      <c r="C268" s="489"/>
      <c r="D268" s="489"/>
      <c r="E268" s="489"/>
      <c r="F268" s="490"/>
      <c r="G268" s="492"/>
      <c r="H268" s="491"/>
      <c r="I268" s="489"/>
    </row>
    <row r="269" spans="1:9" x14ac:dyDescent="0.25">
      <c r="A269" s="727"/>
      <c r="B269" s="489"/>
      <c r="C269" s="489"/>
      <c r="D269" s="489"/>
      <c r="E269" s="489"/>
      <c r="F269" s="490"/>
      <c r="G269" s="492"/>
      <c r="H269" s="491"/>
      <c r="I269" s="489"/>
    </row>
    <row r="270" spans="1:9" x14ac:dyDescent="0.25">
      <c r="A270" s="727"/>
      <c r="B270" s="489"/>
      <c r="C270" s="489"/>
      <c r="D270" s="489"/>
      <c r="E270" s="489"/>
      <c r="F270" s="490"/>
      <c r="G270" s="492"/>
      <c r="H270" s="491"/>
      <c r="I270" s="489"/>
    </row>
    <row r="271" spans="1:9" x14ac:dyDescent="0.25">
      <c r="A271" s="727"/>
      <c r="B271" s="489"/>
      <c r="C271" s="489"/>
      <c r="D271" s="489"/>
      <c r="E271" s="489"/>
      <c r="F271" s="490"/>
      <c r="G271" s="492"/>
      <c r="H271" s="491"/>
      <c r="I271" s="489"/>
    </row>
    <row r="272" spans="1:9" x14ac:dyDescent="0.25">
      <c r="A272" s="727"/>
      <c r="B272" s="489"/>
      <c r="C272" s="489"/>
      <c r="D272" s="489"/>
      <c r="E272" s="489"/>
      <c r="F272" s="490"/>
      <c r="G272" s="492"/>
      <c r="H272" s="491"/>
      <c r="I272" s="489"/>
    </row>
    <row r="273" spans="1:9" x14ac:dyDescent="0.25">
      <c r="A273" s="727"/>
      <c r="B273" s="489"/>
      <c r="C273" s="489"/>
      <c r="D273" s="489"/>
      <c r="E273" s="489"/>
      <c r="F273" s="490"/>
      <c r="G273" s="492"/>
      <c r="H273" s="491"/>
      <c r="I273" s="489"/>
    </row>
    <row r="274" spans="1:9" x14ac:dyDescent="0.25">
      <c r="A274" s="727"/>
      <c r="B274" s="489"/>
      <c r="C274" s="489"/>
      <c r="D274" s="489"/>
      <c r="E274" s="489"/>
      <c r="F274" s="490"/>
      <c r="G274" s="492"/>
      <c r="H274" s="491"/>
      <c r="I274" s="489"/>
    </row>
    <row r="275" spans="1:9" x14ac:dyDescent="0.25">
      <c r="A275" s="727"/>
      <c r="B275" s="489"/>
      <c r="C275" s="489"/>
      <c r="D275" s="489"/>
      <c r="E275" s="489"/>
      <c r="F275" s="490"/>
      <c r="G275" s="492"/>
      <c r="H275" s="491"/>
      <c r="I275" s="489"/>
    </row>
    <row r="276" spans="1:9" x14ac:dyDescent="0.25">
      <c r="A276" s="727"/>
      <c r="B276" s="489"/>
      <c r="C276" s="489"/>
      <c r="D276" s="489"/>
      <c r="E276" s="489"/>
      <c r="F276" s="490"/>
      <c r="G276" s="492"/>
      <c r="H276" s="491"/>
      <c r="I276" s="489"/>
    </row>
    <row r="277" spans="1:9" x14ac:dyDescent="0.25">
      <c r="A277" s="727"/>
      <c r="B277" s="489"/>
      <c r="C277" s="489"/>
      <c r="D277" s="489"/>
      <c r="E277" s="489"/>
      <c r="F277" s="490"/>
      <c r="G277" s="492"/>
      <c r="H277" s="491"/>
      <c r="I277" s="489"/>
    </row>
    <row r="278" spans="1:9" x14ac:dyDescent="0.25">
      <c r="A278" s="727"/>
      <c r="B278" s="489"/>
      <c r="C278" s="489"/>
      <c r="D278" s="489"/>
      <c r="E278" s="489"/>
      <c r="F278" s="490"/>
      <c r="G278" s="492"/>
      <c r="H278" s="491"/>
      <c r="I278" s="489"/>
    </row>
    <row r="279" spans="1:9" x14ac:dyDescent="0.25">
      <c r="A279" s="727"/>
      <c r="B279" s="489"/>
      <c r="C279" s="489"/>
      <c r="D279" s="489"/>
      <c r="E279" s="489"/>
      <c r="F279" s="490"/>
      <c r="G279" s="492"/>
      <c r="H279" s="491"/>
      <c r="I279" s="489"/>
    </row>
    <row r="280" spans="1:9" x14ac:dyDescent="0.25">
      <c r="A280" s="727"/>
      <c r="B280" s="489"/>
      <c r="C280" s="489"/>
      <c r="D280" s="489"/>
      <c r="E280" s="489"/>
      <c r="F280" s="490"/>
      <c r="G280" s="492"/>
      <c r="H280" s="491"/>
      <c r="I280" s="489"/>
    </row>
    <row r="281" spans="1:9" x14ac:dyDescent="0.25">
      <c r="A281" s="727"/>
      <c r="B281" s="489"/>
      <c r="C281" s="489"/>
      <c r="D281" s="489"/>
      <c r="E281" s="489"/>
      <c r="F281" s="490"/>
      <c r="G281" s="492"/>
      <c r="H281" s="491"/>
      <c r="I281" s="489"/>
    </row>
    <row r="282" spans="1:9" x14ac:dyDescent="0.25">
      <c r="A282" s="727"/>
      <c r="B282" s="489"/>
      <c r="C282" s="489"/>
      <c r="D282" s="489"/>
      <c r="E282" s="489"/>
      <c r="F282" s="490"/>
      <c r="G282" s="492"/>
      <c r="H282" s="491"/>
      <c r="I282" s="489"/>
    </row>
    <row r="283" spans="1:9" x14ac:dyDescent="0.25">
      <c r="A283" s="727"/>
      <c r="B283" s="489"/>
      <c r="C283" s="489"/>
      <c r="D283" s="489"/>
      <c r="E283" s="489"/>
      <c r="F283" s="490"/>
      <c r="G283" s="492"/>
      <c r="H283" s="491"/>
      <c r="I283" s="489"/>
    </row>
    <row r="284" spans="1:9" x14ac:dyDescent="0.25">
      <c r="A284" s="727"/>
      <c r="B284" s="489"/>
      <c r="C284" s="489"/>
      <c r="D284" s="489"/>
      <c r="E284" s="489"/>
      <c r="F284" s="490"/>
      <c r="G284" s="492"/>
      <c r="H284" s="491"/>
      <c r="I284" s="489"/>
    </row>
    <row r="285" spans="1:9" x14ac:dyDescent="0.25">
      <c r="A285" s="727"/>
      <c r="B285" s="489"/>
      <c r="C285" s="489"/>
      <c r="D285" s="489"/>
      <c r="E285" s="489"/>
      <c r="F285" s="490"/>
      <c r="G285" s="492"/>
      <c r="H285" s="491"/>
      <c r="I285" s="489"/>
    </row>
    <row r="286" spans="1:9" x14ac:dyDescent="0.25">
      <c r="A286" s="727"/>
      <c r="B286" s="489"/>
      <c r="C286" s="489"/>
      <c r="D286" s="489"/>
      <c r="E286" s="489"/>
      <c r="F286" s="490"/>
      <c r="G286" s="492"/>
      <c r="H286" s="491"/>
      <c r="I286" s="489"/>
    </row>
    <row r="287" spans="1:9" x14ac:dyDescent="0.25">
      <c r="A287" s="727"/>
      <c r="B287" s="489"/>
      <c r="C287" s="489"/>
      <c r="D287" s="489"/>
      <c r="E287" s="489"/>
      <c r="F287" s="490"/>
      <c r="G287" s="492"/>
      <c r="H287" s="491"/>
      <c r="I287" s="489"/>
    </row>
    <row r="288" spans="1:9" x14ac:dyDescent="0.25">
      <c r="A288" s="727"/>
      <c r="B288" s="489"/>
      <c r="C288" s="489"/>
      <c r="D288" s="489"/>
      <c r="E288" s="489"/>
      <c r="F288" s="490"/>
      <c r="G288" s="492"/>
      <c r="H288" s="491"/>
      <c r="I288" s="489"/>
    </row>
    <row r="289" spans="1:9" x14ac:dyDescent="0.25">
      <c r="A289" s="727"/>
      <c r="B289" s="489"/>
      <c r="C289" s="489"/>
      <c r="D289" s="489"/>
      <c r="E289" s="489"/>
      <c r="F289" s="490"/>
      <c r="G289" s="492"/>
      <c r="H289" s="491"/>
      <c r="I289" s="489"/>
    </row>
    <row r="290" spans="1:9" x14ac:dyDescent="0.25">
      <c r="A290" s="727"/>
      <c r="B290" s="489"/>
      <c r="C290" s="489"/>
      <c r="D290" s="489"/>
      <c r="E290" s="489"/>
      <c r="F290" s="490"/>
      <c r="G290" s="492"/>
      <c r="H290" s="491"/>
      <c r="I290" s="489"/>
    </row>
    <row r="291" spans="1:9" x14ac:dyDescent="0.25">
      <c r="A291" s="727"/>
      <c r="B291" s="489"/>
      <c r="C291" s="489"/>
      <c r="D291" s="489"/>
      <c r="E291" s="489"/>
      <c r="F291" s="490"/>
      <c r="G291" s="492"/>
      <c r="H291" s="491"/>
      <c r="I291" s="489"/>
    </row>
    <row r="292" spans="1:9" x14ac:dyDescent="0.25">
      <c r="A292" s="727"/>
      <c r="B292" s="489"/>
      <c r="C292" s="489"/>
      <c r="D292" s="489"/>
      <c r="E292" s="489"/>
      <c r="F292" s="490"/>
      <c r="G292" s="492"/>
      <c r="H292" s="491"/>
      <c r="I292" s="489"/>
    </row>
    <row r="293" spans="1:9" x14ac:dyDescent="0.25">
      <c r="A293" s="727"/>
      <c r="B293" s="489"/>
      <c r="C293" s="489"/>
      <c r="D293" s="489"/>
      <c r="E293" s="489"/>
      <c r="F293" s="490"/>
      <c r="G293" s="492"/>
      <c r="H293" s="491"/>
      <c r="I293" s="489"/>
    </row>
    <row r="294" spans="1:9" x14ac:dyDescent="0.25">
      <c r="A294" s="727"/>
      <c r="B294" s="489"/>
      <c r="C294" s="489"/>
      <c r="D294" s="489"/>
      <c r="E294" s="489"/>
      <c r="F294" s="490"/>
      <c r="G294" s="492"/>
      <c r="H294" s="491"/>
      <c r="I294" s="489"/>
    </row>
    <row r="295" spans="1:9" x14ac:dyDescent="0.25">
      <c r="A295" s="727"/>
      <c r="B295" s="489"/>
      <c r="C295" s="489"/>
      <c r="D295" s="489"/>
      <c r="E295" s="489"/>
      <c r="F295" s="490"/>
      <c r="G295" s="492"/>
      <c r="H295" s="491"/>
      <c r="I295" s="489"/>
    </row>
    <row r="296" spans="1:9" x14ac:dyDescent="0.25">
      <c r="A296" s="727"/>
      <c r="B296" s="489"/>
      <c r="C296" s="489"/>
      <c r="D296" s="489"/>
      <c r="E296" s="489"/>
      <c r="F296" s="490"/>
      <c r="G296" s="492"/>
      <c r="H296" s="491"/>
      <c r="I296" s="489"/>
    </row>
    <row r="297" spans="1:9" x14ac:dyDescent="0.25">
      <c r="A297" s="727"/>
      <c r="B297" s="489"/>
      <c r="C297" s="489"/>
      <c r="D297" s="489"/>
      <c r="E297" s="489"/>
      <c r="F297" s="490"/>
      <c r="G297" s="492"/>
      <c r="H297" s="491"/>
      <c r="I297" s="489"/>
    </row>
    <row r="298" spans="1:9" x14ac:dyDescent="0.25">
      <c r="A298" s="727"/>
      <c r="B298" s="489"/>
      <c r="C298" s="489"/>
      <c r="D298" s="489"/>
      <c r="E298" s="489"/>
      <c r="F298" s="490"/>
      <c r="G298" s="492"/>
      <c r="H298" s="491"/>
      <c r="I298" s="489"/>
    </row>
    <row r="299" spans="1:9" x14ac:dyDescent="0.25">
      <c r="A299" s="727"/>
      <c r="B299" s="489"/>
      <c r="C299" s="489"/>
      <c r="D299" s="489"/>
      <c r="E299" s="489"/>
      <c r="F299" s="490"/>
      <c r="G299" s="492"/>
      <c r="H299" s="491"/>
      <c r="I299" s="489"/>
    </row>
    <row r="300" spans="1:9" x14ac:dyDescent="0.25">
      <c r="A300" s="727"/>
      <c r="B300" s="489"/>
      <c r="C300" s="489"/>
      <c r="D300" s="489"/>
      <c r="E300" s="489"/>
      <c r="F300" s="490"/>
      <c r="G300" s="492"/>
      <c r="H300" s="491"/>
      <c r="I300" s="489"/>
    </row>
    <row r="301" spans="1:9" x14ac:dyDescent="0.25">
      <c r="A301" s="727"/>
      <c r="B301" s="489"/>
      <c r="C301" s="489"/>
      <c r="D301" s="489"/>
      <c r="E301" s="489"/>
      <c r="F301" s="490"/>
      <c r="G301" s="492"/>
      <c r="H301" s="491"/>
      <c r="I301" s="489"/>
    </row>
    <row r="302" spans="1:9" x14ac:dyDescent="0.25">
      <c r="A302" s="727"/>
      <c r="B302" s="489"/>
      <c r="C302" s="489"/>
      <c r="D302" s="489"/>
      <c r="E302" s="489"/>
      <c r="F302" s="490"/>
      <c r="G302" s="492"/>
      <c r="H302" s="491"/>
      <c r="I302" s="489"/>
    </row>
    <row r="303" spans="1:9" x14ac:dyDescent="0.25">
      <c r="A303" s="727"/>
      <c r="B303" s="489"/>
      <c r="C303" s="489"/>
      <c r="D303" s="489"/>
      <c r="E303" s="489"/>
      <c r="F303" s="490"/>
      <c r="G303" s="492"/>
      <c r="H303" s="491"/>
      <c r="I303" s="489"/>
    </row>
    <row r="304" spans="1:9" x14ac:dyDescent="0.25">
      <c r="A304" s="727"/>
      <c r="B304" s="489"/>
      <c r="C304" s="489"/>
      <c r="D304" s="489"/>
      <c r="E304" s="489"/>
      <c r="F304" s="490"/>
      <c r="G304" s="492"/>
      <c r="H304" s="491"/>
      <c r="I304" s="489"/>
    </row>
    <row r="305" spans="1:9" x14ac:dyDescent="0.25">
      <c r="A305" s="727"/>
      <c r="B305" s="489"/>
      <c r="C305" s="489"/>
      <c r="D305" s="489"/>
      <c r="E305" s="489"/>
      <c r="F305" s="490"/>
      <c r="G305" s="492"/>
      <c r="H305" s="491"/>
      <c r="I305" s="489"/>
    </row>
    <row r="306" spans="1:9" x14ac:dyDescent="0.25">
      <c r="A306" s="727"/>
      <c r="B306" s="489"/>
      <c r="C306" s="489"/>
      <c r="D306" s="489"/>
      <c r="E306" s="489"/>
      <c r="F306" s="490"/>
      <c r="G306" s="492"/>
      <c r="H306" s="491"/>
      <c r="I306" s="489"/>
    </row>
    <row r="307" spans="1:9" x14ac:dyDescent="0.25">
      <c r="A307" s="727"/>
      <c r="B307" s="489"/>
      <c r="C307" s="489"/>
      <c r="D307" s="489"/>
      <c r="E307" s="489"/>
      <c r="F307" s="490"/>
      <c r="G307" s="492"/>
      <c r="H307" s="491"/>
      <c r="I307" s="489"/>
    </row>
    <row r="308" spans="1:9" x14ac:dyDescent="0.25">
      <c r="A308" s="727"/>
      <c r="B308" s="489"/>
      <c r="C308" s="489"/>
      <c r="D308" s="489"/>
      <c r="E308" s="489"/>
      <c r="F308" s="490"/>
      <c r="G308" s="492"/>
      <c r="H308" s="491"/>
      <c r="I308" s="489"/>
    </row>
    <row r="309" spans="1:9" x14ac:dyDescent="0.25">
      <c r="A309" s="727"/>
      <c r="B309" s="489"/>
      <c r="C309" s="489"/>
      <c r="D309" s="489"/>
      <c r="E309" s="489"/>
      <c r="F309" s="490"/>
      <c r="G309" s="492"/>
      <c r="H309" s="491"/>
      <c r="I309" s="489"/>
    </row>
    <row r="310" spans="1:9" x14ac:dyDescent="0.25">
      <c r="A310" s="727"/>
      <c r="B310" s="489"/>
      <c r="C310" s="489"/>
      <c r="D310" s="489"/>
      <c r="E310" s="489"/>
      <c r="F310" s="490"/>
      <c r="G310" s="492"/>
      <c r="H310" s="491"/>
      <c r="I310" s="489"/>
    </row>
    <row r="311" spans="1:9" x14ac:dyDescent="0.25">
      <c r="A311" s="727"/>
      <c r="B311" s="489"/>
      <c r="C311" s="489"/>
      <c r="D311" s="489"/>
      <c r="E311" s="489"/>
      <c r="F311" s="490"/>
      <c r="G311" s="492"/>
      <c r="H311" s="491"/>
      <c r="I311" s="489"/>
    </row>
    <row r="312" spans="1:9" x14ac:dyDescent="0.25">
      <c r="A312" s="727"/>
      <c r="B312" s="489"/>
      <c r="C312" s="489"/>
      <c r="D312" s="489"/>
      <c r="E312" s="489"/>
      <c r="F312" s="490"/>
      <c r="G312" s="492"/>
      <c r="H312" s="491"/>
      <c r="I312" s="489"/>
    </row>
    <row r="313" spans="1:9" x14ac:dyDescent="0.25">
      <c r="A313" s="727"/>
      <c r="B313" s="489"/>
      <c r="C313" s="489"/>
      <c r="D313" s="489"/>
      <c r="E313" s="489"/>
      <c r="F313" s="490"/>
      <c r="G313" s="492"/>
      <c r="H313" s="491"/>
      <c r="I313" s="489"/>
    </row>
    <row r="314" spans="1:9" x14ac:dyDescent="0.25">
      <c r="A314" s="727"/>
      <c r="B314" s="489"/>
      <c r="C314" s="489"/>
      <c r="D314" s="489"/>
      <c r="E314" s="489"/>
      <c r="F314" s="490"/>
      <c r="G314" s="492"/>
      <c r="H314" s="491"/>
      <c r="I314" s="489"/>
    </row>
    <row r="315" spans="1:9" x14ac:dyDescent="0.25">
      <c r="A315" s="727"/>
      <c r="B315" s="489"/>
      <c r="C315" s="489"/>
      <c r="D315" s="489"/>
      <c r="E315" s="489"/>
      <c r="F315" s="490"/>
      <c r="G315" s="492"/>
      <c r="H315" s="491"/>
      <c r="I315" s="489"/>
    </row>
    <row r="316" spans="1:9" x14ac:dyDescent="0.25">
      <c r="A316" s="727"/>
      <c r="B316" s="489"/>
      <c r="C316" s="489"/>
      <c r="D316" s="489"/>
      <c r="E316" s="489"/>
      <c r="F316" s="490"/>
      <c r="G316" s="492"/>
      <c r="H316" s="491"/>
      <c r="I316" s="489"/>
    </row>
    <row r="317" spans="1:9" x14ac:dyDescent="0.25">
      <c r="A317" s="727"/>
      <c r="B317" s="489"/>
      <c r="C317" s="489"/>
      <c r="D317" s="489"/>
      <c r="E317" s="489"/>
      <c r="F317" s="490"/>
      <c r="G317" s="492"/>
      <c r="H317" s="491"/>
      <c r="I317" s="489"/>
    </row>
    <row r="318" spans="1:9" x14ac:dyDescent="0.25">
      <c r="A318" s="727"/>
      <c r="B318" s="489"/>
      <c r="C318" s="489"/>
      <c r="D318" s="489"/>
      <c r="E318" s="489"/>
      <c r="F318" s="490"/>
      <c r="G318" s="492"/>
      <c r="H318" s="491"/>
      <c r="I318" s="489"/>
    </row>
    <row r="319" spans="1:9" x14ac:dyDescent="0.25">
      <c r="A319" s="727"/>
      <c r="B319" s="489"/>
      <c r="C319" s="489"/>
      <c r="D319" s="489"/>
      <c r="E319" s="489"/>
      <c r="F319" s="490"/>
      <c r="G319" s="492"/>
      <c r="H319" s="491"/>
      <c r="I319" s="489"/>
    </row>
    <row r="320" spans="1:9" x14ac:dyDescent="0.25">
      <c r="A320" s="727"/>
      <c r="B320" s="489"/>
      <c r="C320" s="489"/>
      <c r="D320" s="489"/>
      <c r="E320" s="489"/>
      <c r="F320" s="490"/>
      <c r="G320" s="492"/>
      <c r="H320" s="491"/>
      <c r="I320" s="489"/>
    </row>
    <row r="321" spans="1:9" x14ac:dyDescent="0.25">
      <c r="A321" s="727"/>
      <c r="B321" s="489"/>
      <c r="C321" s="489"/>
      <c r="D321" s="489"/>
      <c r="E321" s="489"/>
      <c r="F321" s="490"/>
      <c r="G321" s="492"/>
      <c r="H321" s="491"/>
      <c r="I321" s="489"/>
    </row>
    <row r="322" spans="1:9" x14ac:dyDescent="0.25">
      <c r="A322" s="727"/>
      <c r="B322" s="489"/>
      <c r="C322" s="489"/>
      <c r="D322" s="489"/>
      <c r="E322" s="489"/>
      <c r="F322" s="490"/>
      <c r="G322" s="492"/>
      <c r="H322" s="491"/>
      <c r="I322" s="489"/>
    </row>
    <row r="323" spans="1:9" x14ac:dyDescent="0.25">
      <c r="A323" s="727"/>
      <c r="B323" s="489"/>
      <c r="C323" s="489"/>
      <c r="D323" s="489"/>
      <c r="E323" s="489"/>
      <c r="F323" s="490"/>
      <c r="G323" s="492"/>
      <c r="H323" s="491"/>
      <c r="I323" s="489"/>
    </row>
    <row r="324" spans="1:9" x14ac:dyDescent="0.25">
      <c r="A324" s="727"/>
      <c r="B324" s="489"/>
      <c r="C324" s="489"/>
      <c r="D324" s="489"/>
      <c r="E324" s="489"/>
      <c r="F324" s="490"/>
      <c r="G324" s="492"/>
      <c r="H324" s="491"/>
      <c r="I324" s="489"/>
    </row>
    <row r="325" spans="1:9" x14ac:dyDescent="0.25">
      <c r="A325" s="727"/>
      <c r="B325" s="489"/>
      <c r="C325" s="489"/>
      <c r="D325" s="489"/>
      <c r="E325" s="489"/>
      <c r="F325" s="490"/>
      <c r="G325" s="492"/>
      <c r="H325" s="491"/>
      <c r="I325" s="489"/>
    </row>
    <row r="326" spans="1:9" x14ac:dyDescent="0.25">
      <c r="A326" s="727"/>
      <c r="B326" s="489"/>
      <c r="C326" s="489"/>
      <c r="D326" s="489"/>
      <c r="E326" s="489"/>
      <c r="F326" s="490"/>
      <c r="G326" s="492"/>
      <c r="H326" s="491"/>
      <c r="I326" s="489"/>
    </row>
    <row r="327" spans="1:9" x14ac:dyDescent="0.25">
      <c r="A327" s="727"/>
      <c r="B327" s="489"/>
      <c r="C327" s="489"/>
      <c r="D327" s="489"/>
      <c r="E327" s="489"/>
      <c r="F327" s="490"/>
      <c r="G327" s="492"/>
      <c r="H327" s="491"/>
      <c r="I327" s="489"/>
    </row>
    <row r="328" spans="1:9" x14ac:dyDescent="0.25">
      <c r="A328" s="727"/>
      <c r="B328" s="489"/>
      <c r="C328" s="489"/>
      <c r="D328" s="489"/>
      <c r="E328" s="489"/>
      <c r="F328" s="490"/>
      <c r="G328" s="492"/>
      <c r="H328" s="491"/>
      <c r="I328" s="489"/>
    </row>
    <row r="329" spans="1:9" x14ac:dyDescent="0.25">
      <c r="A329" s="727"/>
      <c r="B329" s="489"/>
      <c r="C329" s="489"/>
      <c r="D329" s="489"/>
      <c r="E329" s="489"/>
      <c r="F329" s="490"/>
      <c r="G329" s="492"/>
      <c r="H329" s="491"/>
      <c r="I329" s="489"/>
    </row>
    <row r="330" spans="1:9" x14ac:dyDescent="0.25">
      <c r="A330" s="727"/>
      <c r="B330" s="489"/>
      <c r="C330" s="489"/>
      <c r="D330" s="489"/>
      <c r="E330" s="489"/>
      <c r="F330" s="490"/>
      <c r="G330" s="492"/>
      <c r="H330" s="491"/>
      <c r="I330" s="489"/>
    </row>
    <row r="331" spans="1:9" x14ac:dyDescent="0.25">
      <c r="A331" s="727"/>
      <c r="B331" s="489"/>
      <c r="C331" s="489"/>
      <c r="D331" s="489"/>
      <c r="E331" s="489"/>
      <c r="F331" s="490"/>
      <c r="G331" s="492"/>
      <c r="H331" s="491"/>
      <c r="I331" s="489"/>
    </row>
    <row r="332" spans="1:9" x14ac:dyDescent="0.25">
      <c r="A332" s="727"/>
      <c r="B332" s="489"/>
      <c r="C332" s="489"/>
      <c r="D332" s="489"/>
      <c r="E332" s="489"/>
      <c r="F332" s="490"/>
      <c r="G332" s="492"/>
      <c r="H332" s="491"/>
      <c r="I332" s="489"/>
    </row>
    <row r="333" spans="1:9" x14ac:dyDescent="0.25">
      <c r="A333" s="727"/>
      <c r="B333" s="489"/>
      <c r="C333" s="489"/>
      <c r="D333" s="489"/>
      <c r="E333" s="489"/>
      <c r="F333" s="490"/>
      <c r="G333" s="492"/>
      <c r="H333" s="491"/>
      <c r="I333" s="489"/>
    </row>
    <row r="334" spans="1:9" x14ac:dyDescent="0.25">
      <c r="A334" s="727"/>
      <c r="B334" s="489"/>
      <c r="C334" s="489"/>
      <c r="D334" s="489"/>
      <c r="E334" s="489"/>
      <c r="F334" s="490"/>
      <c r="G334" s="492"/>
      <c r="H334" s="491"/>
      <c r="I334" s="489"/>
    </row>
    <row r="335" spans="1:9" x14ac:dyDescent="0.25">
      <c r="A335" s="727"/>
      <c r="B335" s="489"/>
      <c r="C335" s="489"/>
      <c r="D335" s="489"/>
      <c r="E335" s="489"/>
      <c r="F335" s="490"/>
      <c r="G335" s="492"/>
      <c r="H335" s="491"/>
      <c r="I335" s="489"/>
    </row>
    <row r="336" spans="1:9" x14ac:dyDescent="0.25">
      <c r="A336" s="727"/>
      <c r="B336" s="489"/>
      <c r="C336" s="489"/>
      <c r="D336" s="489"/>
      <c r="E336" s="489"/>
      <c r="F336" s="490"/>
      <c r="G336" s="492"/>
      <c r="H336" s="491"/>
      <c r="I336" s="489"/>
    </row>
    <row r="337" spans="1:9" x14ac:dyDescent="0.25">
      <c r="A337" s="727"/>
      <c r="B337" s="489"/>
      <c r="C337" s="489"/>
      <c r="D337" s="489"/>
      <c r="E337" s="489"/>
      <c r="F337" s="490"/>
      <c r="G337" s="492"/>
      <c r="H337" s="491"/>
      <c r="I337" s="489"/>
    </row>
    <row r="338" spans="1:9" x14ac:dyDescent="0.25">
      <c r="A338" s="727"/>
      <c r="B338" s="489"/>
      <c r="C338" s="489"/>
      <c r="D338" s="489"/>
      <c r="E338" s="489"/>
      <c r="F338" s="490"/>
      <c r="G338" s="492"/>
      <c r="H338" s="491"/>
      <c r="I338" s="489"/>
    </row>
    <row r="339" spans="1:9" x14ac:dyDescent="0.25">
      <c r="A339" s="727"/>
      <c r="B339" s="489"/>
      <c r="C339" s="489"/>
      <c r="D339" s="489"/>
      <c r="E339" s="489"/>
      <c r="F339" s="490"/>
      <c r="G339" s="492"/>
      <c r="H339" s="491"/>
      <c r="I339" s="489"/>
    </row>
    <row r="340" spans="1:9" x14ac:dyDescent="0.25">
      <c r="A340" s="727"/>
      <c r="B340" s="489"/>
      <c r="C340" s="489"/>
      <c r="D340" s="489"/>
      <c r="E340" s="489"/>
      <c r="F340" s="490"/>
      <c r="G340" s="492"/>
      <c r="H340" s="491"/>
      <c r="I340" s="489"/>
    </row>
    <row r="341" spans="1:9" x14ac:dyDescent="0.25">
      <c r="A341" s="727"/>
      <c r="B341" s="489"/>
      <c r="C341" s="489"/>
      <c r="D341" s="489"/>
      <c r="E341" s="489"/>
      <c r="F341" s="490"/>
      <c r="G341" s="492"/>
      <c r="H341" s="491"/>
      <c r="I341" s="489"/>
    </row>
    <row r="342" spans="1:9" x14ac:dyDescent="0.25">
      <c r="A342" s="727"/>
      <c r="B342" s="489"/>
      <c r="C342" s="489"/>
      <c r="D342" s="489"/>
      <c r="E342" s="489"/>
      <c r="F342" s="490"/>
      <c r="G342" s="492"/>
      <c r="H342" s="491"/>
      <c r="I342" s="489"/>
    </row>
    <row r="343" spans="1:9" x14ac:dyDescent="0.25">
      <c r="A343" s="727"/>
      <c r="B343" s="489"/>
      <c r="C343" s="489"/>
      <c r="D343" s="489"/>
      <c r="E343" s="489"/>
      <c r="F343" s="490"/>
      <c r="G343" s="492"/>
      <c r="H343" s="491"/>
      <c r="I343" s="489"/>
    </row>
    <row r="344" spans="1:9" x14ac:dyDescent="0.25">
      <c r="A344" s="727"/>
      <c r="B344" s="489"/>
      <c r="C344" s="489"/>
      <c r="D344" s="489"/>
      <c r="E344" s="489"/>
      <c r="F344" s="490"/>
      <c r="G344" s="492"/>
      <c r="H344" s="491"/>
      <c r="I344" s="489"/>
    </row>
    <row r="345" spans="1:9" x14ac:dyDescent="0.25">
      <c r="A345" s="727"/>
      <c r="B345" s="489"/>
      <c r="C345" s="489"/>
      <c r="D345" s="489"/>
      <c r="E345" s="489"/>
      <c r="F345" s="490"/>
      <c r="G345" s="492"/>
      <c r="H345" s="491"/>
      <c r="I345" s="489"/>
    </row>
    <row r="346" spans="1:9" x14ac:dyDescent="0.25">
      <c r="A346" s="727"/>
      <c r="B346" s="489"/>
      <c r="C346" s="489"/>
      <c r="D346" s="489"/>
      <c r="E346" s="489"/>
      <c r="F346" s="490"/>
      <c r="G346" s="492"/>
      <c r="H346" s="491"/>
      <c r="I346" s="489"/>
    </row>
    <row r="347" spans="1:9" x14ac:dyDescent="0.25">
      <c r="A347" s="727"/>
      <c r="B347" s="489"/>
      <c r="C347" s="489"/>
      <c r="D347" s="489"/>
      <c r="E347" s="489"/>
      <c r="F347" s="490"/>
      <c r="G347" s="492"/>
      <c r="H347" s="491"/>
      <c r="I347" s="489"/>
    </row>
    <row r="348" spans="1:9" x14ac:dyDescent="0.25">
      <c r="A348" s="727"/>
      <c r="B348" s="489"/>
      <c r="C348" s="489"/>
      <c r="D348" s="489"/>
      <c r="E348" s="489"/>
      <c r="F348" s="490"/>
      <c r="G348" s="492"/>
      <c r="H348" s="491"/>
      <c r="I348" s="489"/>
    </row>
    <row r="349" spans="1:9" x14ac:dyDescent="0.25">
      <c r="A349" s="727"/>
      <c r="B349" s="489"/>
      <c r="C349" s="489"/>
      <c r="D349" s="489"/>
      <c r="E349" s="489"/>
      <c r="F349" s="490"/>
      <c r="G349" s="492"/>
      <c r="H349" s="491"/>
      <c r="I349" s="489"/>
    </row>
    <row r="350" spans="1:9" x14ac:dyDescent="0.25">
      <c r="A350" s="727"/>
      <c r="B350" s="489"/>
      <c r="C350" s="489"/>
      <c r="D350" s="489"/>
      <c r="E350" s="489"/>
      <c r="F350" s="490"/>
      <c r="G350" s="492"/>
      <c r="H350" s="491"/>
      <c r="I350" s="489"/>
    </row>
    <row r="351" spans="1:9" x14ac:dyDescent="0.25">
      <c r="A351" s="727"/>
      <c r="B351" s="489"/>
      <c r="C351" s="489"/>
      <c r="D351" s="489"/>
      <c r="E351" s="489"/>
      <c r="F351" s="490"/>
      <c r="G351" s="492"/>
      <c r="H351" s="491"/>
      <c r="I351" s="489"/>
    </row>
    <row r="352" spans="1:9" x14ac:dyDescent="0.25">
      <c r="A352" s="727"/>
      <c r="B352" s="489"/>
      <c r="C352" s="489"/>
      <c r="D352" s="489"/>
      <c r="E352" s="489"/>
      <c r="F352" s="490"/>
      <c r="G352" s="492"/>
      <c r="H352" s="491"/>
      <c r="I352" s="489"/>
    </row>
    <row r="353" spans="1:9" x14ac:dyDescent="0.25">
      <c r="A353" s="727"/>
      <c r="B353" s="489"/>
      <c r="C353" s="489"/>
      <c r="D353" s="489"/>
      <c r="E353" s="489"/>
      <c r="F353" s="490"/>
      <c r="G353" s="492"/>
      <c r="H353" s="491"/>
      <c r="I353" s="489"/>
    </row>
    <row r="354" spans="1:9" x14ac:dyDescent="0.25">
      <c r="A354" s="727"/>
      <c r="B354" s="489"/>
      <c r="C354" s="489"/>
      <c r="D354" s="489"/>
      <c r="E354" s="489"/>
      <c r="F354" s="490"/>
      <c r="G354" s="492"/>
      <c r="H354" s="491"/>
      <c r="I354" s="489"/>
    </row>
    <row r="355" spans="1:9" x14ac:dyDescent="0.25">
      <c r="A355" s="727"/>
      <c r="B355" s="489"/>
      <c r="C355" s="489"/>
      <c r="D355" s="489"/>
      <c r="E355" s="489"/>
      <c r="F355" s="490"/>
      <c r="G355" s="492"/>
      <c r="H355" s="491"/>
      <c r="I355" s="489"/>
    </row>
    <row r="356" spans="1:9" x14ac:dyDescent="0.25">
      <c r="A356" s="727"/>
      <c r="B356" s="489"/>
      <c r="C356" s="489"/>
      <c r="D356" s="489"/>
      <c r="E356" s="489"/>
      <c r="F356" s="490"/>
      <c r="G356" s="492"/>
      <c r="H356" s="491"/>
      <c r="I356" s="489"/>
    </row>
    <row r="357" spans="1:9" x14ac:dyDescent="0.25">
      <c r="A357" s="727"/>
      <c r="B357" s="489"/>
      <c r="C357" s="489"/>
      <c r="D357" s="489"/>
      <c r="E357" s="489"/>
      <c r="F357" s="490"/>
      <c r="G357" s="492"/>
      <c r="H357" s="491"/>
      <c r="I357" s="489"/>
    </row>
    <row r="358" spans="1:9" x14ac:dyDescent="0.25">
      <c r="A358" s="727"/>
      <c r="B358" s="489"/>
      <c r="C358" s="489"/>
      <c r="D358" s="489"/>
      <c r="E358" s="489"/>
      <c r="F358" s="490"/>
      <c r="G358" s="492"/>
      <c r="H358" s="491"/>
      <c r="I358" s="489"/>
    </row>
    <row r="359" spans="1:9" x14ac:dyDescent="0.25">
      <c r="A359" s="727"/>
      <c r="B359" s="489"/>
      <c r="C359" s="489"/>
      <c r="D359" s="489"/>
      <c r="E359" s="489"/>
      <c r="F359" s="490"/>
      <c r="G359" s="492"/>
      <c r="H359" s="491"/>
      <c r="I359" s="489"/>
    </row>
    <row r="360" spans="1:9" x14ac:dyDescent="0.25">
      <c r="A360" s="727"/>
      <c r="B360" s="489"/>
      <c r="C360" s="489"/>
      <c r="D360" s="489"/>
      <c r="E360" s="489"/>
      <c r="F360" s="490"/>
      <c r="G360" s="492"/>
      <c r="H360" s="491"/>
      <c r="I360" s="489"/>
    </row>
    <row r="361" spans="1:9" x14ac:dyDescent="0.25">
      <c r="A361" s="727"/>
      <c r="B361" s="489"/>
      <c r="C361" s="489"/>
      <c r="D361" s="489"/>
      <c r="E361" s="489"/>
      <c r="F361" s="490"/>
      <c r="G361" s="492"/>
      <c r="H361" s="491"/>
      <c r="I361" s="489"/>
    </row>
    <row r="362" spans="1:9" x14ac:dyDescent="0.25">
      <c r="A362" s="727"/>
      <c r="B362" s="489"/>
      <c r="C362" s="489"/>
      <c r="D362" s="489"/>
      <c r="E362" s="489"/>
      <c r="F362" s="490"/>
      <c r="G362" s="492"/>
      <c r="H362" s="491"/>
      <c r="I362" s="489"/>
    </row>
    <row r="363" spans="1:9" x14ac:dyDescent="0.25">
      <c r="A363" s="727"/>
      <c r="B363" s="489"/>
      <c r="C363" s="489"/>
      <c r="D363" s="489"/>
      <c r="E363" s="489"/>
      <c r="F363" s="490"/>
      <c r="G363" s="492"/>
      <c r="H363" s="491"/>
      <c r="I363" s="489"/>
    </row>
    <row r="364" spans="1:9" x14ac:dyDescent="0.25">
      <c r="A364" s="727"/>
      <c r="B364" s="489"/>
      <c r="C364" s="489"/>
      <c r="D364" s="489"/>
      <c r="E364" s="489"/>
      <c r="F364" s="490"/>
      <c r="G364" s="492"/>
      <c r="H364" s="491"/>
      <c r="I364" s="489"/>
    </row>
    <row r="365" spans="1:9" x14ac:dyDescent="0.25">
      <c r="A365" s="727"/>
      <c r="B365" s="489"/>
      <c r="C365" s="489"/>
      <c r="D365" s="489"/>
      <c r="E365" s="489"/>
      <c r="F365" s="490"/>
      <c r="G365" s="492"/>
      <c r="H365" s="491"/>
      <c r="I365" s="489"/>
    </row>
    <row r="366" spans="1:9" x14ac:dyDescent="0.25">
      <c r="A366" s="727"/>
      <c r="B366" s="489"/>
      <c r="C366" s="489"/>
      <c r="D366" s="489"/>
      <c r="E366" s="489"/>
      <c r="F366" s="490"/>
      <c r="G366" s="492"/>
      <c r="H366" s="491"/>
      <c r="I366" s="489"/>
    </row>
    <row r="367" spans="1:9" x14ac:dyDescent="0.25">
      <c r="A367" s="727"/>
      <c r="B367" s="489"/>
      <c r="C367" s="489"/>
      <c r="D367" s="489"/>
      <c r="E367" s="489"/>
      <c r="F367" s="490"/>
      <c r="G367" s="492"/>
      <c r="H367" s="491"/>
      <c r="I367" s="489"/>
    </row>
    <row r="368" spans="1:9" x14ac:dyDescent="0.25">
      <c r="A368" s="727"/>
      <c r="B368" s="489"/>
      <c r="C368" s="489"/>
      <c r="D368" s="489"/>
      <c r="E368" s="489"/>
      <c r="F368" s="490"/>
      <c r="G368" s="492"/>
      <c r="H368" s="491"/>
      <c r="I368" s="489"/>
    </row>
    <row r="369" spans="1:9" x14ac:dyDescent="0.25">
      <c r="A369" s="727"/>
      <c r="B369" s="489"/>
      <c r="C369" s="489"/>
      <c r="D369" s="489"/>
      <c r="E369" s="489"/>
      <c r="F369" s="490"/>
      <c r="G369" s="492"/>
      <c r="H369" s="491"/>
      <c r="I369" s="489"/>
    </row>
    <row r="370" spans="1:9" x14ac:dyDescent="0.25">
      <c r="A370" s="727"/>
      <c r="B370" s="489"/>
      <c r="C370" s="489"/>
      <c r="D370" s="489"/>
      <c r="E370" s="489"/>
      <c r="F370" s="490"/>
      <c r="G370" s="492"/>
      <c r="H370" s="491"/>
      <c r="I370" s="489"/>
    </row>
    <row r="371" spans="1:9" x14ac:dyDescent="0.25">
      <c r="A371" s="727"/>
      <c r="B371" s="489"/>
      <c r="C371" s="489"/>
      <c r="D371" s="489"/>
      <c r="E371" s="489"/>
      <c r="F371" s="490"/>
      <c r="G371" s="492"/>
      <c r="H371" s="491"/>
      <c r="I371" s="489"/>
    </row>
    <row r="372" spans="1:9" x14ac:dyDescent="0.25">
      <c r="A372" s="727"/>
      <c r="B372" s="489"/>
      <c r="C372" s="489"/>
      <c r="D372" s="489"/>
      <c r="E372" s="489"/>
      <c r="F372" s="490"/>
      <c r="G372" s="492"/>
      <c r="H372" s="491"/>
      <c r="I372" s="489"/>
    </row>
    <row r="373" spans="1:9" x14ac:dyDescent="0.25">
      <c r="A373" s="727"/>
      <c r="B373" s="489"/>
      <c r="C373" s="489"/>
      <c r="D373" s="489"/>
      <c r="E373" s="489"/>
      <c r="F373" s="490"/>
      <c r="G373" s="492"/>
      <c r="H373" s="491"/>
      <c r="I373" s="489"/>
    </row>
    <row r="374" spans="1:9" x14ac:dyDescent="0.25">
      <c r="A374" s="727"/>
      <c r="B374" s="489"/>
      <c r="C374" s="489"/>
      <c r="D374" s="489"/>
      <c r="E374" s="489"/>
      <c r="F374" s="490"/>
      <c r="G374" s="492"/>
      <c r="H374" s="491"/>
      <c r="I374" s="489"/>
    </row>
    <row r="375" spans="1:9" x14ac:dyDescent="0.25">
      <c r="A375" s="727"/>
      <c r="B375" s="489"/>
      <c r="C375" s="489"/>
      <c r="D375" s="489"/>
      <c r="E375" s="489"/>
      <c r="F375" s="490"/>
      <c r="G375" s="492"/>
      <c r="H375" s="491"/>
      <c r="I375" s="489"/>
    </row>
    <row r="376" spans="1:9" x14ac:dyDescent="0.25">
      <c r="A376" s="727"/>
      <c r="B376" s="489"/>
      <c r="C376" s="489"/>
      <c r="D376" s="489"/>
      <c r="E376" s="489"/>
      <c r="F376" s="490"/>
      <c r="G376" s="492"/>
      <c r="H376" s="491"/>
      <c r="I376" s="489"/>
    </row>
    <row r="377" spans="1:9" x14ac:dyDescent="0.25">
      <c r="A377" s="727"/>
      <c r="B377" s="489"/>
      <c r="C377" s="489"/>
      <c r="D377" s="489"/>
      <c r="E377" s="489"/>
      <c r="F377" s="490"/>
      <c r="G377" s="492"/>
      <c r="H377" s="491"/>
      <c r="I377" s="489"/>
    </row>
    <row r="378" spans="1:9" x14ac:dyDescent="0.25">
      <c r="A378" s="727"/>
      <c r="B378" s="489"/>
      <c r="C378" s="489"/>
      <c r="D378" s="489"/>
      <c r="E378" s="489"/>
      <c r="F378" s="490"/>
      <c r="G378" s="492"/>
      <c r="H378" s="491"/>
      <c r="I378" s="489"/>
    </row>
    <row r="379" spans="1:9" x14ac:dyDescent="0.25">
      <c r="A379" s="727"/>
      <c r="B379" s="489"/>
      <c r="C379" s="489"/>
      <c r="D379" s="489"/>
      <c r="E379" s="489"/>
      <c r="F379" s="490"/>
      <c r="G379" s="492"/>
      <c r="H379" s="491"/>
      <c r="I379" s="489"/>
    </row>
    <row r="380" spans="1:9" x14ac:dyDescent="0.25">
      <c r="A380" s="727"/>
      <c r="B380" s="489"/>
      <c r="C380" s="489"/>
      <c r="D380" s="489"/>
      <c r="E380" s="489"/>
      <c r="F380" s="490"/>
      <c r="G380" s="492"/>
      <c r="H380" s="491"/>
      <c r="I380" s="489"/>
    </row>
    <row r="381" spans="1:9" x14ac:dyDescent="0.25">
      <c r="A381" s="727"/>
      <c r="B381" s="489"/>
      <c r="C381" s="489"/>
      <c r="D381" s="489"/>
      <c r="E381" s="489"/>
      <c r="F381" s="490"/>
      <c r="G381" s="492"/>
      <c r="H381" s="491"/>
      <c r="I381" s="489"/>
    </row>
    <row r="382" spans="1:9" x14ac:dyDescent="0.25">
      <c r="A382" s="727"/>
      <c r="B382" s="489"/>
      <c r="C382" s="489"/>
      <c r="D382" s="489"/>
      <c r="E382" s="489"/>
      <c r="F382" s="490"/>
      <c r="G382" s="492"/>
      <c r="H382" s="491"/>
      <c r="I382" s="489"/>
    </row>
    <row r="383" spans="1:9" x14ac:dyDescent="0.25">
      <c r="A383" s="727"/>
      <c r="B383" s="489"/>
      <c r="C383" s="489"/>
      <c r="D383" s="489"/>
      <c r="E383" s="489"/>
      <c r="F383" s="490"/>
      <c r="G383" s="492"/>
      <c r="H383" s="491"/>
      <c r="I383" s="489"/>
    </row>
    <row r="384" spans="1:9" x14ac:dyDescent="0.25">
      <c r="A384" s="727"/>
      <c r="B384" s="489"/>
      <c r="C384" s="489"/>
      <c r="D384" s="489"/>
      <c r="E384" s="489"/>
      <c r="F384" s="490"/>
      <c r="G384" s="492"/>
      <c r="H384" s="491"/>
      <c r="I384" s="489"/>
    </row>
    <row r="385" spans="1:9" x14ac:dyDescent="0.25">
      <c r="A385" s="727"/>
      <c r="B385" s="489"/>
      <c r="C385" s="489"/>
      <c r="D385" s="489"/>
      <c r="E385" s="489"/>
      <c r="F385" s="490"/>
      <c r="G385" s="492"/>
      <c r="H385" s="491"/>
      <c r="I385" s="489"/>
    </row>
    <row r="386" spans="1:9" x14ac:dyDescent="0.25">
      <c r="A386" s="727"/>
      <c r="B386" s="489"/>
      <c r="C386" s="489"/>
      <c r="D386" s="489"/>
      <c r="E386" s="489"/>
      <c r="F386" s="490"/>
      <c r="G386" s="492"/>
      <c r="H386" s="491"/>
      <c r="I386" s="489"/>
    </row>
    <row r="387" spans="1:9" x14ac:dyDescent="0.25">
      <c r="A387" s="727"/>
      <c r="B387" s="489"/>
      <c r="C387" s="489"/>
      <c r="D387" s="489"/>
      <c r="E387" s="489"/>
      <c r="F387" s="490"/>
      <c r="G387" s="492"/>
      <c r="H387" s="491"/>
      <c r="I387" s="489"/>
    </row>
    <row r="388" spans="1:9" x14ac:dyDescent="0.25">
      <c r="A388" s="727"/>
      <c r="B388" s="489"/>
      <c r="C388" s="489"/>
      <c r="D388" s="489"/>
      <c r="E388" s="489"/>
      <c r="F388" s="490"/>
      <c r="G388" s="492"/>
      <c r="H388" s="491"/>
      <c r="I388" s="489"/>
    </row>
    <row r="389" spans="1:9" x14ac:dyDescent="0.25">
      <c r="A389" s="727"/>
      <c r="B389" s="489"/>
      <c r="C389" s="489"/>
      <c r="D389" s="489"/>
      <c r="E389" s="489"/>
      <c r="F389" s="490"/>
      <c r="G389" s="492"/>
      <c r="H389" s="491"/>
      <c r="I389" s="489"/>
    </row>
    <row r="390" spans="1:9" x14ac:dyDescent="0.25">
      <c r="A390" s="727"/>
      <c r="B390" s="489"/>
      <c r="C390" s="489"/>
      <c r="D390" s="489"/>
      <c r="E390" s="489"/>
      <c r="F390" s="490"/>
      <c r="G390" s="492"/>
      <c r="H390" s="491"/>
      <c r="I390" s="489"/>
    </row>
    <row r="391" spans="1:9" x14ac:dyDescent="0.25">
      <c r="A391" s="727"/>
      <c r="B391" s="489"/>
      <c r="C391" s="489"/>
      <c r="D391" s="489"/>
      <c r="E391" s="489"/>
      <c r="F391" s="490"/>
      <c r="G391" s="492"/>
      <c r="H391" s="491"/>
      <c r="I391" s="489"/>
    </row>
    <row r="392" spans="1:9" x14ac:dyDescent="0.25">
      <c r="A392" s="727"/>
      <c r="B392" s="489"/>
      <c r="C392" s="489"/>
      <c r="D392" s="489"/>
      <c r="E392" s="489"/>
      <c r="F392" s="490"/>
      <c r="G392" s="492"/>
      <c r="H392" s="491"/>
      <c r="I392" s="489"/>
    </row>
    <row r="393" spans="1:9" x14ac:dyDescent="0.25">
      <c r="A393" s="727"/>
      <c r="B393" s="489"/>
      <c r="C393" s="489"/>
      <c r="D393" s="489"/>
      <c r="E393" s="489"/>
      <c r="F393" s="490"/>
      <c r="G393" s="492"/>
      <c r="H393" s="491"/>
      <c r="I393" s="489"/>
    </row>
    <row r="394" spans="1:9" x14ac:dyDescent="0.25">
      <c r="A394" s="727"/>
      <c r="B394" s="489"/>
      <c r="C394" s="489"/>
      <c r="D394" s="489"/>
      <c r="E394" s="489"/>
      <c r="F394" s="490"/>
      <c r="G394" s="492"/>
      <c r="H394" s="491"/>
      <c r="I394" s="489"/>
    </row>
    <row r="395" spans="1:9" x14ac:dyDescent="0.25">
      <c r="A395" s="727"/>
      <c r="B395" s="489"/>
      <c r="C395" s="489"/>
      <c r="D395" s="489"/>
      <c r="E395" s="489"/>
      <c r="F395" s="490"/>
      <c r="G395" s="492"/>
      <c r="H395" s="491"/>
      <c r="I395" s="489"/>
    </row>
    <row r="396" spans="1:9" x14ac:dyDescent="0.25">
      <c r="A396" s="727"/>
      <c r="B396" s="489"/>
      <c r="C396" s="489"/>
      <c r="D396" s="489"/>
      <c r="E396" s="489"/>
      <c r="F396" s="490"/>
      <c r="G396" s="492"/>
      <c r="H396" s="491"/>
      <c r="I396" s="489"/>
    </row>
    <row r="397" spans="1:9" x14ac:dyDescent="0.25">
      <c r="A397" s="727"/>
      <c r="B397" s="489"/>
      <c r="C397" s="489"/>
      <c r="D397" s="489"/>
      <c r="E397" s="489"/>
      <c r="F397" s="490"/>
      <c r="G397" s="492"/>
      <c r="H397" s="491"/>
      <c r="I397" s="489"/>
    </row>
    <row r="398" spans="1:9" x14ac:dyDescent="0.25">
      <c r="A398" s="727"/>
      <c r="B398" s="489"/>
      <c r="C398" s="489"/>
      <c r="D398" s="489"/>
      <c r="E398" s="489"/>
      <c r="F398" s="490"/>
      <c r="G398" s="492"/>
      <c r="H398" s="491"/>
      <c r="I398" s="489"/>
    </row>
    <row r="399" spans="1:9" x14ac:dyDescent="0.25">
      <c r="A399" s="727"/>
      <c r="B399" s="489"/>
      <c r="C399" s="489"/>
      <c r="D399" s="489"/>
      <c r="E399" s="489"/>
      <c r="F399" s="490"/>
      <c r="G399" s="492"/>
      <c r="H399" s="491"/>
      <c r="I399" s="489"/>
    </row>
    <row r="400" spans="1:9" x14ac:dyDescent="0.25">
      <c r="A400" s="727"/>
      <c r="B400" s="489"/>
      <c r="C400" s="489"/>
      <c r="D400" s="489"/>
      <c r="E400" s="489"/>
      <c r="F400" s="490"/>
      <c r="G400" s="492"/>
      <c r="H400" s="491"/>
      <c r="I400" s="489"/>
    </row>
    <row r="401" spans="1:9" x14ac:dyDescent="0.25">
      <c r="A401" s="727"/>
      <c r="B401" s="489"/>
      <c r="C401" s="489"/>
      <c r="D401" s="489"/>
      <c r="E401" s="489"/>
      <c r="F401" s="490"/>
      <c r="G401" s="492"/>
      <c r="H401" s="491"/>
      <c r="I401" s="489"/>
    </row>
    <row r="402" spans="1:9" x14ac:dyDescent="0.25">
      <c r="A402" s="727"/>
      <c r="B402" s="489"/>
      <c r="C402" s="489"/>
      <c r="D402" s="489"/>
      <c r="E402" s="489"/>
      <c r="F402" s="490"/>
      <c r="G402" s="492"/>
      <c r="H402" s="491"/>
      <c r="I402" s="489"/>
    </row>
    <row r="403" spans="1:9" x14ac:dyDescent="0.25">
      <c r="A403" s="727"/>
      <c r="B403" s="489"/>
      <c r="C403" s="489"/>
      <c r="D403" s="489"/>
      <c r="E403" s="489"/>
      <c r="F403" s="490"/>
      <c r="G403" s="492"/>
      <c r="H403" s="491"/>
      <c r="I403" s="489"/>
    </row>
  </sheetData>
  <mergeCells count="6">
    <mergeCell ref="I1:I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6"/>
  <sheetViews>
    <sheetView tabSelected="1" zoomScaleNormal="100" workbookViewId="0">
      <pane ySplit="4" topLeftCell="A140" activePane="bottomLeft" state="frozen"/>
      <selection pane="bottomLeft" activeCell="A63" sqref="A63:XFD63"/>
    </sheetView>
  </sheetViews>
  <sheetFormatPr defaultRowHeight="15" customHeight="1" x14ac:dyDescent="0.25"/>
  <cols>
    <col min="1" max="1" width="7.28515625" style="1" customWidth="1"/>
    <col min="2" max="2" width="33.5703125" style="1" customWidth="1"/>
    <col min="3" max="3" width="8.140625" style="1" customWidth="1"/>
    <col min="4" max="19" width="8" style="1" customWidth="1"/>
    <col min="20" max="20" width="6.7109375" style="22" customWidth="1"/>
    <col min="21" max="40" width="6.7109375" style="1" customWidth="1"/>
    <col min="41" max="16384" width="9.140625" style="1"/>
  </cols>
  <sheetData>
    <row r="1" spans="1:40" ht="15" customHeight="1" x14ac:dyDescent="0.25">
      <c r="A1" s="1029" t="s">
        <v>92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  <c r="T1" s="24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0" ht="15" customHeight="1" x14ac:dyDescent="0.25">
      <c r="A2" s="1025" t="s">
        <v>0</v>
      </c>
      <c r="B2" s="1024" t="s">
        <v>7</v>
      </c>
      <c r="C2" s="1024" t="s">
        <v>114</v>
      </c>
      <c r="D2" s="1026" t="s">
        <v>91</v>
      </c>
      <c r="E2" s="1026"/>
      <c r="F2" s="1033" t="s">
        <v>93</v>
      </c>
      <c r="G2" s="1033"/>
      <c r="H2" s="1034" t="s">
        <v>95</v>
      </c>
      <c r="I2" s="1034"/>
      <c r="J2" s="1030" t="s">
        <v>202</v>
      </c>
      <c r="K2" s="1030"/>
      <c r="L2" s="1031" t="s">
        <v>203</v>
      </c>
      <c r="M2" s="1031"/>
      <c r="N2" s="1032" t="s">
        <v>204</v>
      </c>
      <c r="O2" s="1032"/>
      <c r="P2" s="1037" t="s">
        <v>206</v>
      </c>
      <c r="Q2" s="1038"/>
      <c r="R2" s="1035" t="s">
        <v>205</v>
      </c>
      <c r="S2" s="1036"/>
      <c r="T2" s="1014" t="s">
        <v>14</v>
      </c>
      <c r="U2" s="1015"/>
      <c r="V2" s="1015"/>
      <c r="W2" s="1015"/>
      <c r="X2" s="1015"/>
      <c r="Y2" s="1015"/>
      <c r="Z2" s="1015"/>
      <c r="AA2" s="1015"/>
      <c r="AB2" s="1015"/>
      <c r="AC2" s="1016"/>
      <c r="AD2" s="1016"/>
    </row>
    <row r="3" spans="1:40" ht="42.75" customHeight="1" x14ac:dyDescent="0.25">
      <c r="A3" s="1025"/>
      <c r="B3" s="1024"/>
      <c r="C3" s="1024"/>
      <c r="D3" s="5" t="s">
        <v>8</v>
      </c>
      <c r="E3" s="5" t="s">
        <v>9</v>
      </c>
      <c r="F3" s="6" t="s">
        <v>8</v>
      </c>
      <c r="G3" s="6" t="s">
        <v>9</v>
      </c>
      <c r="H3" s="7" t="s">
        <v>8</v>
      </c>
      <c r="I3" s="7" t="s">
        <v>9</v>
      </c>
      <c r="J3" s="11" t="s">
        <v>8</v>
      </c>
      <c r="K3" s="11" t="s">
        <v>9</v>
      </c>
      <c r="L3" s="8" t="s">
        <v>8</v>
      </c>
      <c r="M3" s="8" t="s">
        <v>9</v>
      </c>
      <c r="N3" s="9" t="s">
        <v>8</v>
      </c>
      <c r="O3" s="9" t="s">
        <v>9</v>
      </c>
      <c r="P3" s="74" t="s">
        <v>8</v>
      </c>
      <c r="Q3" s="74" t="s">
        <v>9</v>
      </c>
      <c r="R3" s="186" t="s">
        <v>8</v>
      </c>
      <c r="S3" s="186" t="s">
        <v>9</v>
      </c>
      <c r="T3" s="12"/>
      <c r="U3" s="1028" t="s">
        <v>10</v>
      </c>
      <c r="V3" s="1027"/>
      <c r="W3" s="1028" t="s">
        <v>11</v>
      </c>
      <c r="X3" s="1027"/>
      <c r="Y3" s="1028" t="s">
        <v>12</v>
      </c>
      <c r="Z3" s="1028"/>
      <c r="AA3" s="1028" t="s">
        <v>13</v>
      </c>
      <c r="AB3" s="1028"/>
      <c r="AC3" s="1013" t="s">
        <v>227</v>
      </c>
      <c r="AD3" s="1013"/>
      <c r="AE3" s="1013" t="s">
        <v>228</v>
      </c>
      <c r="AF3" s="1013"/>
      <c r="AG3" s="1013" t="s">
        <v>229</v>
      </c>
      <c r="AH3" s="1013"/>
      <c r="AI3" s="1013" t="s">
        <v>230</v>
      </c>
      <c r="AJ3" s="1013"/>
      <c r="AK3" s="1013" t="s">
        <v>231</v>
      </c>
      <c r="AL3" s="1013"/>
      <c r="AM3" s="1013" t="s">
        <v>232</v>
      </c>
      <c r="AN3" s="1013"/>
    </row>
    <row r="4" spans="1:40" ht="15" customHeight="1" x14ac:dyDescent="0.25">
      <c r="A4" s="1021" t="s">
        <v>156</v>
      </c>
      <c r="B4" s="1022"/>
      <c r="C4" s="1023"/>
      <c r="D4" s="4">
        <f t="shared" ref="D4:S4" si="0">SUM(D5:D286)</f>
        <v>9803.8500000000022</v>
      </c>
      <c r="E4" s="4">
        <f t="shared" si="0"/>
        <v>53466.899999999994</v>
      </c>
      <c r="F4" s="4">
        <f t="shared" si="0"/>
        <v>6361.1800000000012</v>
      </c>
      <c r="G4" s="4">
        <f t="shared" si="0"/>
        <v>152.19999999999999</v>
      </c>
      <c r="H4" s="4">
        <f t="shared" si="0"/>
        <v>1921.1999999999998</v>
      </c>
      <c r="I4" s="4">
        <f t="shared" si="0"/>
        <v>2942.3</v>
      </c>
      <c r="J4" s="4">
        <f t="shared" si="0"/>
        <v>4751.5400000000018</v>
      </c>
      <c r="K4" s="4">
        <f t="shared" si="0"/>
        <v>1513.67</v>
      </c>
      <c r="L4" s="4">
        <f t="shared" si="0"/>
        <v>0</v>
      </c>
      <c r="M4" s="4">
        <f t="shared" si="0"/>
        <v>0</v>
      </c>
      <c r="N4" s="4">
        <f t="shared" si="0"/>
        <v>5</v>
      </c>
      <c r="O4" s="4">
        <f t="shared" si="0"/>
        <v>0</v>
      </c>
      <c r="P4" s="74">
        <f t="shared" si="0"/>
        <v>78.899999999999991</v>
      </c>
      <c r="Q4" s="74">
        <f t="shared" si="0"/>
        <v>0</v>
      </c>
      <c r="R4" s="186">
        <f t="shared" si="0"/>
        <v>56.2</v>
      </c>
      <c r="S4" s="186">
        <f t="shared" si="0"/>
        <v>0</v>
      </c>
      <c r="T4" s="23" t="s">
        <v>22</v>
      </c>
      <c r="U4" s="14" t="s">
        <v>8</v>
      </c>
      <c r="V4" s="14" t="s">
        <v>9</v>
      </c>
      <c r="W4" s="14" t="s">
        <v>8</v>
      </c>
      <c r="X4" s="14" t="s">
        <v>9</v>
      </c>
      <c r="Y4" s="14" t="s">
        <v>8</v>
      </c>
      <c r="Z4" s="14" t="s">
        <v>9</v>
      </c>
      <c r="AA4" s="14" t="s">
        <v>8</v>
      </c>
      <c r="AB4" s="14" t="s">
        <v>9</v>
      </c>
      <c r="AC4" s="119" t="s">
        <v>8</v>
      </c>
      <c r="AD4" s="119" t="s">
        <v>9</v>
      </c>
      <c r="AE4" s="307" t="s">
        <v>8</v>
      </c>
      <c r="AF4" s="307" t="s">
        <v>9</v>
      </c>
      <c r="AG4" s="307" t="s">
        <v>8</v>
      </c>
      <c r="AH4" s="307" t="s">
        <v>9</v>
      </c>
      <c r="AI4" s="307" t="s">
        <v>8</v>
      </c>
      <c r="AJ4" s="307" t="s">
        <v>9</v>
      </c>
      <c r="AK4" s="307" t="s">
        <v>8</v>
      </c>
      <c r="AL4" s="307" t="s">
        <v>9</v>
      </c>
      <c r="AM4" s="307" t="s">
        <v>8</v>
      </c>
      <c r="AN4" s="307" t="s">
        <v>9</v>
      </c>
    </row>
    <row r="5" spans="1:40" s="2" customFormat="1" ht="15" customHeight="1" x14ac:dyDescent="0.25">
      <c r="A5" s="68">
        <v>43134</v>
      </c>
      <c r="B5" s="813" t="s">
        <v>304</v>
      </c>
      <c r="C5" s="383" t="s">
        <v>10</v>
      </c>
      <c r="D5" s="385">
        <v>6</v>
      </c>
      <c r="E5" s="385"/>
      <c r="F5" s="16"/>
      <c r="G5" s="16"/>
      <c r="H5" s="17"/>
      <c r="I5" s="17"/>
      <c r="J5" s="14"/>
      <c r="K5" s="14"/>
      <c r="L5" s="18"/>
      <c r="M5" s="18"/>
      <c r="N5" s="19"/>
      <c r="O5" s="19"/>
      <c r="P5" s="41"/>
      <c r="Q5" s="41"/>
      <c r="R5" s="187"/>
      <c r="S5" s="187"/>
      <c r="T5" s="23" t="s">
        <v>3</v>
      </c>
      <c r="U5" s="14">
        <f>SUMIF(C5:C317,"FRFO",D5:D317)</f>
        <v>3224.3999999999996</v>
      </c>
      <c r="V5" s="14">
        <f>SUMIF(C5:C317,"FRFO",E5:E317)</f>
        <v>2770.6499999999996</v>
      </c>
      <c r="W5" s="14">
        <f>SUMIF(C5:C317,"BOP",D5:D317)</f>
        <v>2801.35</v>
      </c>
      <c r="X5" s="14">
        <f>SUMIF(C5:C317,"BOP",E5:E317)</f>
        <v>91</v>
      </c>
      <c r="Y5" s="14">
        <f>SUMIF(C5:C317,"BFO",D5:D317)</f>
        <v>0</v>
      </c>
      <c r="Z5" s="14">
        <f>SUMIF(C5:C289,"BFO",E5:E317)</f>
        <v>38564</v>
      </c>
      <c r="AA5" s="14">
        <f>SUMIF(C5:C317,"OFO",D5:D317)</f>
        <v>265.10000000000002</v>
      </c>
      <c r="AB5" s="14">
        <f>SUMIF(C5:C317,"OFO",E5:E317)</f>
        <v>11615.25</v>
      </c>
      <c r="AC5" s="119">
        <f>SUMIF(C5:C317,"OMA-NORTH FORK OWYHEE",D5:D317)</f>
        <v>0</v>
      </c>
      <c r="AD5" s="119">
        <f>SUMIF(C5:C317,"OMA-NORTH FORK OWYHEE",E5:E317)</f>
        <v>0</v>
      </c>
      <c r="AE5" s="307">
        <f>SUMIF(E5:E317,"OMA-POLE CREEK",D5:D317)</f>
        <v>0</v>
      </c>
      <c r="AF5" s="307">
        <f>SUMIF(E5:E317,"OMA-POLE CREEK",E5:E317)</f>
        <v>0</v>
      </c>
      <c r="AG5" s="307">
        <f>SUMIF(G5:G317,"OMA-OWYHEE RIVER",D5:D317)</f>
        <v>0</v>
      </c>
      <c r="AH5" s="307">
        <f>SUMIF(G5:G317,"OMA-OWYHEE RIVER",E5:E317)</f>
        <v>0</v>
      </c>
      <c r="AI5" s="307">
        <f>SUMIF(I5:I317,"OMA-LITTLE JACKS CREEK",D5:D317)</f>
        <v>0</v>
      </c>
      <c r="AJ5" s="307">
        <f>SUMIF(I5:I317,"OMA-LITTLE JACKS CREEK",E5:E317)</f>
        <v>0</v>
      </c>
      <c r="AK5" s="307">
        <f>SUMIF(K5:K317,"OMA-BIG JACKS CREEK",D5:D317)</f>
        <v>0</v>
      </c>
      <c r="AL5" s="307">
        <f>SUMIF(K5:K317,"OMA-BIG JACKS CREEK",E5:E317)</f>
        <v>0</v>
      </c>
      <c r="AM5" s="307">
        <f>SUMIF(M5:M317,"OMA-BRUNEAU JARBIDGE",D5:D317)</f>
        <v>0</v>
      </c>
      <c r="AN5" s="307">
        <f>SUMIF(M5:M317,"OMA-BRUNEAU JARBIDGE",E5:E317)</f>
        <v>0</v>
      </c>
    </row>
    <row r="6" spans="1:40" s="2" customFormat="1" ht="15" customHeight="1" x14ac:dyDescent="0.25">
      <c r="A6" s="68">
        <v>43144</v>
      </c>
      <c r="B6" s="78" t="s">
        <v>317</v>
      </c>
      <c r="C6" s="383" t="s">
        <v>323</v>
      </c>
      <c r="D6" s="385"/>
      <c r="E6" s="385"/>
      <c r="F6" s="16">
        <v>11</v>
      </c>
      <c r="G6" s="16"/>
      <c r="H6" s="17"/>
      <c r="I6" s="17"/>
      <c r="J6" s="262">
        <v>0.9</v>
      </c>
      <c r="K6" s="262"/>
      <c r="L6" s="18"/>
      <c r="M6" s="18"/>
      <c r="N6" s="19"/>
      <c r="O6" s="19"/>
      <c r="P6" s="41"/>
      <c r="Q6" s="41"/>
      <c r="R6" s="187"/>
      <c r="S6" s="187"/>
      <c r="T6" s="23" t="s">
        <v>15</v>
      </c>
      <c r="U6" s="1028">
        <v>13</v>
      </c>
      <c r="V6" s="1028"/>
      <c r="W6" s="1028">
        <f>SUM(W5:X5)</f>
        <v>2892.35</v>
      </c>
      <c r="X6" s="1028"/>
      <c r="Y6" s="1028">
        <f>SUM(Y5:Z5)</f>
        <v>38564</v>
      </c>
      <c r="Z6" s="1028"/>
      <c r="AA6" s="1028">
        <f>SUM(AA5:AB5)</f>
        <v>11880.35</v>
      </c>
      <c r="AB6" s="1028"/>
      <c r="AC6" s="1017">
        <f>SUM(AC5:AD5)</f>
        <v>0</v>
      </c>
      <c r="AD6" s="1018"/>
      <c r="AE6" s="1017">
        <f>SUM(AE5:AF5)</f>
        <v>0</v>
      </c>
      <c r="AF6" s="1018"/>
      <c r="AG6" s="1017">
        <f>SUM(AG5:AH5)</f>
        <v>0</v>
      </c>
      <c r="AH6" s="1018"/>
      <c r="AI6" s="1017">
        <f>SUM(AI5:AJ5)</f>
        <v>0</v>
      </c>
      <c r="AJ6" s="1018"/>
      <c r="AK6" s="1017">
        <f>SUM(AK5:AL5)</f>
        <v>0</v>
      </c>
      <c r="AL6" s="1018"/>
      <c r="AM6" s="1017">
        <f>SUM(AM5:AN5)</f>
        <v>0</v>
      </c>
      <c r="AN6" s="1018"/>
    </row>
    <row r="7" spans="1:40" s="2" customFormat="1" ht="15" customHeight="1" x14ac:dyDescent="0.25">
      <c r="A7" s="68">
        <v>43188</v>
      </c>
      <c r="B7" s="813" t="s">
        <v>336</v>
      </c>
      <c r="C7" s="383" t="s">
        <v>323</v>
      </c>
      <c r="D7" s="386">
        <v>6.4</v>
      </c>
      <c r="E7" s="385"/>
      <c r="F7" s="16"/>
      <c r="G7" s="16"/>
      <c r="H7" s="17"/>
      <c r="I7" s="17"/>
      <c r="J7" s="262">
        <v>0.1</v>
      </c>
      <c r="K7" s="262"/>
      <c r="L7" s="18"/>
      <c r="M7" s="18"/>
      <c r="N7" s="19"/>
      <c r="O7" s="19"/>
      <c r="P7" s="41"/>
      <c r="Q7" s="41"/>
      <c r="R7" s="187"/>
      <c r="S7" s="187"/>
      <c r="T7" s="21"/>
    </row>
    <row r="8" spans="1:40" s="2" customFormat="1" ht="15" customHeight="1" x14ac:dyDescent="0.25">
      <c r="A8" s="68">
        <v>43201</v>
      </c>
      <c r="B8" s="813" t="s">
        <v>341</v>
      </c>
      <c r="C8" s="383" t="s">
        <v>11</v>
      </c>
      <c r="D8" s="385">
        <v>3</v>
      </c>
      <c r="E8" s="385"/>
      <c r="F8" s="16"/>
      <c r="G8" s="16"/>
      <c r="H8" s="17"/>
      <c r="I8" s="17"/>
      <c r="J8" s="262"/>
      <c r="K8" s="262"/>
      <c r="L8" s="18"/>
      <c r="M8" s="18"/>
      <c r="N8" s="19"/>
      <c r="O8" s="19"/>
      <c r="P8" s="41"/>
      <c r="Q8" s="41"/>
      <c r="R8" s="187"/>
      <c r="S8" s="187"/>
      <c r="T8" s="1019" t="s">
        <v>21</v>
      </c>
      <c r="U8" s="1027"/>
      <c r="V8" s="1027"/>
      <c r="W8" s="1027"/>
      <c r="X8" s="1027"/>
      <c r="Y8" s="1027"/>
      <c r="Z8" s="1027"/>
      <c r="AA8" s="1027"/>
      <c r="AB8" s="1027"/>
      <c r="AC8" s="1027"/>
      <c r="AD8" s="1027"/>
    </row>
    <row r="9" spans="1:40" s="2" customFormat="1" ht="15" customHeight="1" x14ac:dyDescent="0.25">
      <c r="A9" s="68">
        <v>43217</v>
      </c>
      <c r="B9" s="17" t="s">
        <v>362</v>
      </c>
      <c r="C9" s="383">
        <v>1</v>
      </c>
      <c r="D9" s="385"/>
      <c r="E9" s="385"/>
      <c r="F9" s="16">
        <v>0.3</v>
      </c>
      <c r="G9" s="16"/>
      <c r="H9" s="17"/>
      <c r="I9" s="17"/>
      <c r="J9" s="262" t="s">
        <v>6</v>
      </c>
      <c r="K9" s="262"/>
      <c r="L9" s="18"/>
      <c r="M9" s="18"/>
      <c r="N9" s="19"/>
      <c r="O9" s="19"/>
      <c r="P9" s="41"/>
      <c r="Q9" s="41"/>
      <c r="R9" s="187"/>
      <c r="S9" s="187"/>
      <c r="T9" s="23"/>
      <c r="U9" s="1028" t="s">
        <v>16</v>
      </c>
      <c r="V9" s="1028"/>
      <c r="W9" s="1028" t="s">
        <v>17</v>
      </c>
      <c r="X9" s="1028"/>
      <c r="Y9" s="1028" t="s">
        <v>18</v>
      </c>
      <c r="Z9" s="1028"/>
      <c r="AA9" s="1028" t="s">
        <v>19</v>
      </c>
      <c r="AB9" s="1028"/>
      <c r="AC9" s="1028" t="s">
        <v>20</v>
      </c>
      <c r="AD9" s="1028"/>
    </row>
    <row r="10" spans="1:40" s="2" customFormat="1" ht="15" customHeight="1" x14ac:dyDescent="0.25">
      <c r="A10" s="68">
        <v>43234</v>
      </c>
      <c r="B10" s="813" t="s">
        <v>381</v>
      </c>
      <c r="C10" s="383" t="s">
        <v>11</v>
      </c>
      <c r="D10" s="385">
        <v>14</v>
      </c>
      <c r="E10" s="385"/>
      <c r="F10" s="16"/>
      <c r="G10" s="16"/>
      <c r="H10" s="17"/>
      <c r="I10" s="17"/>
      <c r="J10" s="262"/>
      <c r="K10" s="262"/>
      <c r="L10" s="18"/>
      <c r="M10" s="18"/>
      <c r="N10" s="19"/>
      <c r="O10" s="19"/>
      <c r="P10" s="41"/>
      <c r="Q10" s="41"/>
      <c r="R10" s="187"/>
      <c r="S10" s="187"/>
      <c r="T10" s="23" t="s">
        <v>22</v>
      </c>
      <c r="U10" s="14" t="s">
        <v>8</v>
      </c>
      <c r="V10" s="14" t="s">
        <v>9</v>
      </c>
      <c r="W10" s="14" t="s">
        <v>8</v>
      </c>
      <c r="X10" s="14" t="s">
        <v>9</v>
      </c>
      <c r="Y10" s="14" t="s">
        <v>8</v>
      </c>
      <c r="Z10" s="14" t="s">
        <v>9</v>
      </c>
      <c r="AA10" s="14" t="s">
        <v>8</v>
      </c>
      <c r="AB10" s="14" t="s">
        <v>9</v>
      </c>
      <c r="AC10" s="14" t="s">
        <v>8</v>
      </c>
      <c r="AD10" s="14" t="s">
        <v>9</v>
      </c>
    </row>
    <row r="11" spans="1:40" s="2" customFormat="1" ht="15" customHeight="1" x14ac:dyDescent="0.25">
      <c r="A11" s="68">
        <v>43235</v>
      </c>
      <c r="B11" s="813" t="s">
        <v>384</v>
      </c>
      <c r="C11" s="383" t="s">
        <v>13</v>
      </c>
      <c r="D11" s="386">
        <v>0.1</v>
      </c>
      <c r="E11" s="385"/>
      <c r="F11" s="16"/>
      <c r="G11" s="16"/>
      <c r="H11" s="17"/>
      <c r="I11" s="17"/>
      <c r="J11" s="262"/>
      <c r="K11" s="262"/>
      <c r="L11" s="18"/>
      <c r="M11" s="18"/>
      <c r="N11" s="19"/>
      <c r="O11" s="19"/>
      <c r="P11" s="41"/>
      <c r="Q11" s="41"/>
      <c r="R11" s="187"/>
      <c r="S11" s="187"/>
      <c r="T11" s="23" t="s">
        <v>3</v>
      </c>
      <c r="U11" s="14">
        <f>SUMIF(C5:C317,"1",F5:F317)</f>
        <v>64.62</v>
      </c>
      <c r="V11" s="14">
        <f ca="1">SUMIF(C5:C317,"1",G5:G289)</f>
        <v>0.30000000000000004</v>
      </c>
      <c r="W11" s="14">
        <f>SUMIF(C5:C317,"3",F5:F317)</f>
        <v>0.2</v>
      </c>
      <c r="X11" s="14">
        <f>SUMIF(C5:C317,"3",G5:G317)</f>
        <v>32.999999999999993</v>
      </c>
      <c r="Y11" s="14">
        <f>SUMIF(C5:C317,"4",F5:F317)</f>
        <v>0.64999999999999991</v>
      </c>
      <c r="Z11" s="14">
        <f>SUMIF(C5:C317,"4",G5:G317)</f>
        <v>6.2</v>
      </c>
      <c r="AA11" s="14">
        <f>SUMIF(C5:C317,"5",F5:F317)</f>
        <v>4571.3</v>
      </c>
      <c r="AB11" s="14">
        <f>SUMIF(C5:C317,"5",G5:G317)</f>
        <v>112</v>
      </c>
      <c r="AC11" s="14">
        <f>SUMIF(C5:C317,"6",F5:F317)</f>
        <v>1617.41</v>
      </c>
      <c r="AD11" s="14">
        <f>SUMIF(C5:C317,"6",G5:G317)</f>
        <v>0.7</v>
      </c>
    </row>
    <row r="12" spans="1:40" s="2" customFormat="1" ht="15" customHeight="1" x14ac:dyDescent="0.25">
      <c r="A12" s="68">
        <v>43239</v>
      </c>
      <c r="B12" s="813" t="s">
        <v>388</v>
      </c>
      <c r="C12" s="383" t="s">
        <v>10</v>
      </c>
      <c r="D12" s="385">
        <v>100</v>
      </c>
      <c r="E12" s="385"/>
      <c r="F12" s="16"/>
      <c r="G12" s="16"/>
      <c r="H12" s="17"/>
      <c r="I12" s="17"/>
      <c r="J12" s="262"/>
      <c r="K12" s="262"/>
      <c r="L12" s="18"/>
      <c r="M12" s="18"/>
      <c r="N12" s="19"/>
      <c r="O12" s="19"/>
      <c r="P12" s="41"/>
      <c r="Q12" s="41"/>
      <c r="R12" s="187"/>
      <c r="S12" s="187"/>
      <c r="T12" s="23" t="s">
        <v>5</v>
      </c>
      <c r="U12" s="1017">
        <f ca="1">SUM(U11:V11)</f>
        <v>64.92</v>
      </c>
      <c r="V12" s="1018"/>
      <c r="W12" s="1017">
        <f>SUM(W11:X11)</f>
        <v>33.199999999999996</v>
      </c>
      <c r="X12" s="1018"/>
      <c r="Y12" s="1017">
        <f>SUM(Y11:Z11)</f>
        <v>6.85</v>
      </c>
      <c r="Z12" s="1018"/>
      <c r="AA12" s="1017">
        <f>SUM(AA11:AB11)</f>
        <v>4683.3</v>
      </c>
      <c r="AB12" s="1018"/>
      <c r="AC12" s="1017">
        <f>SUM(AC11:AD11)</f>
        <v>1618.1100000000001</v>
      </c>
      <c r="AD12" s="1018"/>
    </row>
    <row r="13" spans="1:40" s="2" customFormat="1" ht="15" customHeight="1" x14ac:dyDescent="0.25">
      <c r="A13" s="68">
        <v>43243</v>
      </c>
      <c r="B13" s="78" t="s">
        <v>43</v>
      </c>
      <c r="C13" s="383">
        <v>6</v>
      </c>
      <c r="D13" s="385"/>
      <c r="E13" s="385"/>
      <c r="F13" s="16"/>
      <c r="G13" s="16">
        <v>0.6</v>
      </c>
      <c r="H13" s="17"/>
      <c r="I13" s="17"/>
      <c r="J13" s="262"/>
      <c r="K13" s="262"/>
      <c r="L13" s="18"/>
      <c r="M13" s="18"/>
      <c r="N13" s="19"/>
      <c r="O13" s="19"/>
      <c r="P13" s="41"/>
      <c r="Q13" s="41"/>
      <c r="R13" s="187"/>
      <c r="S13" s="187"/>
      <c r="T13" s="21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</row>
    <row r="14" spans="1:40" s="2" customFormat="1" ht="15" customHeight="1" x14ac:dyDescent="0.25">
      <c r="A14" s="68">
        <v>43245</v>
      </c>
      <c r="B14" s="840" t="s">
        <v>408</v>
      </c>
      <c r="C14" s="383" t="s">
        <v>323</v>
      </c>
      <c r="D14" s="386"/>
      <c r="E14" s="385"/>
      <c r="F14" s="16"/>
      <c r="G14" s="134"/>
      <c r="H14" s="17"/>
      <c r="I14" s="17"/>
      <c r="J14" s="281">
        <v>1</v>
      </c>
      <c r="K14" s="262"/>
      <c r="L14" s="18"/>
      <c r="M14" s="18"/>
      <c r="N14" s="19"/>
      <c r="O14" s="19"/>
      <c r="P14" s="41"/>
      <c r="Q14" s="41"/>
      <c r="R14" s="187"/>
      <c r="S14" s="187"/>
      <c r="T14" s="21"/>
    </row>
    <row r="15" spans="1:40" s="2" customFormat="1" ht="15" customHeight="1" x14ac:dyDescent="0.25">
      <c r="A15" s="68">
        <v>43246</v>
      </c>
      <c r="B15" s="78" t="s">
        <v>414</v>
      </c>
      <c r="C15" s="383">
        <v>4</v>
      </c>
      <c r="D15" s="386"/>
      <c r="E15" s="385"/>
      <c r="F15" s="16"/>
      <c r="G15" s="16">
        <v>0.1</v>
      </c>
      <c r="H15" s="17"/>
      <c r="I15" s="17"/>
      <c r="J15" s="262"/>
      <c r="K15" s="262"/>
      <c r="L15" s="18"/>
      <c r="M15" s="18"/>
      <c r="N15" s="19"/>
      <c r="O15" s="19"/>
      <c r="P15" s="41"/>
      <c r="Q15" s="41"/>
      <c r="R15" s="187"/>
      <c r="S15" s="187"/>
      <c r="T15" s="21"/>
    </row>
    <row r="16" spans="1:40" s="2" customFormat="1" ht="15" customHeight="1" x14ac:dyDescent="0.25">
      <c r="A16" s="68">
        <v>43248</v>
      </c>
      <c r="B16" s="460" t="s">
        <v>430</v>
      </c>
      <c r="C16" s="383">
        <v>3</v>
      </c>
      <c r="D16" s="385"/>
      <c r="E16" s="385"/>
      <c r="F16" s="16"/>
      <c r="G16" s="16">
        <v>0.1</v>
      </c>
      <c r="H16" s="17"/>
      <c r="I16" s="17"/>
      <c r="J16" s="262"/>
      <c r="K16" s="262"/>
      <c r="L16" s="18"/>
      <c r="M16" s="18"/>
      <c r="N16" s="19"/>
      <c r="O16" s="19"/>
      <c r="P16" s="41"/>
      <c r="Q16" s="41"/>
      <c r="R16" s="187"/>
      <c r="S16" s="187"/>
      <c r="T16" s="1019" t="s">
        <v>23</v>
      </c>
      <c r="U16" s="1020"/>
      <c r="V16" s="1020"/>
    </row>
    <row r="17" spans="1:22" s="2" customFormat="1" ht="15" customHeight="1" x14ac:dyDescent="0.25">
      <c r="A17" s="68">
        <v>43248</v>
      </c>
      <c r="B17" s="138" t="s">
        <v>433</v>
      </c>
      <c r="C17" s="383" t="s">
        <v>323</v>
      </c>
      <c r="D17" s="385"/>
      <c r="E17" s="385"/>
      <c r="F17" s="16"/>
      <c r="G17" s="16"/>
      <c r="H17" s="17"/>
      <c r="I17" s="17"/>
      <c r="J17" s="262"/>
      <c r="K17" s="262">
        <v>0.18</v>
      </c>
      <c r="L17" s="18"/>
      <c r="M17" s="18"/>
      <c r="N17" s="19"/>
      <c r="O17" s="19"/>
      <c r="P17" s="41"/>
      <c r="Q17" s="41"/>
      <c r="R17" s="187"/>
      <c r="S17" s="187"/>
      <c r="T17" s="23" t="s">
        <v>22</v>
      </c>
      <c r="U17" s="14" t="s">
        <v>8</v>
      </c>
      <c r="V17" s="14" t="s">
        <v>9</v>
      </c>
    </row>
    <row r="18" spans="1:22" s="270" customFormat="1" ht="15" customHeight="1" x14ac:dyDescent="0.25">
      <c r="A18" s="68">
        <v>43249</v>
      </c>
      <c r="B18" s="17" t="s">
        <v>444</v>
      </c>
      <c r="C18" s="383" t="s">
        <v>323</v>
      </c>
      <c r="D18" s="385"/>
      <c r="E18" s="385"/>
      <c r="F18" s="16"/>
      <c r="G18" s="16"/>
      <c r="H18" s="17"/>
      <c r="I18" s="17"/>
      <c r="J18" s="328"/>
      <c r="K18" s="328">
        <v>1.69</v>
      </c>
      <c r="L18" s="18"/>
      <c r="M18" s="18"/>
      <c r="N18" s="19"/>
      <c r="O18" s="19"/>
      <c r="P18" s="41"/>
      <c r="Q18" s="41"/>
      <c r="R18" s="187"/>
      <c r="S18" s="187"/>
      <c r="T18" s="327"/>
      <c r="U18" s="328"/>
      <c r="V18" s="328"/>
    </row>
    <row r="19" spans="1:22" s="2" customFormat="1" ht="15" customHeight="1" x14ac:dyDescent="0.25">
      <c r="A19" s="68">
        <v>43254</v>
      </c>
      <c r="B19" s="813" t="s">
        <v>460</v>
      </c>
      <c r="C19" s="383" t="s">
        <v>10</v>
      </c>
      <c r="D19" s="386">
        <v>2</v>
      </c>
      <c r="E19" s="385"/>
      <c r="F19" s="16"/>
      <c r="G19" s="16"/>
      <c r="H19" s="17"/>
      <c r="I19" s="17"/>
      <c r="J19" s="281"/>
      <c r="K19" s="262"/>
      <c r="L19" s="18"/>
      <c r="M19" s="18"/>
      <c r="N19" s="19"/>
      <c r="O19" s="19"/>
      <c r="P19" s="41"/>
      <c r="Q19" s="41"/>
      <c r="R19" s="187"/>
      <c r="S19" s="187"/>
      <c r="T19" s="23" t="s">
        <v>3</v>
      </c>
      <c r="U19" s="14">
        <f>SUMIF(C5:C317,"SWS",H5:H317)</f>
        <v>13.200000000000001</v>
      </c>
      <c r="V19" s="14">
        <f>SUMIF(C5:C317,"SWS",I5:I317)</f>
        <v>4.3</v>
      </c>
    </row>
    <row r="20" spans="1:22" s="2" customFormat="1" ht="15" customHeight="1" x14ac:dyDescent="0.25">
      <c r="A20" s="68">
        <v>43255</v>
      </c>
      <c r="B20" s="17" t="s">
        <v>462</v>
      </c>
      <c r="C20" s="383" t="s">
        <v>323</v>
      </c>
      <c r="D20" s="385"/>
      <c r="E20" s="385"/>
      <c r="F20" s="16"/>
      <c r="G20" s="16"/>
      <c r="H20" s="17"/>
      <c r="I20" s="17"/>
      <c r="J20" s="262">
        <v>0.1</v>
      </c>
      <c r="K20" s="262"/>
      <c r="L20" s="18"/>
      <c r="M20" s="18"/>
      <c r="N20" s="19"/>
      <c r="O20" s="19"/>
      <c r="P20" s="41"/>
      <c r="Q20" s="41"/>
      <c r="R20" s="187"/>
      <c r="S20" s="187"/>
      <c r="T20" s="23" t="s">
        <v>5</v>
      </c>
      <c r="U20" s="1028">
        <f>SUM(U19:V19)</f>
        <v>17.5</v>
      </c>
      <c r="V20" s="1028"/>
    </row>
    <row r="21" spans="1:22" s="2" customFormat="1" ht="15" customHeight="1" x14ac:dyDescent="0.25">
      <c r="A21" s="68">
        <v>43255</v>
      </c>
      <c r="B21" s="813" t="s">
        <v>470</v>
      </c>
      <c r="C21" s="383" t="s">
        <v>11</v>
      </c>
      <c r="D21" s="385">
        <v>0.1</v>
      </c>
      <c r="E21" s="385"/>
      <c r="F21" s="16"/>
      <c r="G21" s="16"/>
      <c r="H21" s="17"/>
      <c r="I21" s="17"/>
      <c r="J21" s="262"/>
      <c r="K21" s="262"/>
      <c r="L21" s="18"/>
      <c r="M21" s="18"/>
      <c r="N21" s="19"/>
      <c r="O21" s="19"/>
      <c r="P21" s="41"/>
      <c r="Q21" s="41"/>
      <c r="R21" s="187"/>
      <c r="S21" s="187"/>
      <c r="T21" s="21" t="s">
        <v>6</v>
      </c>
    </row>
    <row r="22" spans="1:22" s="2" customFormat="1" ht="15" customHeight="1" x14ac:dyDescent="0.25">
      <c r="A22" s="358">
        <v>43256</v>
      </c>
      <c r="B22" s="813" t="s">
        <v>493</v>
      </c>
      <c r="C22" s="383" t="s">
        <v>11</v>
      </c>
      <c r="D22" s="385">
        <v>0.5</v>
      </c>
      <c r="E22" s="385"/>
      <c r="F22" s="16"/>
      <c r="G22" s="16"/>
      <c r="H22" s="17"/>
      <c r="I22" s="17"/>
      <c r="J22" s="262"/>
      <c r="K22" s="262"/>
      <c r="L22" s="18"/>
      <c r="M22" s="18"/>
      <c r="N22" s="19"/>
      <c r="O22" s="19"/>
      <c r="P22" s="41"/>
      <c r="Q22" s="41"/>
      <c r="R22" s="187"/>
      <c r="S22" s="187"/>
      <c r="T22" s="1039"/>
      <c r="U22" s="1040"/>
      <c r="V22" s="1041"/>
    </row>
    <row r="23" spans="1:22" s="2" customFormat="1" ht="15" customHeight="1" x14ac:dyDescent="0.25">
      <c r="A23" s="358">
        <v>43256</v>
      </c>
      <c r="B23" s="78" t="s">
        <v>487</v>
      </c>
      <c r="C23" s="512">
        <v>6</v>
      </c>
      <c r="D23" s="385"/>
      <c r="E23" s="385"/>
      <c r="F23" s="16"/>
      <c r="G23" s="16">
        <v>0.1</v>
      </c>
      <c r="H23" s="17"/>
      <c r="I23" s="17"/>
      <c r="J23" s="511"/>
      <c r="K23" s="511"/>
      <c r="L23" s="18"/>
      <c r="M23" s="18"/>
      <c r="N23" s="19"/>
      <c r="O23" s="19"/>
      <c r="P23" s="41"/>
      <c r="Q23" s="41"/>
      <c r="R23" s="187"/>
      <c r="S23" s="187"/>
      <c r="T23" s="315"/>
      <c r="U23" s="316"/>
      <c r="V23" s="316"/>
    </row>
    <row r="24" spans="1:22" s="2" customFormat="1" ht="15" customHeight="1" x14ac:dyDescent="0.25">
      <c r="A24" s="358">
        <v>43256</v>
      </c>
      <c r="B24" s="857" t="s">
        <v>471</v>
      </c>
      <c r="C24" s="383" t="s">
        <v>13</v>
      </c>
      <c r="D24" s="385">
        <v>209</v>
      </c>
      <c r="E24" s="385"/>
      <c r="F24" s="16"/>
      <c r="G24" s="16"/>
      <c r="H24" s="17"/>
      <c r="I24" s="17"/>
      <c r="J24" s="262"/>
      <c r="K24" s="262"/>
      <c r="L24" s="18"/>
      <c r="M24" s="18"/>
      <c r="N24" s="19"/>
      <c r="O24" s="19"/>
      <c r="P24" s="41"/>
      <c r="Q24" s="41"/>
      <c r="R24" s="187"/>
      <c r="S24" s="187"/>
      <c r="T24" s="314"/>
      <c r="U24" s="312"/>
      <c r="V24" s="312"/>
    </row>
    <row r="25" spans="1:22" s="2" customFormat="1" ht="15" customHeight="1" x14ac:dyDescent="0.25">
      <c r="A25" s="358">
        <v>43256</v>
      </c>
      <c r="B25" s="857" t="s">
        <v>484</v>
      </c>
      <c r="C25" s="383" t="s">
        <v>11</v>
      </c>
      <c r="D25" s="385">
        <v>192</v>
      </c>
      <c r="E25" s="385"/>
      <c r="F25" s="16"/>
      <c r="G25" s="16"/>
      <c r="H25" s="17"/>
      <c r="I25" s="17"/>
      <c r="J25" s="262"/>
      <c r="K25" s="262"/>
      <c r="L25" s="18"/>
      <c r="M25" s="18"/>
      <c r="N25" s="19"/>
      <c r="O25" s="19"/>
      <c r="P25" s="41"/>
      <c r="Q25" s="41"/>
      <c r="R25" s="187"/>
      <c r="S25" s="187"/>
      <c r="T25" s="1019" t="s">
        <v>63</v>
      </c>
      <c r="U25" s="1020"/>
      <c r="V25" s="1020"/>
    </row>
    <row r="26" spans="1:22" s="2" customFormat="1" ht="15" customHeight="1" x14ac:dyDescent="0.25">
      <c r="A26" s="68">
        <v>43256</v>
      </c>
      <c r="B26" s="813" t="s">
        <v>494</v>
      </c>
      <c r="C26" s="383" t="s">
        <v>11</v>
      </c>
      <c r="D26" s="385">
        <v>43</v>
      </c>
      <c r="E26" s="385"/>
      <c r="F26" s="16"/>
      <c r="G26" s="16"/>
      <c r="H26" s="17"/>
      <c r="I26" s="17"/>
      <c r="J26" s="262"/>
      <c r="K26" s="262"/>
      <c r="L26" s="18"/>
      <c r="M26" s="18"/>
      <c r="N26" s="19"/>
      <c r="O26" s="19"/>
      <c r="P26" s="41"/>
      <c r="Q26" s="41"/>
      <c r="R26" s="187"/>
      <c r="S26" s="187"/>
      <c r="T26" s="67" t="s">
        <v>22</v>
      </c>
      <c r="U26" s="66" t="s">
        <v>8</v>
      </c>
      <c r="V26" s="66" t="s">
        <v>9</v>
      </c>
    </row>
    <row r="27" spans="1:22" s="2" customFormat="1" ht="15" customHeight="1" x14ac:dyDescent="0.25">
      <c r="A27" s="68">
        <v>43259</v>
      </c>
      <c r="B27" s="813" t="s">
        <v>521</v>
      </c>
      <c r="C27" s="383" t="s">
        <v>10</v>
      </c>
      <c r="D27" s="385">
        <v>3</v>
      </c>
      <c r="E27" s="385"/>
      <c r="F27" s="16"/>
      <c r="G27" s="16"/>
      <c r="H27" s="17"/>
      <c r="I27" s="17"/>
      <c r="J27" s="262"/>
      <c r="K27" s="262"/>
      <c r="L27" s="18"/>
      <c r="M27" s="18"/>
      <c r="N27" s="19"/>
      <c r="O27" s="19"/>
      <c r="P27" s="41"/>
      <c r="Q27" s="41"/>
      <c r="R27" s="187"/>
      <c r="S27" s="187"/>
      <c r="T27" s="67" t="s">
        <v>5</v>
      </c>
      <c r="U27" s="1028" t="e">
        <f>SUM(#REF!)</f>
        <v>#REF!</v>
      </c>
      <c r="V27" s="1028"/>
    </row>
    <row r="28" spans="1:22" s="2" customFormat="1" ht="15" customHeight="1" x14ac:dyDescent="0.25">
      <c r="A28" s="358">
        <v>43259</v>
      </c>
      <c r="B28" s="813" t="s">
        <v>522</v>
      </c>
      <c r="C28" s="383" t="s">
        <v>323</v>
      </c>
      <c r="D28" s="385" t="s">
        <v>6</v>
      </c>
      <c r="E28" s="385"/>
      <c r="F28" s="16"/>
      <c r="G28" s="16"/>
      <c r="H28" s="17"/>
      <c r="I28" s="17"/>
      <c r="J28" s="262">
        <v>1</v>
      </c>
      <c r="K28" s="262"/>
      <c r="L28" s="18"/>
      <c r="M28" s="18"/>
      <c r="N28" s="19"/>
      <c r="O28" s="19"/>
      <c r="P28" s="41"/>
      <c r="Q28" s="41"/>
      <c r="R28" s="187"/>
      <c r="S28" s="187"/>
      <c r="T28" s="317"/>
      <c r="U28" s="318"/>
      <c r="V28" s="318"/>
    </row>
    <row r="29" spans="1:22" s="2" customFormat="1" ht="15" customHeight="1" x14ac:dyDescent="0.25">
      <c r="A29" s="358">
        <v>43259</v>
      </c>
      <c r="B29" s="472" t="s">
        <v>511</v>
      </c>
      <c r="C29" s="383" t="s">
        <v>63</v>
      </c>
      <c r="D29" s="386"/>
      <c r="E29" s="385"/>
      <c r="F29" s="16"/>
      <c r="G29" s="16"/>
      <c r="H29" s="17"/>
      <c r="I29" s="17"/>
      <c r="J29" s="262">
        <v>0.5</v>
      </c>
      <c r="K29" s="262"/>
      <c r="L29" s="18"/>
      <c r="M29" s="18"/>
      <c r="N29" s="19"/>
      <c r="O29" s="19"/>
      <c r="P29" s="41"/>
      <c r="Q29" s="41"/>
      <c r="R29" s="187"/>
      <c r="S29" s="187"/>
      <c r="T29" s="314"/>
      <c r="U29" s="220"/>
      <c r="V29" s="220"/>
    </row>
    <row r="30" spans="1:22" s="2" customFormat="1" ht="15" customHeight="1" x14ac:dyDescent="0.25">
      <c r="A30" s="358">
        <v>43259</v>
      </c>
      <c r="B30" s="813" t="s">
        <v>512</v>
      </c>
      <c r="C30" s="383" t="s">
        <v>11</v>
      </c>
      <c r="D30" s="385">
        <v>40</v>
      </c>
      <c r="E30" s="385"/>
      <c r="F30" s="16"/>
      <c r="G30" s="16"/>
      <c r="H30" s="17"/>
      <c r="I30" s="17"/>
      <c r="J30" s="262"/>
      <c r="K30" s="262"/>
      <c r="L30" s="18"/>
      <c r="M30" s="18"/>
      <c r="N30" s="19"/>
      <c r="O30" s="19"/>
      <c r="P30" s="41"/>
      <c r="Q30" s="41"/>
      <c r="R30" s="187"/>
      <c r="S30" s="187"/>
    </row>
    <row r="31" spans="1:22" s="2" customFormat="1" ht="15" customHeight="1" x14ac:dyDescent="0.25">
      <c r="A31" s="68">
        <v>43259</v>
      </c>
      <c r="B31" s="813" t="s">
        <v>513</v>
      </c>
      <c r="C31" s="383" t="s">
        <v>11</v>
      </c>
      <c r="D31" s="386">
        <v>24</v>
      </c>
      <c r="E31" s="385"/>
      <c r="F31" s="16"/>
      <c r="G31" s="16"/>
      <c r="H31" s="17"/>
      <c r="I31" s="17"/>
      <c r="J31" s="262"/>
      <c r="K31" s="262"/>
      <c r="L31" s="18"/>
      <c r="M31" s="18"/>
      <c r="N31" s="19"/>
      <c r="O31" s="19"/>
      <c r="P31" s="41"/>
      <c r="Q31" s="41"/>
      <c r="R31" s="187"/>
      <c r="S31" s="187"/>
      <c r="T31" s="21"/>
    </row>
    <row r="32" spans="1:22" s="2" customFormat="1" ht="15" customHeight="1" x14ac:dyDescent="0.25">
      <c r="A32" s="68">
        <v>43263</v>
      </c>
      <c r="B32" s="813" t="s">
        <v>525</v>
      </c>
      <c r="C32" s="383" t="s">
        <v>11</v>
      </c>
      <c r="D32" s="385">
        <v>5</v>
      </c>
      <c r="E32" s="385"/>
      <c r="F32" s="16"/>
      <c r="G32" s="16"/>
      <c r="H32" s="17"/>
      <c r="I32" s="17"/>
      <c r="J32" s="262"/>
      <c r="K32" s="262"/>
      <c r="L32" s="18"/>
      <c r="M32" s="18"/>
      <c r="N32" s="19"/>
      <c r="O32" s="19"/>
      <c r="P32" s="41"/>
      <c r="Q32" s="41"/>
      <c r="R32" s="187"/>
      <c r="S32" s="187"/>
      <c r="T32" s="21"/>
    </row>
    <row r="33" spans="1:30" s="2" customFormat="1" ht="15" customHeight="1" x14ac:dyDescent="0.25">
      <c r="A33" s="68">
        <v>43265</v>
      </c>
      <c r="B33" s="813" t="s">
        <v>538</v>
      </c>
      <c r="C33" s="383" t="s">
        <v>11</v>
      </c>
      <c r="D33" s="385">
        <v>9</v>
      </c>
      <c r="E33" s="385"/>
      <c r="F33" s="16"/>
      <c r="G33" s="16"/>
      <c r="H33" s="17"/>
      <c r="I33" s="17"/>
      <c r="J33" s="262">
        <v>1</v>
      </c>
      <c r="K33" s="262"/>
      <c r="L33" s="18"/>
      <c r="M33" s="18"/>
      <c r="N33" s="19"/>
      <c r="O33" s="19"/>
      <c r="P33" s="41"/>
      <c r="Q33" s="41"/>
      <c r="R33" s="187"/>
      <c r="S33" s="187"/>
      <c r="T33" s="21"/>
    </row>
    <row r="34" spans="1:30" s="2" customFormat="1" ht="15" customHeight="1" x14ac:dyDescent="0.25">
      <c r="A34" s="68">
        <v>43266</v>
      </c>
      <c r="B34" s="78" t="s">
        <v>545</v>
      </c>
      <c r="C34" s="388">
        <v>4</v>
      </c>
      <c r="D34" s="385"/>
      <c r="E34" s="385"/>
      <c r="F34" s="16">
        <v>0.25</v>
      </c>
      <c r="G34" s="16"/>
      <c r="H34" s="17"/>
      <c r="I34" s="17"/>
      <c r="J34" s="389"/>
      <c r="K34" s="389"/>
      <c r="L34" s="18"/>
      <c r="M34" s="18"/>
      <c r="N34" s="19"/>
      <c r="O34" s="19"/>
      <c r="P34" s="41"/>
      <c r="Q34" s="41"/>
      <c r="R34" s="187"/>
      <c r="S34" s="187"/>
      <c r="T34" s="21"/>
    </row>
    <row r="35" spans="1:30" s="2" customFormat="1" ht="15" customHeight="1" x14ac:dyDescent="0.25">
      <c r="A35" s="68">
        <v>43267</v>
      </c>
      <c r="B35" s="17" t="s">
        <v>564</v>
      </c>
      <c r="C35" s="383" t="s">
        <v>323</v>
      </c>
      <c r="D35" s="385"/>
      <c r="E35" s="385"/>
      <c r="F35" s="16"/>
      <c r="G35" s="16"/>
      <c r="H35" s="17"/>
      <c r="I35" s="17"/>
      <c r="J35" s="281">
        <v>12.36</v>
      </c>
      <c r="K35" s="262"/>
      <c r="L35" s="18"/>
      <c r="M35" s="18"/>
      <c r="N35" s="19"/>
      <c r="O35" s="19"/>
      <c r="P35" s="41"/>
      <c r="Q35" s="41"/>
      <c r="R35" s="187"/>
      <c r="S35" s="187"/>
      <c r="T35" s="21"/>
    </row>
    <row r="36" spans="1:30" s="2" customFormat="1" ht="15" customHeight="1" x14ac:dyDescent="0.25">
      <c r="A36" s="68">
        <v>43268</v>
      </c>
      <c r="B36" s="78" t="s">
        <v>569</v>
      </c>
      <c r="C36" s="383">
        <v>5</v>
      </c>
      <c r="D36" s="385"/>
      <c r="E36" s="385"/>
      <c r="F36" s="16">
        <v>0.1</v>
      </c>
      <c r="G36" s="16"/>
      <c r="H36" s="17"/>
      <c r="I36" s="17"/>
      <c r="J36" s="262"/>
      <c r="K36" s="262"/>
      <c r="L36" s="18"/>
      <c r="M36" s="18"/>
      <c r="N36" s="19"/>
      <c r="O36" s="19"/>
      <c r="P36" s="41"/>
      <c r="Q36" s="41"/>
      <c r="R36" s="187"/>
      <c r="S36" s="187"/>
      <c r="T36" s="21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</row>
    <row r="37" spans="1:30" s="2" customFormat="1" ht="15" customHeight="1" x14ac:dyDescent="0.25">
      <c r="A37" s="68">
        <v>43271</v>
      </c>
      <c r="B37" s="89" t="s">
        <v>578</v>
      </c>
      <c r="C37" s="383" t="s">
        <v>63</v>
      </c>
      <c r="D37" s="385"/>
      <c r="E37" s="385"/>
      <c r="F37" s="16"/>
      <c r="G37" s="16"/>
      <c r="H37" s="17"/>
      <c r="I37" s="17"/>
      <c r="J37" s="262">
        <v>0.1</v>
      </c>
      <c r="K37" s="262"/>
      <c r="L37" s="18"/>
      <c r="M37" s="18"/>
      <c r="N37" s="19"/>
      <c r="O37" s="19"/>
      <c r="P37" s="41"/>
      <c r="Q37" s="41"/>
      <c r="R37" s="187"/>
      <c r="S37" s="187"/>
      <c r="T37" s="21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</row>
    <row r="38" spans="1:30" s="270" customFormat="1" ht="15" customHeight="1" x14ac:dyDescent="0.25">
      <c r="A38" s="68">
        <v>43271</v>
      </c>
      <c r="B38" s="813" t="s">
        <v>579</v>
      </c>
      <c r="C38" s="383" t="s">
        <v>323</v>
      </c>
      <c r="D38" s="385"/>
      <c r="E38" s="385"/>
      <c r="F38" s="16"/>
      <c r="G38" s="16"/>
      <c r="H38" s="17"/>
      <c r="I38" s="17"/>
      <c r="J38" s="281"/>
      <c r="K38" s="262">
        <v>1.7</v>
      </c>
      <c r="L38" s="18"/>
      <c r="M38" s="18"/>
      <c r="N38" s="19"/>
      <c r="O38" s="19"/>
      <c r="P38" s="41"/>
      <c r="Q38" s="41"/>
      <c r="R38" s="187"/>
      <c r="S38" s="187"/>
      <c r="T38" s="21"/>
    </row>
    <row r="39" spans="1:30" s="270" customFormat="1" ht="15" customHeight="1" x14ac:dyDescent="0.25">
      <c r="A39" s="68">
        <v>43276</v>
      </c>
      <c r="B39" s="78" t="s">
        <v>592</v>
      </c>
      <c r="C39" s="510">
        <v>1</v>
      </c>
      <c r="D39" s="385"/>
      <c r="E39" s="385"/>
      <c r="F39" s="16">
        <v>64</v>
      </c>
      <c r="G39" s="16"/>
      <c r="H39" s="17"/>
      <c r="I39" s="17"/>
      <c r="J39" s="262"/>
      <c r="K39" s="262"/>
      <c r="L39" s="18"/>
      <c r="M39" s="18"/>
      <c r="N39" s="19"/>
      <c r="O39" s="19"/>
      <c r="P39" s="41"/>
      <c r="Q39" s="41"/>
      <c r="R39" s="187"/>
      <c r="S39" s="187"/>
      <c r="T39" s="21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270" customFormat="1" ht="15" customHeight="1" x14ac:dyDescent="0.25">
      <c r="A40" s="358">
        <v>43280</v>
      </c>
      <c r="B40" s="89" t="s">
        <v>612</v>
      </c>
      <c r="C40" s="510" t="s">
        <v>63</v>
      </c>
      <c r="D40" s="385" t="s">
        <v>6</v>
      </c>
      <c r="E40" s="385"/>
      <c r="F40" s="16"/>
      <c r="G40" s="16"/>
      <c r="H40" s="17"/>
      <c r="I40" s="17"/>
      <c r="J40" s="283">
        <v>1</v>
      </c>
      <c r="K40" s="283"/>
      <c r="L40" s="18"/>
      <c r="M40" s="18"/>
      <c r="N40" s="19"/>
      <c r="O40" s="19"/>
      <c r="P40" s="41"/>
      <c r="Q40" s="41"/>
      <c r="R40" s="187"/>
      <c r="S40" s="187"/>
      <c r="T40" s="21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2" customFormat="1" ht="15" customHeight="1" x14ac:dyDescent="0.25">
      <c r="A41" s="358">
        <v>43280</v>
      </c>
      <c r="B41" s="813" t="s">
        <v>616</v>
      </c>
      <c r="C41" s="510" t="s">
        <v>10</v>
      </c>
      <c r="D41" s="385">
        <v>1.1000000000000001</v>
      </c>
      <c r="E41" s="385"/>
      <c r="F41" s="16"/>
      <c r="G41" s="16"/>
      <c r="H41" s="17"/>
      <c r="I41" s="17"/>
      <c r="J41" s="283"/>
      <c r="K41" s="283"/>
      <c r="L41" s="18"/>
      <c r="M41" s="18"/>
      <c r="N41" s="19"/>
      <c r="O41" s="19"/>
      <c r="P41" s="41"/>
      <c r="Q41" s="41"/>
      <c r="R41" s="187"/>
      <c r="S41" s="187"/>
      <c r="T41" s="21"/>
    </row>
    <row r="42" spans="1:30" s="2" customFormat="1" ht="15" customHeight="1" x14ac:dyDescent="0.25">
      <c r="A42" s="68">
        <v>43281</v>
      </c>
      <c r="B42" s="813" t="s">
        <v>620</v>
      </c>
      <c r="C42" s="510" t="s">
        <v>10</v>
      </c>
      <c r="D42" s="385">
        <v>5</v>
      </c>
      <c r="E42" s="385"/>
      <c r="F42" s="16"/>
      <c r="G42" s="16"/>
      <c r="H42" s="17"/>
      <c r="I42" s="17"/>
      <c r="J42" s="283">
        <v>19</v>
      </c>
      <c r="K42" s="283"/>
      <c r="L42" s="18"/>
      <c r="M42" s="18"/>
      <c r="N42" s="19"/>
      <c r="O42" s="19"/>
      <c r="P42" s="41"/>
      <c r="Q42" s="41"/>
      <c r="R42" s="187"/>
      <c r="S42" s="187"/>
      <c r="T42" s="21"/>
    </row>
    <row r="43" spans="1:30" s="2" customFormat="1" ht="15" customHeight="1" x14ac:dyDescent="0.25">
      <c r="A43" s="358">
        <v>43281</v>
      </c>
      <c r="B43" s="813" t="s">
        <v>621</v>
      </c>
      <c r="C43" s="510" t="s">
        <v>11</v>
      </c>
      <c r="D43" s="385">
        <v>2.7</v>
      </c>
      <c r="E43" s="385"/>
      <c r="F43" s="134"/>
      <c r="G43" s="16"/>
      <c r="H43" s="17"/>
      <c r="I43" s="17"/>
      <c r="J43" s="262"/>
      <c r="K43" s="262"/>
      <c r="L43" s="18"/>
      <c r="M43" s="18"/>
      <c r="N43" s="19"/>
      <c r="O43" s="19"/>
      <c r="P43" s="41"/>
      <c r="Q43" s="41"/>
      <c r="R43" s="187"/>
      <c r="S43" s="187"/>
      <c r="T43" s="21"/>
    </row>
    <row r="44" spans="1:30" s="2" customFormat="1" ht="15" customHeight="1" x14ac:dyDescent="0.25">
      <c r="A44" s="358">
        <v>43281</v>
      </c>
      <c r="B44" s="813" t="s">
        <v>632</v>
      </c>
      <c r="C44" s="383" t="s">
        <v>323</v>
      </c>
      <c r="D44" s="385"/>
      <c r="E44" s="385"/>
      <c r="F44" s="16"/>
      <c r="G44" s="16"/>
      <c r="H44" s="17"/>
      <c r="I44" s="17"/>
      <c r="J44" s="281">
        <v>0.1</v>
      </c>
      <c r="K44" s="262"/>
      <c r="L44" s="18"/>
      <c r="M44" s="18"/>
      <c r="N44" s="19"/>
      <c r="O44" s="19"/>
      <c r="P44" s="41"/>
      <c r="Q44" s="41"/>
      <c r="R44" s="187"/>
      <c r="S44" s="187"/>
      <c r="T44" s="21"/>
    </row>
    <row r="45" spans="1:30" s="2" customFormat="1" ht="15" customHeight="1" x14ac:dyDescent="0.25">
      <c r="A45" s="358">
        <v>43281</v>
      </c>
      <c r="B45" s="89" t="s">
        <v>633</v>
      </c>
      <c r="C45" s="383" t="s">
        <v>63</v>
      </c>
      <c r="D45" s="385"/>
      <c r="E45" s="385"/>
      <c r="F45" s="16"/>
      <c r="G45" s="16"/>
      <c r="H45" s="138"/>
      <c r="I45" s="17"/>
      <c r="J45" s="262">
        <v>0.1</v>
      </c>
      <c r="K45" s="262"/>
      <c r="L45" s="18"/>
      <c r="M45" s="18"/>
      <c r="N45" s="19"/>
      <c r="O45" s="19"/>
      <c r="P45" s="41"/>
      <c r="Q45" s="41"/>
      <c r="R45" s="187"/>
      <c r="S45" s="187"/>
      <c r="T45" s="21"/>
    </row>
    <row r="46" spans="1:30" s="2" customFormat="1" ht="15" customHeight="1" x14ac:dyDescent="0.25">
      <c r="A46" s="358">
        <v>43282</v>
      </c>
      <c r="B46" s="813" t="s">
        <v>634</v>
      </c>
      <c r="C46" s="299" t="s">
        <v>11</v>
      </c>
      <c r="D46" s="385">
        <v>0.5</v>
      </c>
      <c r="E46" s="385"/>
      <c r="F46" s="16"/>
      <c r="G46" s="16"/>
      <c r="H46" s="17"/>
      <c r="I46" s="17"/>
      <c r="J46" s="262"/>
      <c r="K46" s="262"/>
      <c r="L46" s="18"/>
      <c r="M46" s="18"/>
      <c r="N46" s="19"/>
      <c r="O46" s="19"/>
      <c r="P46" s="41"/>
      <c r="Q46" s="41"/>
      <c r="R46" s="187"/>
      <c r="S46" s="187"/>
      <c r="T46" s="21"/>
    </row>
    <row r="47" spans="1:30" s="2" customFormat="1" ht="15" customHeight="1" x14ac:dyDescent="0.25">
      <c r="A47" s="358">
        <v>43282</v>
      </c>
      <c r="B47" s="840" t="s">
        <v>637</v>
      </c>
      <c r="C47" s="383" t="s">
        <v>11</v>
      </c>
      <c r="D47" s="385">
        <v>0.1</v>
      </c>
      <c r="E47" s="385"/>
      <c r="F47" s="16"/>
      <c r="G47" s="16"/>
      <c r="H47" s="17"/>
      <c r="I47" s="17"/>
      <c r="J47" s="384"/>
      <c r="K47" s="384"/>
      <c r="L47" s="18"/>
      <c r="M47" s="18"/>
      <c r="N47" s="19"/>
      <c r="O47" s="19"/>
      <c r="P47" s="41"/>
      <c r="Q47" s="41"/>
      <c r="R47" s="187"/>
      <c r="S47" s="187"/>
      <c r="T47" s="21"/>
    </row>
    <row r="48" spans="1:30" s="2" customFormat="1" ht="15" customHeight="1" x14ac:dyDescent="0.25">
      <c r="A48" s="358">
        <v>43283</v>
      </c>
      <c r="B48" s="813" t="s">
        <v>651</v>
      </c>
      <c r="C48" s="299" t="s">
        <v>10</v>
      </c>
      <c r="D48" s="385">
        <v>6.4</v>
      </c>
      <c r="E48" s="385"/>
      <c r="F48" s="16"/>
      <c r="G48" s="16"/>
      <c r="H48" s="17"/>
      <c r="I48" s="17"/>
      <c r="J48" s="262"/>
      <c r="K48" s="262"/>
      <c r="L48" s="18"/>
      <c r="M48" s="18"/>
      <c r="N48" s="19"/>
      <c r="O48" s="19"/>
      <c r="P48" s="41"/>
      <c r="Q48" s="41"/>
      <c r="R48" s="187"/>
      <c r="S48" s="187"/>
      <c r="T48" s="21"/>
    </row>
    <row r="49" spans="1:20" s="270" customFormat="1" ht="15" customHeight="1" x14ac:dyDescent="0.25">
      <c r="A49" s="358">
        <v>43283</v>
      </c>
      <c r="B49" s="89" t="s">
        <v>657</v>
      </c>
      <c r="C49" s="383" t="s">
        <v>63</v>
      </c>
      <c r="D49" s="385"/>
      <c r="E49" s="385"/>
      <c r="F49" s="16"/>
      <c r="G49" s="16"/>
      <c r="H49" s="17"/>
      <c r="I49" s="17"/>
      <c r="J49" s="384">
        <v>0.25</v>
      </c>
      <c r="K49" s="384"/>
      <c r="L49" s="18"/>
      <c r="M49" s="18"/>
      <c r="N49" s="19"/>
      <c r="O49" s="19"/>
      <c r="P49" s="41"/>
      <c r="Q49" s="41"/>
      <c r="R49" s="187"/>
      <c r="S49" s="187"/>
      <c r="T49" s="21"/>
    </row>
    <row r="50" spans="1:20" s="270" customFormat="1" ht="15" customHeight="1" x14ac:dyDescent="0.25">
      <c r="A50" s="358">
        <v>43283</v>
      </c>
      <c r="B50" s="813" t="s">
        <v>658</v>
      </c>
      <c r="C50" s="299" t="s">
        <v>95</v>
      </c>
      <c r="D50" s="385">
        <v>301.5</v>
      </c>
      <c r="E50" s="385"/>
      <c r="F50" s="16"/>
      <c r="G50" s="16"/>
      <c r="H50" s="17">
        <v>7.5</v>
      </c>
      <c r="I50" s="17"/>
      <c r="J50" s="262">
        <v>93</v>
      </c>
      <c r="K50" s="262"/>
      <c r="L50" s="18"/>
      <c r="M50" s="18"/>
      <c r="N50" s="19"/>
      <c r="O50" s="19"/>
      <c r="P50" s="41"/>
      <c r="Q50" s="41"/>
      <c r="R50" s="187"/>
      <c r="S50" s="187"/>
      <c r="T50" s="21"/>
    </row>
    <row r="51" spans="1:20" s="2" customFormat="1" ht="15" customHeight="1" x14ac:dyDescent="0.25">
      <c r="A51" s="358">
        <v>43284</v>
      </c>
      <c r="B51" s="78" t="s">
        <v>660</v>
      </c>
      <c r="C51" s="299" t="s">
        <v>205</v>
      </c>
      <c r="D51" s="385"/>
      <c r="E51" s="385"/>
      <c r="F51" s="16"/>
      <c r="G51" s="16"/>
      <c r="H51" s="17"/>
      <c r="I51" s="17"/>
      <c r="J51" s="262"/>
      <c r="K51" s="262"/>
      <c r="L51" s="18"/>
      <c r="M51" s="18"/>
      <c r="N51" s="19"/>
      <c r="O51" s="19"/>
      <c r="P51" s="41"/>
      <c r="Q51" s="41"/>
      <c r="R51" s="187">
        <v>0.1</v>
      </c>
      <c r="S51" s="187"/>
      <c r="T51" s="21"/>
    </row>
    <row r="52" spans="1:20" s="2" customFormat="1" ht="15" customHeight="1" x14ac:dyDescent="0.25">
      <c r="A52" s="358">
        <v>43285</v>
      </c>
      <c r="B52" s="813" t="s">
        <v>662</v>
      </c>
      <c r="C52" s="299" t="s">
        <v>323</v>
      </c>
      <c r="D52" s="385">
        <v>46</v>
      </c>
      <c r="E52" s="385"/>
      <c r="F52" s="16"/>
      <c r="G52" s="16"/>
      <c r="H52" s="17"/>
      <c r="I52" s="17"/>
      <c r="J52" s="262">
        <v>6</v>
      </c>
      <c r="K52" s="262"/>
      <c r="L52" s="18"/>
      <c r="M52" s="18"/>
      <c r="N52" s="19"/>
      <c r="O52" s="19"/>
      <c r="P52" s="41"/>
      <c r="Q52" s="41"/>
      <c r="R52" s="187"/>
      <c r="S52" s="187"/>
      <c r="T52" s="21"/>
    </row>
    <row r="53" spans="1:20" s="2" customFormat="1" ht="15" customHeight="1" x14ac:dyDescent="0.25">
      <c r="A53" s="358">
        <v>43285</v>
      </c>
      <c r="B53" s="813" t="s">
        <v>663</v>
      </c>
      <c r="C53" s="355" t="s">
        <v>11</v>
      </c>
      <c r="D53" s="385">
        <v>3.1</v>
      </c>
      <c r="E53" s="385"/>
      <c r="F53" s="16"/>
      <c r="G53" s="16"/>
      <c r="H53" s="17"/>
      <c r="I53" s="17"/>
      <c r="J53" s="356"/>
      <c r="K53" s="356"/>
      <c r="L53" s="18"/>
      <c r="M53" s="18"/>
      <c r="N53" s="19"/>
      <c r="O53" s="19"/>
      <c r="P53" s="41"/>
      <c r="Q53" s="41"/>
      <c r="R53" s="187"/>
      <c r="S53" s="187"/>
      <c r="T53" s="21"/>
    </row>
    <row r="54" spans="1:20" s="2" customFormat="1" ht="15" customHeight="1" x14ac:dyDescent="0.25">
      <c r="A54" s="358">
        <v>43285</v>
      </c>
      <c r="B54" s="813" t="s">
        <v>664</v>
      </c>
      <c r="C54" s="355" t="s">
        <v>10</v>
      </c>
      <c r="D54" s="385">
        <v>9</v>
      </c>
      <c r="E54" s="385"/>
      <c r="F54" s="16"/>
      <c r="G54" s="16"/>
      <c r="H54" s="17"/>
      <c r="I54" s="17"/>
      <c r="J54" s="356"/>
      <c r="K54" s="356"/>
      <c r="L54" s="18"/>
      <c r="M54" s="18"/>
      <c r="N54" s="19"/>
      <c r="O54" s="19"/>
      <c r="P54" s="41"/>
      <c r="Q54" s="41"/>
      <c r="R54" s="187"/>
      <c r="S54" s="187"/>
      <c r="T54" s="21"/>
    </row>
    <row r="55" spans="1:20" s="2" customFormat="1" ht="15" customHeight="1" x14ac:dyDescent="0.25">
      <c r="A55" s="358">
        <v>43285</v>
      </c>
      <c r="B55" s="813" t="s">
        <v>670</v>
      </c>
      <c r="C55" s="299" t="s">
        <v>206</v>
      </c>
      <c r="D55" s="385"/>
      <c r="E55" s="385"/>
      <c r="F55" s="16"/>
      <c r="G55" s="16"/>
      <c r="H55" s="138">
        <v>16</v>
      </c>
      <c r="I55" s="17"/>
      <c r="J55" s="262"/>
      <c r="K55" s="262"/>
      <c r="L55" s="18"/>
      <c r="M55" s="18"/>
      <c r="N55" s="19"/>
      <c r="O55" s="19"/>
      <c r="P55" s="41">
        <v>27</v>
      </c>
      <c r="Q55" s="41"/>
      <c r="R55" s="187"/>
      <c r="S55" s="187"/>
      <c r="T55" s="21"/>
    </row>
    <row r="56" spans="1:20" s="2" customFormat="1" ht="15" customHeight="1" x14ac:dyDescent="0.25">
      <c r="A56" s="358">
        <v>43285</v>
      </c>
      <c r="B56" s="813" t="s">
        <v>673</v>
      </c>
      <c r="C56" s="299" t="s">
        <v>11</v>
      </c>
      <c r="D56" s="385">
        <v>2461</v>
      </c>
      <c r="E56" s="385"/>
      <c r="F56" s="16"/>
      <c r="G56" s="16"/>
      <c r="H56" s="17">
        <v>7</v>
      </c>
      <c r="I56" s="17"/>
      <c r="J56" s="281">
        <v>151</v>
      </c>
      <c r="K56" s="262"/>
      <c r="L56" s="18"/>
      <c r="M56" s="18"/>
      <c r="N56" s="19">
        <v>5</v>
      </c>
      <c r="O56" s="19"/>
      <c r="P56" s="41"/>
      <c r="Q56" s="41"/>
      <c r="R56" s="187">
        <v>18</v>
      </c>
      <c r="S56" s="187"/>
      <c r="T56" s="21"/>
    </row>
    <row r="57" spans="1:20" s="2" customFormat="1" ht="15" customHeight="1" x14ac:dyDescent="0.25">
      <c r="A57" s="358">
        <v>43285</v>
      </c>
      <c r="B57" s="857" t="s">
        <v>691</v>
      </c>
      <c r="C57" s="299" t="s">
        <v>11</v>
      </c>
      <c r="D57" s="385">
        <v>0.1</v>
      </c>
      <c r="E57" s="385"/>
      <c r="F57" s="16"/>
      <c r="G57" s="16"/>
      <c r="H57" s="17"/>
      <c r="I57" s="17"/>
      <c r="J57" s="262"/>
      <c r="K57" s="262"/>
      <c r="L57" s="18"/>
      <c r="M57" s="18"/>
      <c r="N57" s="19"/>
      <c r="O57" s="19"/>
      <c r="P57" s="41"/>
      <c r="Q57" s="41"/>
      <c r="R57" s="187"/>
      <c r="S57" s="187"/>
      <c r="T57" s="21"/>
    </row>
    <row r="58" spans="1:20" s="2" customFormat="1" ht="15" customHeight="1" x14ac:dyDescent="0.25">
      <c r="A58" s="358">
        <v>43286</v>
      </c>
      <c r="B58" s="78" t="s">
        <v>720</v>
      </c>
      <c r="C58" s="299">
        <v>4</v>
      </c>
      <c r="D58" s="385"/>
      <c r="E58" s="385"/>
      <c r="F58" s="16">
        <v>0.1</v>
      </c>
      <c r="G58" s="16"/>
      <c r="H58" s="17"/>
      <c r="I58" s="17"/>
      <c r="J58" s="262"/>
      <c r="K58" s="262"/>
      <c r="L58" s="18"/>
      <c r="M58" s="18"/>
      <c r="N58" s="19"/>
      <c r="O58" s="19"/>
      <c r="P58" s="41"/>
      <c r="Q58" s="41"/>
      <c r="R58" s="187"/>
      <c r="S58" s="187"/>
      <c r="T58" s="21"/>
    </row>
    <row r="59" spans="1:20" s="2" customFormat="1" ht="15" customHeight="1" x14ac:dyDescent="0.25">
      <c r="A59" s="358">
        <v>43286</v>
      </c>
      <c r="B59" s="470" t="s">
        <v>701</v>
      </c>
      <c r="C59" s="299" t="s">
        <v>63</v>
      </c>
      <c r="D59" s="385"/>
      <c r="E59" s="385"/>
      <c r="F59" s="16"/>
      <c r="G59" s="134"/>
      <c r="H59" s="17"/>
      <c r="I59" s="17"/>
      <c r="J59" s="262">
        <v>4</v>
      </c>
      <c r="K59" s="262"/>
      <c r="L59" s="18"/>
      <c r="M59" s="18"/>
      <c r="N59" s="19"/>
      <c r="O59" s="19"/>
      <c r="P59" s="41"/>
      <c r="Q59" s="41"/>
      <c r="R59" s="187"/>
      <c r="S59" s="187"/>
      <c r="T59" s="21"/>
    </row>
    <row r="60" spans="1:20" s="2" customFormat="1" ht="15" customHeight="1" x14ac:dyDescent="0.25">
      <c r="A60" s="358">
        <v>43288</v>
      </c>
      <c r="B60" s="813" t="s">
        <v>706</v>
      </c>
      <c r="C60" s="299" t="s">
        <v>323</v>
      </c>
      <c r="D60" s="385"/>
      <c r="E60" s="385"/>
      <c r="F60" s="16"/>
      <c r="G60" s="16"/>
      <c r="H60" s="17"/>
      <c r="I60" s="17"/>
      <c r="J60" s="262">
        <v>3.2</v>
      </c>
      <c r="K60" s="262"/>
      <c r="L60" s="18"/>
      <c r="M60" s="18"/>
      <c r="N60" s="19"/>
      <c r="O60" s="19"/>
      <c r="P60" s="41"/>
      <c r="Q60" s="41"/>
      <c r="R60" s="187"/>
      <c r="S60" s="187"/>
      <c r="T60" s="21"/>
    </row>
    <row r="61" spans="1:20" s="2" customFormat="1" ht="15" customHeight="1" x14ac:dyDescent="0.25">
      <c r="A61" s="358">
        <v>43289</v>
      </c>
      <c r="B61" s="813" t="s">
        <v>712</v>
      </c>
      <c r="C61" s="299" t="s">
        <v>10</v>
      </c>
      <c r="D61" s="385">
        <v>5</v>
      </c>
      <c r="E61" s="385"/>
      <c r="F61" s="16"/>
      <c r="G61" s="134"/>
      <c r="H61" s="17"/>
      <c r="I61" s="17"/>
      <c r="J61" s="262"/>
      <c r="K61" s="262"/>
      <c r="L61" s="18"/>
      <c r="M61" s="18"/>
      <c r="N61" s="19"/>
      <c r="O61" s="19"/>
      <c r="P61" s="41"/>
      <c r="Q61" s="41"/>
      <c r="R61" s="187"/>
      <c r="S61" s="187"/>
      <c r="T61" s="21"/>
    </row>
    <row r="62" spans="1:20" s="2" customFormat="1" ht="15" customHeight="1" x14ac:dyDescent="0.25">
      <c r="A62" s="358">
        <v>43289</v>
      </c>
      <c r="B62" s="89" t="s">
        <v>722</v>
      </c>
      <c r="C62" s="299" t="s">
        <v>63</v>
      </c>
      <c r="D62" s="385"/>
      <c r="E62" s="385"/>
      <c r="F62" s="16"/>
      <c r="G62" s="16"/>
      <c r="H62" s="17"/>
      <c r="I62" s="17"/>
      <c r="J62" s="262">
        <v>280</v>
      </c>
      <c r="K62" s="262"/>
      <c r="L62" s="18"/>
      <c r="M62" s="18"/>
      <c r="N62" s="19"/>
      <c r="O62" s="19"/>
      <c r="P62" s="41"/>
      <c r="Q62" s="41"/>
      <c r="R62" s="187"/>
      <c r="S62" s="187"/>
      <c r="T62" s="21"/>
    </row>
    <row r="63" spans="1:20" s="2" customFormat="1" ht="15" customHeight="1" x14ac:dyDescent="0.25">
      <c r="A63" s="358">
        <v>43291</v>
      </c>
      <c r="B63" s="813" t="s">
        <v>725</v>
      </c>
      <c r="C63" s="299" t="s">
        <v>323</v>
      </c>
      <c r="D63" s="385"/>
      <c r="E63" s="385"/>
      <c r="F63" s="16"/>
      <c r="G63" s="134"/>
      <c r="H63" s="17"/>
      <c r="I63" s="17"/>
      <c r="J63" s="262">
        <v>1.7</v>
      </c>
      <c r="K63" s="262"/>
      <c r="L63" s="18"/>
      <c r="M63" s="18"/>
      <c r="N63" s="19"/>
      <c r="O63" s="19"/>
      <c r="P63" s="41"/>
      <c r="Q63" s="41"/>
      <c r="R63" s="187"/>
      <c r="S63" s="187"/>
      <c r="T63" s="21"/>
    </row>
    <row r="64" spans="1:20" s="2" customFormat="1" ht="15" customHeight="1" x14ac:dyDescent="0.25">
      <c r="A64" s="358">
        <v>43291</v>
      </c>
      <c r="B64" s="813" t="s">
        <v>728</v>
      </c>
      <c r="C64" s="299" t="s">
        <v>10</v>
      </c>
      <c r="D64" s="385">
        <v>23.9</v>
      </c>
      <c r="E64" s="385"/>
      <c r="F64" s="16"/>
      <c r="G64" s="134"/>
      <c r="H64" s="17"/>
      <c r="I64" s="17"/>
      <c r="J64" s="262"/>
      <c r="K64" s="262"/>
      <c r="L64" s="18"/>
      <c r="M64" s="18"/>
      <c r="N64" s="19"/>
      <c r="O64" s="19"/>
      <c r="P64" s="41"/>
      <c r="Q64" s="41"/>
      <c r="R64" s="187"/>
      <c r="S64" s="187"/>
      <c r="T64" s="21"/>
    </row>
    <row r="65" spans="1:20" s="2" customFormat="1" ht="15" customHeight="1" x14ac:dyDescent="0.25">
      <c r="A65" s="358">
        <v>43292</v>
      </c>
      <c r="B65" s="89" t="s">
        <v>734</v>
      </c>
      <c r="C65" s="299" t="s">
        <v>63</v>
      </c>
      <c r="D65" s="385"/>
      <c r="E65" s="385"/>
      <c r="F65" s="16"/>
      <c r="G65" s="16"/>
      <c r="H65" s="17"/>
      <c r="I65" s="17"/>
      <c r="J65" s="262">
        <v>0.1</v>
      </c>
      <c r="K65" s="262"/>
      <c r="L65" s="18"/>
      <c r="M65" s="18"/>
      <c r="N65" s="19"/>
      <c r="O65" s="19"/>
      <c r="P65" s="41"/>
      <c r="Q65" s="41"/>
      <c r="R65" s="187"/>
      <c r="S65" s="187"/>
      <c r="T65" s="21"/>
    </row>
    <row r="66" spans="1:20" s="2" customFormat="1" ht="15" customHeight="1" x14ac:dyDescent="0.25">
      <c r="A66" s="358">
        <v>43295</v>
      </c>
      <c r="B66" s="78" t="s">
        <v>358</v>
      </c>
      <c r="C66" s="299">
        <v>6</v>
      </c>
      <c r="D66" s="385"/>
      <c r="E66" s="385"/>
      <c r="F66" s="16">
        <v>1617</v>
      </c>
      <c r="G66" s="134"/>
      <c r="H66" s="17"/>
      <c r="I66" s="17"/>
      <c r="J66" s="262"/>
      <c r="K66" s="262"/>
      <c r="L66" s="18"/>
      <c r="M66" s="18"/>
      <c r="N66" s="19"/>
      <c r="O66" s="19"/>
      <c r="P66" s="41"/>
      <c r="Q66" s="41"/>
      <c r="R66" s="187"/>
      <c r="S66" s="187"/>
      <c r="T66" s="21"/>
    </row>
    <row r="67" spans="1:20" s="2" customFormat="1" ht="15" customHeight="1" x14ac:dyDescent="0.25">
      <c r="A67" s="358">
        <v>43295</v>
      </c>
      <c r="B67" s="813" t="s">
        <v>754</v>
      </c>
      <c r="C67" s="299" t="s">
        <v>11</v>
      </c>
      <c r="D67" s="385">
        <v>0.5</v>
      </c>
      <c r="E67" s="385"/>
      <c r="F67" s="16"/>
      <c r="G67" s="16"/>
      <c r="H67" s="17"/>
      <c r="I67" s="17"/>
      <c r="J67" s="262"/>
      <c r="K67" s="262"/>
      <c r="L67" s="18"/>
      <c r="M67" s="18"/>
      <c r="N67" s="19"/>
      <c r="O67" s="19"/>
      <c r="P67" s="41"/>
      <c r="Q67" s="41"/>
      <c r="R67" s="187"/>
      <c r="S67" s="187"/>
      <c r="T67" s="21"/>
    </row>
    <row r="68" spans="1:20" s="2" customFormat="1" ht="15" customHeight="1" x14ac:dyDescent="0.25">
      <c r="A68" s="358">
        <v>43295</v>
      </c>
      <c r="B68" s="813" t="s">
        <v>755</v>
      </c>
      <c r="C68" s="299" t="s">
        <v>205</v>
      </c>
      <c r="D68" s="385"/>
      <c r="E68" s="385"/>
      <c r="F68" s="16"/>
      <c r="G68" s="134"/>
      <c r="H68" s="17"/>
      <c r="I68" s="17"/>
      <c r="J68" s="262">
        <v>11</v>
      </c>
      <c r="K68" s="262"/>
      <c r="L68" s="18"/>
      <c r="M68" s="18"/>
      <c r="N68" s="19"/>
      <c r="O68" s="19"/>
      <c r="P68" s="41"/>
      <c r="Q68" s="41"/>
      <c r="R68" s="187">
        <v>38</v>
      </c>
      <c r="S68" s="187"/>
      <c r="T68" s="21"/>
    </row>
    <row r="69" spans="1:20" s="2" customFormat="1" ht="15" customHeight="1" x14ac:dyDescent="0.25">
      <c r="A69" s="358">
        <v>43296</v>
      </c>
      <c r="B69" s="17" t="s">
        <v>771</v>
      </c>
      <c r="C69" s="299" t="s">
        <v>323</v>
      </c>
      <c r="D69" s="385"/>
      <c r="E69" s="385"/>
      <c r="F69" s="16">
        <v>96</v>
      </c>
      <c r="G69" s="16"/>
      <c r="H69" s="17">
        <v>259</v>
      </c>
      <c r="I69" s="17"/>
      <c r="J69" s="262">
        <v>126</v>
      </c>
      <c r="K69" s="262"/>
      <c r="L69" s="18"/>
      <c r="M69" s="18"/>
      <c r="N69" s="19"/>
      <c r="O69" s="19"/>
      <c r="P69" s="41">
        <v>43</v>
      </c>
      <c r="Q69" s="41"/>
      <c r="R69" s="187"/>
      <c r="S69" s="187"/>
      <c r="T69" s="21"/>
    </row>
    <row r="70" spans="1:20" s="2" customFormat="1" ht="15" customHeight="1" x14ac:dyDescent="0.25">
      <c r="A70" s="358">
        <v>43296</v>
      </c>
      <c r="B70" s="813" t="s">
        <v>772</v>
      </c>
      <c r="C70" s="299" t="s">
        <v>11</v>
      </c>
      <c r="D70" s="385">
        <v>1.25</v>
      </c>
      <c r="E70" s="385"/>
      <c r="F70" s="134"/>
      <c r="G70" s="134"/>
      <c r="H70" s="138"/>
      <c r="I70" s="138"/>
      <c r="J70" s="281"/>
      <c r="K70" s="262"/>
      <c r="L70" s="18"/>
      <c r="M70" s="18"/>
      <c r="N70" s="19"/>
      <c r="O70" s="19"/>
      <c r="P70" s="41"/>
      <c r="Q70" s="41"/>
      <c r="R70" s="187"/>
      <c r="S70" s="187"/>
      <c r="T70" s="21"/>
    </row>
    <row r="71" spans="1:20" s="2" customFormat="1" ht="15" customHeight="1" x14ac:dyDescent="0.25">
      <c r="A71" s="358">
        <v>43297</v>
      </c>
      <c r="B71" s="813" t="s">
        <v>777</v>
      </c>
      <c r="C71" s="299" t="s">
        <v>12</v>
      </c>
      <c r="D71" s="385"/>
      <c r="E71" s="385">
        <v>2722</v>
      </c>
      <c r="F71" s="16"/>
      <c r="G71" s="16"/>
      <c r="H71" s="17"/>
      <c r="I71" s="138">
        <v>523</v>
      </c>
      <c r="J71" s="262"/>
      <c r="K71" s="262"/>
      <c r="L71" s="18"/>
      <c r="M71" s="18"/>
      <c r="N71" s="19"/>
      <c r="O71" s="19"/>
      <c r="P71" s="41"/>
      <c r="Q71" s="41"/>
      <c r="R71" s="187"/>
      <c r="S71" s="187"/>
      <c r="T71" s="21"/>
    </row>
    <row r="72" spans="1:20" s="2" customFormat="1" ht="15" customHeight="1" x14ac:dyDescent="0.25">
      <c r="A72" s="358">
        <v>43297</v>
      </c>
      <c r="B72" s="813" t="s">
        <v>785</v>
      </c>
      <c r="C72" s="299" t="s">
        <v>12</v>
      </c>
      <c r="D72" s="385"/>
      <c r="E72" s="385">
        <v>9331</v>
      </c>
      <c r="F72" s="16"/>
      <c r="G72" s="16"/>
      <c r="H72" s="17"/>
      <c r="I72" s="17"/>
      <c r="J72" s="281"/>
      <c r="K72" s="262"/>
      <c r="L72" s="18"/>
      <c r="M72" s="18"/>
      <c r="N72" s="19"/>
      <c r="O72" s="19"/>
      <c r="P72" s="41"/>
      <c r="Q72" s="41"/>
      <c r="R72" s="187"/>
      <c r="S72" s="187"/>
      <c r="T72" s="21"/>
    </row>
    <row r="73" spans="1:20" s="2" customFormat="1" ht="15" customHeight="1" x14ac:dyDescent="0.25">
      <c r="A73" s="358">
        <v>43297</v>
      </c>
      <c r="B73" s="813" t="s">
        <v>778</v>
      </c>
      <c r="C73" s="299" t="s">
        <v>12</v>
      </c>
      <c r="D73" s="385"/>
      <c r="E73" s="385">
        <v>42</v>
      </c>
      <c r="F73" s="16"/>
      <c r="G73" s="16"/>
      <c r="H73" s="17"/>
      <c r="I73" s="17"/>
      <c r="J73" s="262"/>
      <c r="K73" s="262"/>
      <c r="L73" s="18"/>
      <c r="M73" s="18"/>
      <c r="N73" s="19"/>
      <c r="O73" s="19"/>
      <c r="P73" s="41"/>
      <c r="Q73" s="41"/>
      <c r="R73" s="189"/>
      <c r="S73" s="187"/>
      <c r="T73" s="21"/>
    </row>
    <row r="74" spans="1:20" s="2" customFormat="1" ht="15" customHeight="1" x14ac:dyDescent="0.25">
      <c r="A74" s="358">
        <v>43297</v>
      </c>
      <c r="B74" s="813" t="s">
        <v>780</v>
      </c>
      <c r="C74" s="299" t="s">
        <v>11</v>
      </c>
      <c r="D74" s="385"/>
      <c r="E74" s="385">
        <v>91</v>
      </c>
      <c r="F74" s="16"/>
      <c r="G74" s="16"/>
      <c r="H74" s="17"/>
      <c r="I74" s="17"/>
      <c r="J74" s="262"/>
      <c r="K74" s="262"/>
      <c r="L74" s="18"/>
      <c r="M74" s="18"/>
      <c r="N74" s="19"/>
      <c r="O74" s="19"/>
      <c r="P74" s="41"/>
      <c r="Q74" s="41"/>
      <c r="R74" s="187"/>
      <c r="S74" s="187"/>
      <c r="T74" s="21"/>
    </row>
    <row r="75" spans="1:20" s="2" customFormat="1" ht="15" customHeight="1" x14ac:dyDescent="0.25">
      <c r="A75" s="358">
        <v>43297</v>
      </c>
      <c r="B75" s="813" t="s">
        <v>781</v>
      </c>
      <c r="C75" s="299" t="s">
        <v>13</v>
      </c>
      <c r="D75" s="385"/>
      <c r="E75" s="385">
        <v>11194</v>
      </c>
      <c r="F75" s="16"/>
      <c r="G75" s="134"/>
      <c r="H75" s="17"/>
      <c r="I75" s="17"/>
      <c r="J75" s="262"/>
      <c r="K75" s="262"/>
      <c r="L75" s="18"/>
      <c r="M75" s="18"/>
      <c r="N75" s="19"/>
      <c r="O75" s="19"/>
      <c r="P75" s="41"/>
      <c r="Q75" s="41"/>
      <c r="R75" s="187"/>
      <c r="S75" s="187"/>
      <c r="T75" s="21"/>
    </row>
    <row r="76" spans="1:20" s="2" customFormat="1" ht="15" customHeight="1" x14ac:dyDescent="0.25">
      <c r="A76" s="358">
        <v>43297</v>
      </c>
      <c r="B76" s="813" t="s">
        <v>783</v>
      </c>
      <c r="C76" s="299" t="s">
        <v>12</v>
      </c>
      <c r="D76" s="385"/>
      <c r="E76" s="385">
        <v>2188</v>
      </c>
      <c r="F76" s="16"/>
      <c r="G76" s="134"/>
      <c r="H76" s="17"/>
      <c r="I76" s="17"/>
      <c r="J76" s="262"/>
      <c r="K76" s="262">
        <v>186</v>
      </c>
      <c r="L76" s="18"/>
      <c r="M76" s="18"/>
      <c r="N76" s="19"/>
      <c r="O76" s="19"/>
      <c r="P76" s="41"/>
      <c r="Q76" s="41"/>
      <c r="R76" s="187"/>
      <c r="S76" s="187"/>
      <c r="T76" s="21"/>
    </row>
    <row r="77" spans="1:20" s="2" customFormat="1" ht="15" customHeight="1" x14ac:dyDescent="0.25">
      <c r="A77" s="358">
        <v>43297</v>
      </c>
      <c r="B77" s="813" t="s">
        <v>791</v>
      </c>
      <c r="C77" s="299" t="s">
        <v>13</v>
      </c>
      <c r="D77" s="385"/>
      <c r="E77" s="385">
        <v>205</v>
      </c>
      <c r="F77" s="16"/>
      <c r="G77" s="16"/>
      <c r="H77" s="17"/>
      <c r="I77" s="17"/>
      <c r="J77" s="281"/>
      <c r="K77" s="285"/>
      <c r="L77" s="18"/>
      <c r="M77" s="18"/>
      <c r="N77" s="19"/>
      <c r="O77" s="19"/>
      <c r="P77" s="41"/>
      <c r="Q77" s="41"/>
      <c r="R77" s="187"/>
      <c r="S77" s="187"/>
      <c r="T77" s="21"/>
    </row>
    <row r="78" spans="1:20" s="2" customFormat="1" ht="15" customHeight="1" x14ac:dyDescent="0.25">
      <c r="A78" s="358">
        <v>43297</v>
      </c>
      <c r="B78" s="813" t="s">
        <v>792</v>
      </c>
      <c r="C78" s="299" t="s">
        <v>12</v>
      </c>
      <c r="D78" s="385"/>
      <c r="E78" s="385">
        <v>133</v>
      </c>
      <c r="F78" s="16"/>
      <c r="G78" s="134"/>
      <c r="H78" s="17"/>
      <c r="I78" s="17"/>
      <c r="J78" s="262"/>
      <c r="K78" s="281"/>
      <c r="L78" s="18"/>
      <c r="M78" s="18"/>
      <c r="N78" s="19"/>
      <c r="O78" s="19"/>
      <c r="P78" s="41"/>
      <c r="Q78" s="41"/>
      <c r="R78" s="187"/>
      <c r="S78" s="187"/>
      <c r="T78" s="21"/>
    </row>
    <row r="79" spans="1:20" s="2" customFormat="1" ht="15" customHeight="1" x14ac:dyDescent="0.25">
      <c r="A79" s="358">
        <v>43297</v>
      </c>
      <c r="B79" s="813" t="s">
        <v>793</v>
      </c>
      <c r="C79" s="299" t="s">
        <v>323</v>
      </c>
      <c r="D79" s="385"/>
      <c r="E79" s="385"/>
      <c r="F79" s="16"/>
      <c r="G79" s="16"/>
      <c r="H79" s="17"/>
      <c r="I79" s="17"/>
      <c r="J79" s="281"/>
      <c r="K79" s="262">
        <v>36</v>
      </c>
      <c r="L79" s="18"/>
      <c r="M79" s="18"/>
      <c r="N79" s="19"/>
      <c r="O79" s="19"/>
      <c r="P79" s="41"/>
      <c r="Q79" s="41"/>
      <c r="R79" s="187"/>
      <c r="S79" s="187"/>
      <c r="T79" s="21"/>
    </row>
    <row r="80" spans="1:20" s="2" customFormat="1" ht="15" customHeight="1" x14ac:dyDescent="0.25">
      <c r="A80" s="358">
        <v>43298</v>
      </c>
      <c r="B80" s="78" t="s">
        <v>799</v>
      </c>
      <c r="C80" s="299">
        <v>4</v>
      </c>
      <c r="D80" s="385"/>
      <c r="E80" s="385"/>
      <c r="F80" s="16"/>
      <c r="G80" s="16">
        <v>0.1</v>
      </c>
      <c r="H80" s="17"/>
      <c r="I80" s="17"/>
      <c r="J80" s="262"/>
      <c r="K80" s="262"/>
      <c r="L80" s="18"/>
      <c r="M80" s="18"/>
      <c r="N80" s="19"/>
      <c r="O80" s="19"/>
      <c r="P80" s="41"/>
      <c r="Q80" s="41"/>
      <c r="R80" s="187"/>
      <c r="S80" s="187"/>
      <c r="T80" s="21"/>
    </row>
    <row r="81" spans="1:40" s="2" customFormat="1" ht="15" customHeight="1" x14ac:dyDescent="0.25">
      <c r="A81" s="358">
        <v>43299</v>
      </c>
      <c r="B81" s="813" t="s">
        <v>815</v>
      </c>
      <c r="C81" s="299" t="s">
        <v>323</v>
      </c>
      <c r="D81" s="385">
        <v>8</v>
      </c>
      <c r="E81" s="385"/>
      <c r="F81" s="16"/>
      <c r="G81" s="16"/>
      <c r="H81" s="17"/>
      <c r="I81" s="17"/>
      <c r="J81" s="262">
        <v>168</v>
      </c>
      <c r="K81" s="262"/>
      <c r="L81" s="18"/>
      <c r="M81" s="18"/>
      <c r="N81" s="19"/>
      <c r="O81" s="19"/>
      <c r="P81" s="41"/>
      <c r="Q81" s="41"/>
      <c r="R81" s="187"/>
      <c r="S81" s="187"/>
      <c r="T81" s="21"/>
    </row>
    <row r="82" spans="1:40" s="2" customFormat="1" ht="15" customHeight="1" x14ac:dyDescent="0.25">
      <c r="A82" s="358">
        <v>43301</v>
      </c>
      <c r="B82" s="813" t="s">
        <v>822</v>
      </c>
      <c r="C82" s="299" t="s">
        <v>10</v>
      </c>
      <c r="D82" s="385">
        <v>1</v>
      </c>
      <c r="E82" s="385"/>
      <c r="F82" s="16"/>
      <c r="G82" s="16"/>
      <c r="H82" s="17"/>
      <c r="I82" s="17"/>
      <c r="J82" s="262"/>
      <c r="K82" s="262"/>
      <c r="L82" s="18"/>
      <c r="M82" s="18"/>
      <c r="N82" s="19"/>
      <c r="O82" s="19"/>
      <c r="P82" s="41"/>
      <c r="Q82" s="41"/>
      <c r="R82" s="187"/>
      <c r="S82" s="187"/>
      <c r="T82" s="21"/>
    </row>
    <row r="83" spans="1:40" s="2" customFormat="1" ht="15" customHeight="1" x14ac:dyDescent="0.25">
      <c r="A83" s="358">
        <v>43301</v>
      </c>
      <c r="B83" s="89" t="s">
        <v>827</v>
      </c>
      <c r="C83" s="299" t="s">
        <v>63</v>
      </c>
      <c r="D83" s="385"/>
      <c r="E83" s="385"/>
      <c r="F83" s="16"/>
      <c r="G83" s="16"/>
      <c r="H83" s="17"/>
      <c r="I83" s="17"/>
      <c r="J83" s="262"/>
      <c r="K83" s="262"/>
      <c r="L83" s="18"/>
      <c r="M83" s="18"/>
      <c r="N83" s="19"/>
      <c r="O83" s="19"/>
      <c r="P83" s="41"/>
      <c r="Q83" s="41"/>
      <c r="R83" s="187"/>
      <c r="S83" s="187"/>
      <c r="T83" s="21"/>
    </row>
    <row r="84" spans="1:40" s="2" customFormat="1" ht="15" customHeight="1" x14ac:dyDescent="0.25">
      <c r="A84" s="358">
        <v>43301</v>
      </c>
      <c r="B84" s="17" t="s">
        <v>829</v>
      </c>
      <c r="C84" s="299" t="s">
        <v>323</v>
      </c>
      <c r="D84" s="385"/>
      <c r="E84" s="385"/>
      <c r="F84" s="16"/>
      <c r="G84" s="16"/>
      <c r="H84" s="17"/>
      <c r="I84" s="17"/>
      <c r="J84" s="262">
        <v>0.1</v>
      </c>
      <c r="K84" s="262"/>
      <c r="L84" s="18"/>
      <c r="M84" s="18"/>
      <c r="N84" s="19"/>
      <c r="O84" s="19"/>
      <c r="P84" s="41"/>
      <c r="Q84" s="41"/>
      <c r="R84" s="187"/>
      <c r="S84" s="187"/>
      <c r="T84" s="21"/>
    </row>
    <row r="85" spans="1:40" s="2" customFormat="1" ht="15" customHeight="1" x14ac:dyDescent="0.25">
      <c r="A85" s="358">
        <v>43302</v>
      </c>
      <c r="B85" s="813" t="s">
        <v>830</v>
      </c>
      <c r="C85" s="299" t="s">
        <v>10</v>
      </c>
      <c r="D85" s="385">
        <v>0.1</v>
      </c>
      <c r="E85" s="385"/>
      <c r="F85" s="16"/>
      <c r="G85" s="16"/>
      <c r="H85" s="17"/>
      <c r="I85" s="17"/>
      <c r="J85" s="262"/>
      <c r="K85" s="281"/>
      <c r="L85" s="18"/>
      <c r="M85" s="18"/>
      <c r="N85" s="19"/>
      <c r="O85" s="19"/>
      <c r="P85" s="41"/>
      <c r="Q85" s="41"/>
      <c r="R85" s="187"/>
      <c r="S85" s="187"/>
      <c r="T85" s="21"/>
    </row>
    <row r="86" spans="1:40" s="2" customFormat="1" ht="15" customHeight="1" x14ac:dyDescent="0.25">
      <c r="A86" s="358">
        <v>43302</v>
      </c>
      <c r="B86" s="78" t="s">
        <v>834</v>
      </c>
      <c r="C86" s="299">
        <v>5</v>
      </c>
      <c r="D86" s="385"/>
      <c r="E86" s="385"/>
      <c r="F86" s="16">
        <v>0.1</v>
      </c>
      <c r="G86" s="16"/>
      <c r="H86" s="17"/>
      <c r="I86" s="17"/>
      <c r="J86" s="262"/>
      <c r="K86" s="262"/>
      <c r="L86" s="18"/>
      <c r="M86" s="18"/>
      <c r="N86" s="19"/>
      <c r="O86" s="19"/>
      <c r="P86" s="41"/>
      <c r="Q86" s="41"/>
      <c r="R86" s="187"/>
      <c r="S86" s="187"/>
      <c r="T86" s="21"/>
    </row>
    <row r="87" spans="1:40" s="2" customFormat="1" ht="15" customHeight="1" x14ac:dyDescent="0.25">
      <c r="A87" s="358">
        <v>43302</v>
      </c>
      <c r="B87" s="17" t="s">
        <v>846</v>
      </c>
      <c r="C87" s="299" t="s">
        <v>323</v>
      </c>
      <c r="D87" s="385"/>
      <c r="E87" s="385"/>
      <c r="F87" s="16"/>
      <c r="G87" s="16"/>
      <c r="H87" s="17"/>
      <c r="I87" s="17"/>
      <c r="J87" s="262">
        <v>2.7</v>
      </c>
      <c r="K87" s="262"/>
      <c r="L87" s="18"/>
      <c r="M87" s="18"/>
      <c r="N87" s="19"/>
      <c r="O87" s="19"/>
      <c r="P87" s="41"/>
      <c r="Q87" s="41"/>
      <c r="R87" s="187"/>
      <c r="S87" s="187"/>
      <c r="T87" s="21"/>
    </row>
    <row r="88" spans="1:40" s="270" customFormat="1" ht="15" customHeight="1" x14ac:dyDescent="0.25">
      <c r="A88" s="358">
        <v>43303</v>
      </c>
      <c r="B88" s="813" t="s">
        <v>867</v>
      </c>
      <c r="C88" s="399" t="s">
        <v>10</v>
      </c>
      <c r="D88" s="385">
        <v>1076</v>
      </c>
      <c r="E88" s="385"/>
      <c r="F88" s="16"/>
      <c r="G88" s="16"/>
      <c r="H88" s="17">
        <v>537</v>
      </c>
      <c r="I88" s="17"/>
      <c r="J88" s="398">
        <v>25</v>
      </c>
      <c r="K88" s="398"/>
      <c r="L88" s="18"/>
      <c r="M88" s="18"/>
      <c r="N88" s="19"/>
      <c r="O88" s="19"/>
      <c r="P88" s="41"/>
      <c r="Q88" s="41"/>
      <c r="R88" s="187"/>
      <c r="S88" s="187"/>
      <c r="T88" s="21"/>
    </row>
    <row r="89" spans="1:40" s="2" customFormat="1" ht="15" customHeight="1" x14ac:dyDescent="0.25">
      <c r="A89" s="358">
        <v>43305</v>
      </c>
      <c r="B89" s="813" t="s">
        <v>874</v>
      </c>
      <c r="C89" s="299" t="s">
        <v>323</v>
      </c>
      <c r="D89" s="385"/>
      <c r="E89" s="385"/>
      <c r="F89" s="134"/>
      <c r="G89" s="134"/>
      <c r="H89" s="138"/>
      <c r="I89" s="138"/>
      <c r="J89" s="281">
        <v>0.2</v>
      </c>
      <c r="K89" s="281"/>
      <c r="L89" s="142"/>
      <c r="M89" s="142"/>
      <c r="N89" s="135"/>
      <c r="O89" s="135"/>
      <c r="P89" s="153"/>
      <c r="Q89" s="153"/>
      <c r="R89" s="189"/>
      <c r="S89" s="187"/>
      <c r="T89" s="21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</row>
    <row r="90" spans="1:40" s="2" customFormat="1" ht="15" customHeight="1" x14ac:dyDescent="0.25">
      <c r="A90" s="358">
        <v>43305</v>
      </c>
      <c r="B90" s="813" t="s">
        <v>881</v>
      </c>
      <c r="C90" s="299" t="s">
        <v>13</v>
      </c>
      <c r="D90" s="385"/>
      <c r="E90" s="385">
        <v>216</v>
      </c>
      <c r="F90" s="16"/>
      <c r="G90" s="16"/>
      <c r="H90" s="17"/>
      <c r="I90" s="17">
        <v>304</v>
      </c>
      <c r="J90" s="262"/>
      <c r="K90" s="262">
        <v>25</v>
      </c>
      <c r="L90" s="18"/>
      <c r="M90" s="18"/>
      <c r="N90" s="19"/>
      <c r="O90" s="19"/>
      <c r="P90" s="41"/>
      <c r="Q90" s="41"/>
      <c r="R90" s="187"/>
      <c r="S90" s="187"/>
      <c r="T90" s="21"/>
    </row>
    <row r="91" spans="1:40" s="2" customFormat="1" ht="15" customHeight="1" x14ac:dyDescent="0.25">
      <c r="A91" s="358">
        <v>43305</v>
      </c>
      <c r="B91" s="813" t="s">
        <v>882</v>
      </c>
      <c r="C91" s="395" t="s">
        <v>323</v>
      </c>
      <c r="D91" s="385"/>
      <c r="E91" s="385"/>
      <c r="F91" s="16"/>
      <c r="G91" s="16"/>
      <c r="H91" s="17"/>
      <c r="I91" s="17"/>
      <c r="J91" s="394"/>
      <c r="K91" s="394">
        <v>0.1</v>
      </c>
      <c r="L91" s="18"/>
      <c r="M91" s="18"/>
      <c r="N91" s="19"/>
      <c r="O91" s="19"/>
      <c r="P91" s="41"/>
      <c r="Q91" s="41"/>
      <c r="R91" s="187"/>
      <c r="S91" s="187"/>
      <c r="T91" s="21"/>
    </row>
    <row r="92" spans="1:40" s="270" customFormat="1" ht="15" customHeight="1" x14ac:dyDescent="0.25">
      <c r="A92" s="358">
        <v>43305</v>
      </c>
      <c r="B92" s="813" t="s">
        <v>883</v>
      </c>
      <c r="C92" s="684" t="s">
        <v>12</v>
      </c>
      <c r="D92" s="385"/>
      <c r="E92" s="385">
        <v>23870</v>
      </c>
      <c r="F92" s="16"/>
      <c r="G92" s="16"/>
      <c r="H92" s="17"/>
      <c r="I92" s="17">
        <v>1530</v>
      </c>
      <c r="J92" s="685"/>
      <c r="K92" s="685">
        <v>1205</v>
      </c>
      <c r="L92" s="18"/>
      <c r="M92" s="18"/>
      <c r="N92" s="19"/>
      <c r="O92" s="19"/>
      <c r="P92" s="41"/>
      <c r="Q92" s="41"/>
      <c r="R92" s="187"/>
      <c r="S92" s="187"/>
      <c r="T92" s="21"/>
    </row>
    <row r="93" spans="1:40" s="2" customFormat="1" ht="15" customHeight="1" x14ac:dyDescent="0.25">
      <c r="A93" s="358">
        <v>43305</v>
      </c>
      <c r="B93" s="813" t="s">
        <v>888</v>
      </c>
      <c r="C93" s="299" t="s">
        <v>323</v>
      </c>
      <c r="D93" s="385"/>
      <c r="E93" s="385">
        <v>426</v>
      </c>
      <c r="F93" s="16"/>
      <c r="G93" s="16"/>
      <c r="H93" s="17"/>
      <c r="I93" s="17">
        <v>272</v>
      </c>
      <c r="J93" s="262"/>
      <c r="K93" s="262">
        <v>58</v>
      </c>
      <c r="L93" s="18"/>
      <c r="M93" s="18"/>
      <c r="N93" s="19"/>
      <c r="O93" s="19"/>
      <c r="P93" s="41"/>
      <c r="Q93" s="41"/>
      <c r="R93" s="187"/>
      <c r="S93" s="187"/>
      <c r="T93" s="21"/>
    </row>
    <row r="94" spans="1:40" s="2" customFormat="1" ht="15" customHeight="1" x14ac:dyDescent="0.25">
      <c r="A94" s="358">
        <v>43306</v>
      </c>
      <c r="B94" s="17" t="s">
        <v>896</v>
      </c>
      <c r="C94" s="299" t="s">
        <v>323</v>
      </c>
      <c r="D94" s="385">
        <v>705</v>
      </c>
      <c r="E94" s="385"/>
      <c r="F94" s="16"/>
      <c r="G94" s="16"/>
      <c r="H94" s="17">
        <v>647</v>
      </c>
      <c r="I94" s="17"/>
      <c r="J94" s="262">
        <v>3282</v>
      </c>
      <c r="K94" s="262"/>
      <c r="L94" s="18"/>
      <c r="M94" s="18"/>
      <c r="N94" s="19"/>
      <c r="O94" s="19"/>
      <c r="P94" s="41"/>
      <c r="Q94" s="41"/>
      <c r="R94" s="187"/>
      <c r="S94" s="187"/>
      <c r="T94" s="21"/>
    </row>
    <row r="95" spans="1:40" s="2" customFormat="1" ht="15" customHeight="1" x14ac:dyDescent="0.25">
      <c r="A95" s="358">
        <v>43306</v>
      </c>
      <c r="B95" s="813" t="s">
        <v>911</v>
      </c>
      <c r="C95" s="355" t="s">
        <v>12</v>
      </c>
      <c r="D95" s="385"/>
      <c r="E95" s="385">
        <v>9</v>
      </c>
      <c r="F95" s="16"/>
      <c r="G95" s="16"/>
      <c r="H95" s="17"/>
      <c r="I95" s="17"/>
      <c r="J95" s="356"/>
      <c r="K95" s="356"/>
      <c r="L95" s="18"/>
      <c r="M95" s="18"/>
      <c r="N95" s="19"/>
      <c r="O95" s="19"/>
      <c r="P95" s="41"/>
      <c r="Q95" s="41"/>
      <c r="R95" s="187"/>
      <c r="S95" s="187"/>
      <c r="T95" s="21"/>
    </row>
    <row r="96" spans="1:40" s="2" customFormat="1" ht="15" customHeight="1" x14ac:dyDescent="0.25">
      <c r="A96" s="358">
        <v>43309</v>
      </c>
      <c r="B96" s="17" t="s">
        <v>968</v>
      </c>
      <c r="C96" s="299" t="s">
        <v>323</v>
      </c>
      <c r="D96" s="385"/>
      <c r="E96" s="385"/>
      <c r="F96" s="16"/>
      <c r="G96" s="16"/>
      <c r="H96" s="17"/>
      <c r="I96" s="17"/>
      <c r="J96" s="262">
        <v>0.1</v>
      </c>
      <c r="K96" s="262"/>
      <c r="L96" s="18"/>
      <c r="M96" s="18"/>
      <c r="N96" s="19"/>
      <c r="O96" s="19"/>
      <c r="P96" s="41"/>
      <c r="Q96" s="41"/>
      <c r="R96" s="187"/>
      <c r="S96" s="187"/>
      <c r="T96" s="21"/>
    </row>
    <row r="97" spans="1:20" s="2" customFormat="1" ht="15" customHeight="1" x14ac:dyDescent="0.25">
      <c r="A97" s="358">
        <v>43311</v>
      </c>
      <c r="B97" s="78" t="s">
        <v>943</v>
      </c>
      <c r="C97" s="399">
        <v>1</v>
      </c>
      <c r="D97" s="385"/>
      <c r="E97" s="385"/>
      <c r="F97" s="16">
        <v>0.2</v>
      </c>
      <c r="G97" s="16"/>
      <c r="H97" s="17"/>
      <c r="I97" s="17"/>
      <c r="J97" s="398"/>
      <c r="K97" s="398"/>
      <c r="L97" s="18"/>
      <c r="M97" s="18"/>
      <c r="N97" s="19"/>
      <c r="O97" s="19"/>
      <c r="P97" s="41"/>
      <c r="Q97" s="41"/>
      <c r="R97" s="187"/>
      <c r="S97" s="187"/>
      <c r="T97" s="21"/>
    </row>
    <row r="98" spans="1:20" s="2" customFormat="1" ht="15" customHeight="1" x14ac:dyDescent="0.25">
      <c r="A98" s="358">
        <v>43317</v>
      </c>
      <c r="B98" s="813" t="s">
        <v>971</v>
      </c>
      <c r="C98" s="299" t="s">
        <v>95</v>
      </c>
      <c r="D98" s="385"/>
      <c r="E98" s="385"/>
      <c r="F98" s="16"/>
      <c r="G98" s="16"/>
      <c r="H98" s="17">
        <v>4.3</v>
      </c>
      <c r="I98" s="17"/>
      <c r="J98" s="262"/>
      <c r="K98" s="262"/>
      <c r="L98" s="18"/>
      <c r="M98" s="18"/>
      <c r="N98" s="19"/>
      <c r="O98" s="19"/>
      <c r="P98" s="41"/>
      <c r="Q98" s="41"/>
      <c r="R98" s="187"/>
      <c r="S98" s="187"/>
      <c r="T98" s="21"/>
    </row>
    <row r="99" spans="1:20" s="2" customFormat="1" ht="15" customHeight="1" x14ac:dyDescent="0.25">
      <c r="A99" s="358">
        <v>43317</v>
      </c>
      <c r="B99" s="813" t="s">
        <v>975</v>
      </c>
      <c r="C99" s="299" t="s">
        <v>11</v>
      </c>
      <c r="D99" s="385">
        <v>0.25</v>
      </c>
      <c r="E99" s="385"/>
      <c r="F99" s="16"/>
      <c r="G99" s="16"/>
      <c r="H99" s="17"/>
      <c r="I99" s="17"/>
      <c r="J99" s="262"/>
      <c r="K99" s="262"/>
      <c r="L99" s="18"/>
      <c r="M99" s="18"/>
      <c r="N99" s="19"/>
      <c r="O99" s="19"/>
      <c r="P99" s="41"/>
      <c r="Q99" s="41"/>
      <c r="R99" s="187"/>
      <c r="S99" s="187"/>
      <c r="T99" s="21"/>
    </row>
    <row r="100" spans="1:20" s="2" customFormat="1" ht="15" customHeight="1" x14ac:dyDescent="0.25">
      <c r="A100" s="358">
        <v>43317</v>
      </c>
      <c r="B100" s="17" t="s">
        <v>1000</v>
      </c>
      <c r="C100" s="299">
        <v>3</v>
      </c>
      <c r="D100" s="385"/>
      <c r="E100" s="385"/>
      <c r="F100" s="16">
        <v>0.2</v>
      </c>
      <c r="G100" s="16"/>
      <c r="H100" s="17"/>
      <c r="I100" s="17"/>
      <c r="J100" s="262"/>
      <c r="K100" s="262"/>
      <c r="L100" s="18"/>
      <c r="M100" s="18"/>
      <c r="N100" s="19"/>
      <c r="O100" s="19"/>
      <c r="P100" s="41"/>
      <c r="Q100" s="41"/>
      <c r="R100" s="187"/>
      <c r="S100" s="187"/>
      <c r="T100" s="21"/>
    </row>
    <row r="101" spans="1:20" s="2" customFormat="1" ht="15" customHeight="1" x14ac:dyDescent="0.25">
      <c r="A101" s="358">
        <v>43317</v>
      </c>
      <c r="B101" s="813" t="s">
        <v>995</v>
      </c>
      <c r="C101" s="299" t="s">
        <v>11</v>
      </c>
      <c r="D101" s="385">
        <v>0.25</v>
      </c>
      <c r="E101" s="385"/>
      <c r="F101" s="16"/>
      <c r="G101" s="16"/>
      <c r="H101" s="17"/>
      <c r="I101" s="17"/>
      <c r="J101" s="262"/>
      <c r="K101" s="262"/>
      <c r="L101" s="18"/>
      <c r="M101" s="18"/>
      <c r="N101" s="19"/>
      <c r="O101" s="19"/>
      <c r="P101" s="41"/>
      <c r="Q101" s="41"/>
      <c r="R101" s="187"/>
      <c r="S101" s="187"/>
      <c r="T101" s="21"/>
    </row>
    <row r="102" spans="1:20" s="2" customFormat="1" ht="15" customHeight="1" x14ac:dyDescent="0.25">
      <c r="A102" s="358">
        <v>43318</v>
      </c>
      <c r="B102" s="813" t="s">
        <v>1001</v>
      </c>
      <c r="C102" s="625" t="s">
        <v>10</v>
      </c>
      <c r="D102" s="385"/>
      <c r="E102" s="385"/>
      <c r="F102" s="16"/>
      <c r="G102" s="134"/>
      <c r="H102" s="17"/>
      <c r="I102" s="17"/>
      <c r="J102" s="262">
        <v>10</v>
      </c>
      <c r="K102" s="262"/>
      <c r="L102" s="18"/>
      <c r="M102" s="18"/>
      <c r="N102" s="19"/>
      <c r="O102" s="19"/>
      <c r="P102" s="41">
        <v>6</v>
      </c>
      <c r="Q102" s="41"/>
      <c r="R102" s="187"/>
      <c r="S102" s="187"/>
      <c r="T102" s="21"/>
    </row>
    <row r="103" spans="1:20" s="2" customFormat="1" ht="15" customHeight="1" x14ac:dyDescent="0.25">
      <c r="A103" s="358">
        <v>43319</v>
      </c>
      <c r="B103" s="813" t="s">
        <v>1019</v>
      </c>
      <c r="C103" s="299" t="s">
        <v>10</v>
      </c>
      <c r="D103" s="385">
        <v>0.5</v>
      </c>
      <c r="E103" s="385"/>
      <c r="F103" s="16"/>
      <c r="G103" s="16"/>
      <c r="H103" s="17"/>
      <c r="I103" s="17"/>
      <c r="J103" s="262"/>
      <c r="K103" s="262"/>
      <c r="L103" s="18"/>
      <c r="M103" s="18"/>
      <c r="N103" s="19"/>
      <c r="O103" s="19"/>
      <c r="P103" s="41"/>
      <c r="Q103" s="41"/>
      <c r="R103" s="187"/>
      <c r="S103" s="187"/>
      <c r="T103" s="21"/>
    </row>
    <row r="104" spans="1:20" s="2" customFormat="1" ht="15" customHeight="1" x14ac:dyDescent="0.25">
      <c r="A104" s="358">
        <v>43324</v>
      </c>
      <c r="B104" s="17" t="s">
        <v>1036</v>
      </c>
      <c r="C104" s="299" t="s">
        <v>95</v>
      </c>
      <c r="D104" s="385"/>
      <c r="E104" s="385"/>
      <c r="F104" s="16"/>
      <c r="G104" s="16"/>
      <c r="H104" s="17">
        <v>0.1</v>
      </c>
      <c r="I104" s="17"/>
      <c r="J104" s="262"/>
      <c r="K104" s="262"/>
      <c r="L104" s="18"/>
      <c r="M104" s="18"/>
      <c r="N104" s="19"/>
      <c r="O104" s="19"/>
      <c r="P104" s="41"/>
      <c r="Q104" s="41"/>
      <c r="R104" s="187"/>
      <c r="S104" s="187"/>
      <c r="T104" s="21"/>
    </row>
    <row r="105" spans="1:20" s="2" customFormat="1" ht="15" customHeight="1" x14ac:dyDescent="0.25">
      <c r="A105" s="358">
        <v>43324</v>
      </c>
      <c r="B105" s="813" t="s">
        <v>1037</v>
      </c>
      <c r="C105" s="299" t="s">
        <v>206</v>
      </c>
      <c r="D105" s="385"/>
      <c r="E105" s="385"/>
      <c r="F105" s="16"/>
      <c r="G105" s="16"/>
      <c r="H105" s="17"/>
      <c r="I105" s="17"/>
      <c r="J105" s="262"/>
      <c r="K105" s="281"/>
      <c r="L105" s="18"/>
      <c r="M105" s="18"/>
      <c r="N105" s="19"/>
      <c r="O105" s="19"/>
      <c r="P105" s="41">
        <v>2.8</v>
      </c>
      <c r="Q105" s="41"/>
      <c r="R105" s="187"/>
      <c r="S105" s="187"/>
      <c r="T105" s="21"/>
    </row>
    <row r="106" spans="1:20" s="2" customFormat="1" ht="15" customHeight="1" x14ac:dyDescent="0.25">
      <c r="A106" s="358">
        <v>43325</v>
      </c>
      <c r="B106" s="813" t="s">
        <v>1050</v>
      </c>
      <c r="C106" s="299" t="s">
        <v>323</v>
      </c>
      <c r="D106" s="385"/>
      <c r="E106" s="385"/>
      <c r="F106" s="16"/>
      <c r="G106" s="134"/>
      <c r="H106" s="17"/>
      <c r="I106" s="17"/>
      <c r="J106" s="262">
        <v>2</v>
      </c>
      <c r="K106" s="262"/>
      <c r="L106" s="18"/>
      <c r="M106" s="18"/>
      <c r="N106" s="19"/>
      <c r="O106" s="19"/>
      <c r="P106" s="41"/>
      <c r="Q106" s="41"/>
      <c r="R106" s="187"/>
      <c r="S106" s="187"/>
      <c r="T106" s="21"/>
    </row>
    <row r="107" spans="1:20" s="2" customFormat="1" ht="15" customHeight="1" x14ac:dyDescent="0.25">
      <c r="A107" s="358">
        <v>43325</v>
      </c>
      <c r="B107" s="813" t="s">
        <v>1051</v>
      </c>
      <c r="C107" s="299" t="s">
        <v>10</v>
      </c>
      <c r="D107" s="385">
        <v>37</v>
      </c>
      <c r="E107" s="385"/>
      <c r="F107" s="16"/>
      <c r="G107" s="16"/>
      <c r="H107" s="17"/>
      <c r="I107" s="17"/>
      <c r="J107" s="262"/>
      <c r="K107" s="262"/>
      <c r="L107" s="18"/>
      <c r="M107" s="18"/>
      <c r="N107" s="19"/>
      <c r="O107" s="19"/>
      <c r="P107" s="41"/>
      <c r="Q107" s="41"/>
      <c r="R107" s="187"/>
      <c r="S107" s="187"/>
      <c r="T107" s="21"/>
    </row>
    <row r="108" spans="1:20" s="2" customFormat="1" ht="15" customHeight="1" x14ac:dyDescent="0.25">
      <c r="A108" s="358">
        <v>43327</v>
      </c>
      <c r="B108" s="813" t="s">
        <v>1057</v>
      </c>
      <c r="C108" s="299" t="s">
        <v>323</v>
      </c>
      <c r="D108" s="385">
        <v>10</v>
      </c>
      <c r="E108" s="385"/>
      <c r="F108" s="16"/>
      <c r="G108" s="134"/>
      <c r="H108" s="17">
        <v>23</v>
      </c>
      <c r="I108" s="17"/>
      <c r="J108" s="262">
        <v>12</v>
      </c>
      <c r="K108" s="262"/>
      <c r="L108" s="18"/>
      <c r="M108" s="18"/>
      <c r="N108" s="19"/>
      <c r="O108" s="19"/>
      <c r="P108" s="41"/>
      <c r="Q108" s="41"/>
      <c r="R108" s="187"/>
      <c r="S108" s="187"/>
      <c r="T108" s="21"/>
    </row>
    <row r="109" spans="1:20" s="2" customFormat="1" ht="15" customHeight="1" x14ac:dyDescent="0.25">
      <c r="A109" s="358">
        <v>43328</v>
      </c>
      <c r="B109" s="813" t="s">
        <v>1062</v>
      </c>
      <c r="C109" s="299" t="s">
        <v>323</v>
      </c>
      <c r="D109" s="385"/>
      <c r="E109" s="385"/>
      <c r="F109" s="16"/>
      <c r="G109" s="16"/>
      <c r="H109" s="17"/>
      <c r="I109" s="17"/>
      <c r="J109" s="262">
        <v>1</v>
      </c>
      <c r="K109" s="262"/>
      <c r="L109" s="18"/>
      <c r="M109" s="18"/>
      <c r="N109" s="19"/>
      <c r="O109" s="19"/>
      <c r="P109" s="41"/>
      <c r="Q109" s="41"/>
      <c r="R109" s="187"/>
      <c r="S109" s="187"/>
      <c r="T109" s="21"/>
    </row>
    <row r="110" spans="1:20" s="2" customFormat="1" ht="15" customHeight="1" x14ac:dyDescent="0.25">
      <c r="A110" s="358">
        <v>43329</v>
      </c>
      <c r="B110" s="813" t="s">
        <v>1069</v>
      </c>
      <c r="C110" s="299" t="s">
        <v>13</v>
      </c>
      <c r="D110" s="385"/>
      <c r="E110" s="385">
        <v>0.25</v>
      </c>
      <c r="F110" s="16"/>
      <c r="G110" s="16"/>
      <c r="H110" s="17"/>
      <c r="I110" s="17"/>
      <c r="J110" s="262"/>
      <c r="K110" s="262"/>
      <c r="L110" s="18"/>
      <c r="M110" s="18"/>
      <c r="N110" s="19"/>
      <c r="O110" s="19"/>
      <c r="P110" s="41"/>
      <c r="Q110" s="41"/>
      <c r="R110" s="187"/>
      <c r="S110" s="187"/>
      <c r="T110" s="21"/>
    </row>
    <row r="111" spans="1:20" s="2" customFormat="1" ht="15" customHeight="1" x14ac:dyDescent="0.25">
      <c r="A111" s="358">
        <v>43329</v>
      </c>
      <c r="B111" s="813" t="s">
        <v>1070</v>
      </c>
      <c r="C111" s="299" t="s">
        <v>95</v>
      </c>
      <c r="D111" s="385"/>
      <c r="E111" s="385"/>
      <c r="F111" s="16"/>
      <c r="G111" s="16"/>
      <c r="H111" s="17"/>
      <c r="I111" s="17">
        <v>0.3</v>
      </c>
      <c r="J111" s="262"/>
      <c r="K111" s="262"/>
      <c r="L111" s="18"/>
      <c r="M111" s="18"/>
      <c r="N111" s="19"/>
      <c r="O111" s="19"/>
      <c r="P111" s="41"/>
      <c r="Q111" s="41"/>
      <c r="R111" s="187"/>
      <c r="S111" s="187"/>
      <c r="T111" s="21"/>
    </row>
    <row r="112" spans="1:20" s="2" customFormat="1" ht="15" customHeight="1" x14ac:dyDescent="0.25">
      <c r="A112" s="358">
        <v>43329</v>
      </c>
      <c r="B112" s="813" t="s">
        <v>1071</v>
      </c>
      <c r="C112" s="399" t="s">
        <v>10</v>
      </c>
      <c r="D112" s="385"/>
      <c r="E112" s="385">
        <v>0.1</v>
      </c>
      <c r="F112" s="16"/>
      <c r="G112" s="16"/>
      <c r="H112" s="17"/>
      <c r="I112" s="17"/>
      <c r="J112" s="398"/>
      <c r="K112" s="398"/>
      <c r="L112" s="18"/>
      <c r="M112" s="18"/>
      <c r="N112" s="19"/>
      <c r="O112" s="19"/>
      <c r="P112" s="41"/>
      <c r="Q112" s="41"/>
      <c r="R112" s="187"/>
      <c r="S112" s="187"/>
      <c r="T112" s="21"/>
    </row>
    <row r="113" spans="1:40" s="2" customFormat="1" ht="15" customHeight="1" x14ac:dyDescent="0.25">
      <c r="A113" s="358">
        <v>43329</v>
      </c>
      <c r="B113" s="813" t="s">
        <v>1072</v>
      </c>
      <c r="C113" s="399" t="s">
        <v>10</v>
      </c>
      <c r="D113" s="385"/>
      <c r="E113" s="385">
        <v>0.1</v>
      </c>
      <c r="F113" s="16"/>
      <c r="G113" s="16"/>
      <c r="H113" s="17"/>
      <c r="I113" s="17"/>
      <c r="J113" s="398"/>
      <c r="K113" s="398"/>
      <c r="L113" s="18"/>
      <c r="M113" s="18"/>
      <c r="N113" s="19"/>
      <c r="O113" s="19"/>
      <c r="P113" s="41"/>
      <c r="Q113" s="41"/>
      <c r="R113" s="187"/>
      <c r="S113" s="187"/>
      <c r="T113" s="21"/>
    </row>
    <row r="114" spans="1:40" s="2" customFormat="1" ht="15" customHeight="1" x14ac:dyDescent="0.25">
      <c r="A114" s="358">
        <v>43329</v>
      </c>
      <c r="B114" s="813" t="s">
        <v>1073</v>
      </c>
      <c r="C114" s="299" t="s">
        <v>10</v>
      </c>
      <c r="D114" s="385"/>
      <c r="E114" s="385">
        <v>3</v>
      </c>
      <c r="F114" s="16"/>
      <c r="G114" s="16"/>
      <c r="H114" s="17"/>
      <c r="I114" s="17"/>
      <c r="J114" s="262"/>
      <c r="K114" s="262"/>
      <c r="L114" s="18"/>
      <c r="M114" s="18"/>
      <c r="N114" s="19"/>
      <c r="O114" s="19"/>
      <c r="P114" s="41"/>
      <c r="Q114" s="41"/>
      <c r="R114" s="187"/>
      <c r="S114" s="187"/>
      <c r="T114" s="21"/>
    </row>
    <row r="115" spans="1:40" s="2" customFormat="1" ht="15" customHeight="1" x14ac:dyDescent="0.25">
      <c r="A115" s="358">
        <v>43329</v>
      </c>
      <c r="B115" s="813" t="s">
        <v>1074</v>
      </c>
      <c r="C115" s="299" t="s">
        <v>95</v>
      </c>
      <c r="D115" s="385"/>
      <c r="E115" s="385"/>
      <c r="F115" s="16"/>
      <c r="G115" s="16"/>
      <c r="H115" s="17"/>
      <c r="I115" s="17">
        <v>4</v>
      </c>
      <c r="J115" s="262"/>
      <c r="K115" s="262"/>
      <c r="L115" s="18"/>
      <c r="M115" s="18"/>
      <c r="N115" s="19"/>
      <c r="O115" s="19"/>
      <c r="P115" s="41"/>
      <c r="Q115" s="41"/>
      <c r="R115" s="187"/>
      <c r="S115" s="187"/>
      <c r="T115" s="21"/>
    </row>
    <row r="116" spans="1:40" s="2" customFormat="1" ht="15" customHeight="1" x14ac:dyDescent="0.25">
      <c r="A116" s="358">
        <v>43329</v>
      </c>
      <c r="B116" s="813" t="s">
        <v>1075</v>
      </c>
      <c r="C116" s="299" t="s">
        <v>10</v>
      </c>
      <c r="D116" s="385"/>
      <c r="E116" s="385">
        <v>2011</v>
      </c>
      <c r="F116" s="16"/>
      <c r="G116" s="16"/>
      <c r="H116" s="17"/>
      <c r="I116" s="17"/>
      <c r="J116" s="262"/>
      <c r="K116" s="262"/>
      <c r="L116" s="18"/>
      <c r="M116" s="18"/>
      <c r="N116" s="19"/>
      <c r="O116" s="19"/>
      <c r="P116" s="41"/>
      <c r="Q116" s="41"/>
      <c r="R116" s="187"/>
      <c r="S116" s="187"/>
      <c r="T116" s="21"/>
    </row>
    <row r="117" spans="1:40" s="2" customFormat="1" ht="15" customHeight="1" x14ac:dyDescent="0.25">
      <c r="A117" s="358">
        <v>43329</v>
      </c>
      <c r="B117" s="813" t="s">
        <v>1076</v>
      </c>
      <c r="C117" s="299" t="s">
        <v>10</v>
      </c>
      <c r="D117" s="385"/>
      <c r="E117" s="385">
        <v>756</v>
      </c>
      <c r="F117" s="16"/>
      <c r="G117" s="16"/>
      <c r="H117" s="17"/>
      <c r="I117" s="17">
        <v>111</v>
      </c>
      <c r="J117" s="262"/>
      <c r="K117" s="262"/>
      <c r="L117" s="18"/>
      <c r="M117" s="18"/>
      <c r="N117" s="19"/>
      <c r="O117" s="19"/>
      <c r="P117" s="41"/>
      <c r="Q117" s="41"/>
      <c r="R117" s="187"/>
      <c r="S117" s="187"/>
      <c r="T117" s="21"/>
    </row>
    <row r="118" spans="1:40" s="2" customFormat="1" ht="15" customHeight="1" x14ac:dyDescent="0.25">
      <c r="A118" s="358">
        <v>43329</v>
      </c>
      <c r="B118" s="813" t="s">
        <v>1077</v>
      </c>
      <c r="C118" s="299" t="s">
        <v>10</v>
      </c>
      <c r="D118" s="385"/>
      <c r="E118" s="385">
        <v>0.1</v>
      </c>
      <c r="F118" s="16"/>
      <c r="G118" s="16"/>
      <c r="H118" s="17"/>
      <c r="I118" s="17"/>
      <c r="J118" s="262"/>
      <c r="K118" s="262"/>
      <c r="L118" s="18"/>
      <c r="M118" s="18"/>
      <c r="N118" s="19"/>
      <c r="O118" s="19"/>
      <c r="P118" s="41"/>
      <c r="Q118" s="41"/>
      <c r="R118" s="187"/>
      <c r="S118" s="187"/>
      <c r="T118" s="21"/>
    </row>
    <row r="119" spans="1:40" s="2" customFormat="1" ht="15" customHeight="1" x14ac:dyDescent="0.25">
      <c r="A119" s="358">
        <v>43329</v>
      </c>
      <c r="B119" s="813" t="s">
        <v>1078</v>
      </c>
      <c r="C119" s="299" t="s">
        <v>10</v>
      </c>
      <c r="D119" s="385"/>
      <c r="E119" s="385">
        <v>0.25</v>
      </c>
      <c r="F119" s="16"/>
      <c r="G119" s="134"/>
      <c r="H119" s="17"/>
      <c r="I119" s="17"/>
      <c r="J119" s="262"/>
      <c r="K119" s="285"/>
      <c r="L119" s="18"/>
      <c r="M119" s="18"/>
      <c r="N119" s="19"/>
      <c r="O119" s="19"/>
      <c r="P119" s="41"/>
      <c r="Q119" s="41"/>
      <c r="R119" s="187"/>
      <c r="S119" s="187"/>
      <c r="T119" s="21"/>
    </row>
    <row r="120" spans="1:40" s="2" customFormat="1" ht="15" customHeight="1" x14ac:dyDescent="0.25">
      <c r="A120" s="358">
        <v>43329</v>
      </c>
      <c r="B120" s="813" t="s">
        <v>1079</v>
      </c>
      <c r="C120" s="299" t="s">
        <v>10</v>
      </c>
      <c r="D120" s="385"/>
      <c r="E120" s="385">
        <v>0.1</v>
      </c>
      <c r="F120" s="16"/>
      <c r="G120" s="134"/>
      <c r="H120" s="17"/>
      <c r="I120" s="17"/>
      <c r="J120" s="262"/>
      <c r="K120" s="262"/>
      <c r="L120" s="18"/>
      <c r="M120" s="18"/>
      <c r="N120" s="19"/>
      <c r="O120" s="19"/>
      <c r="P120" s="41"/>
      <c r="Q120" s="41"/>
      <c r="R120" s="187"/>
      <c r="S120" s="187"/>
      <c r="T120" s="21"/>
    </row>
    <row r="121" spans="1:40" s="2" customFormat="1" ht="15" customHeight="1" x14ac:dyDescent="0.25">
      <c r="A121" s="358">
        <v>43329</v>
      </c>
      <c r="B121" s="813" t="s">
        <v>1080</v>
      </c>
      <c r="C121" s="299" t="s">
        <v>12</v>
      </c>
      <c r="D121" s="385"/>
      <c r="E121" s="385">
        <v>269</v>
      </c>
      <c r="F121" s="16"/>
      <c r="G121" s="134"/>
      <c r="H121" s="17"/>
      <c r="I121" s="17">
        <v>198</v>
      </c>
      <c r="J121" s="262"/>
      <c r="K121" s="262"/>
      <c r="L121" s="18"/>
      <c r="M121" s="18"/>
      <c r="N121" s="19"/>
      <c r="O121" s="19"/>
      <c r="P121" s="41"/>
      <c r="Q121" s="41"/>
      <c r="R121" s="187"/>
      <c r="S121" s="187"/>
      <c r="T121" s="21"/>
    </row>
    <row r="122" spans="1:40" s="2" customFormat="1" ht="15" customHeight="1" x14ac:dyDescent="0.25">
      <c r="A122" s="358">
        <v>43332</v>
      </c>
      <c r="B122" s="944" t="s">
        <v>1136</v>
      </c>
      <c r="C122" s="299">
        <v>4</v>
      </c>
      <c r="D122" s="385"/>
      <c r="E122" s="385"/>
      <c r="F122" s="16"/>
      <c r="G122" s="134">
        <v>6</v>
      </c>
      <c r="H122" s="17"/>
      <c r="I122" s="17"/>
      <c r="J122" s="262"/>
      <c r="K122" s="262"/>
      <c r="L122" s="18"/>
      <c r="M122" s="18"/>
      <c r="N122" s="19"/>
      <c r="O122" s="19"/>
      <c r="P122" s="41"/>
      <c r="Q122" s="41"/>
      <c r="R122" s="187"/>
      <c r="S122" s="187"/>
      <c r="T122" s="21"/>
    </row>
    <row r="123" spans="1:40" s="2" customFormat="1" ht="15" customHeight="1" x14ac:dyDescent="0.25">
      <c r="A123" s="358">
        <v>43333</v>
      </c>
      <c r="B123" s="78" t="s">
        <v>1139</v>
      </c>
      <c r="C123" s="299">
        <v>1</v>
      </c>
      <c r="D123" s="385"/>
      <c r="E123" s="385"/>
      <c r="F123" s="16"/>
      <c r="G123" s="134">
        <v>0.1</v>
      </c>
      <c r="H123" s="17"/>
      <c r="I123" s="17"/>
      <c r="J123" s="262"/>
      <c r="K123" s="262"/>
      <c r="L123" s="18"/>
      <c r="M123" s="18"/>
      <c r="N123" s="19"/>
      <c r="O123" s="19"/>
      <c r="P123" s="41"/>
      <c r="Q123" s="41"/>
      <c r="R123" s="187"/>
      <c r="S123" s="187"/>
      <c r="T123" s="21"/>
    </row>
    <row r="124" spans="1:40" s="2" customFormat="1" ht="15" customHeight="1" x14ac:dyDescent="0.25">
      <c r="A124" s="358">
        <v>43334</v>
      </c>
      <c r="B124" s="78" t="s">
        <v>1153</v>
      </c>
      <c r="C124" s="299">
        <v>3</v>
      </c>
      <c r="D124" s="385"/>
      <c r="E124" s="385"/>
      <c r="F124" s="16"/>
      <c r="G124" s="16">
        <v>0.1</v>
      </c>
      <c r="H124" s="17"/>
      <c r="I124" s="17"/>
      <c r="J124" s="281"/>
      <c r="K124" s="262"/>
      <c r="L124" s="18"/>
      <c r="M124" s="18"/>
      <c r="N124" s="19"/>
      <c r="O124" s="19"/>
      <c r="P124" s="41"/>
      <c r="Q124" s="41"/>
      <c r="R124" s="187"/>
      <c r="S124" s="187"/>
      <c r="T124" s="21"/>
    </row>
    <row r="125" spans="1:40" s="2" customFormat="1" ht="15" customHeight="1" x14ac:dyDescent="0.25">
      <c r="A125" s="358">
        <v>43335</v>
      </c>
      <c r="B125" s="89" t="s">
        <v>1165</v>
      </c>
      <c r="C125" s="299" t="s">
        <v>63</v>
      </c>
      <c r="D125" s="385"/>
      <c r="E125" s="385"/>
      <c r="F125" s="16"/>
      <c r="G125" s="134"/>
      <c r="H125" s="17"/>
      <c r="I125" s="17"/>
      <c r="J125" s="262">
        <v>250</v>
      </c>
      <c r="K125" s="262"/>
      <c r="L125" s="18"/>
      <c r="M125" s="18"/>
      <c r="N125" s="19"/>
      <c r="O125" s="19"/>
      <c r="P125" s="41"/>
      <c r="Q125" s="41"/>
      <c r="R125" s="187"/>
      <c r="S125" s="187"/>
      <c r="T125" s="21"/>
    </row>
    <row r="126" spans="1:40" s="2" customFormat="1" ht="15" customHeight="1" x14ac:dyDescent="0.25">
      <c r="A126" s="358">
        <v>43337</v>
      </c>
      <c r="B126" s="78" t="s">
        <v>1181</v>
      </c>
      <c r="C126" s="299">
        <v>5</v>
      </c>
      <c r="D126" s="385"/>
      <c r="E126" s="385"/>
      <c r="F126" s="16">
        <v>4571</v>
      </c>
      <c r="G126" s="134"/>
      <c r="H126" s="17"/>
      <c r="I126" s="17"/>
      <c r="J126" s="262"/>
      <c r="K126" s="262"/>
      <c r="L126" s="18"/>
      <c r="M126" s="18"/>
      <c r="N126" s="19"/>
      <c r="O126" s="19"/>
      <c r="P126" s="41"/>
      <c r="Q126" s="41"/>
      <c r="R126" s="187"/>
      <c r="S126" s="187"/>
      <c r="T126" s="21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</row>
    <row r="127" spans="1:40" s="270" customFormat="1" ht="15" customHeight="1" x14ac:dyDescent="0.25">
      <c r="A127" s="358">
        <v>43340</v>
      </c>
      <c r="B127" s="813" t="s">
        <v>1194</v>
      </c>
      <c r="C127" s="299" t="s">
        <v>10</v>
      </c>
      <c r="D127" s="385">
        <v>0.1</v>
      </c>
      <c r="E127" s="385"/>
      <c r="F127" s="16"/>
      <c r="G127" s="16"/>
      <c r="H127" s="17"/>
      <c r="I127" s="17"/>
      <c r="J127" s="262"/>
      <c r="K127" s="262"/>
      <c r="L127" s="18"/>
      <c r="M127" s="18"/>
      <c r="N127" s="19"/>
      <c r="O127" s="19"/>
      <c r="P127" s="41"/>
      <c r="Q127" s="41"/>
      <c r="R127" s="187"/>
      <c r="S127" s="187"/>
      <c r="T127" s="2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s="2" customFormat="1" ht="15" customHeight="1" x14ac:dyDescent="0.25">
      <c r="A128" s="358">
        <v>43340</v>
      </c>
      <c r="B128" s="78" t="s">
        <v>1200</v>
      </c>
      <c r="C128" s="299" t="s">
        <v>95</v>
      </c>
      <c r="D128" s="385"/>
      <c r="E128" s="385"/>
      <c r="F128" s="16"/>
      <c r="G128" s="16"/>
      <c r="H128" s="17">
        <v>1.3</v>
      </c>
      <c r="I128" s="17"/>
      <c r="J128" s="262"/>
      <c r="K128" s="262"/>
      <c r="L128" s="18"/>
      <c r="M128" s="18"/>
      <c r="N128" s="19"/>
      <c r="O128" s="19"/>
      <c r="P128" s="41"/>
      <c r="Q128" s="41"/>
      <c r="R128" s="187"/>
      <c r="S128" s="187"/>
      <c r="T128" s="21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</row>
    <row r="129" spans="1:20" s="2" customFormat="1" ht="15" customHeight="1" x14ac:dyDescent="0.25">
      <c r="A129" s="358">
        <v>43341</v>
      </c>
      <c r="B129" s="813" t="s">
        <v>1204</v>
      </c>
      <c r="C129" s="299" t="s">
        <v>323</v>
      </c>
      <c r="D129" s="385"/>
      <c r="E129" s="385"/>
      <c r="F129" s="16"/>
      <c r="G129" s="16"/>
      <c r="H129" s="17"/>
      <c r="I129" s="17"/>
      <c r="J129" s="262">
        <v>1</v>
      </c>
      <c r="K129" s="262"/>
      <c r="L129" s="18"/>
      <c r="M129" s="18"/>
      <c r="N129" s="19"/>
      <c r="O129" s="19"/>
      <c r="P129" s="41"/>
      <c r="Q129" s="41"/>
      <c r="R129" s="187"/>
      <c r="S129" s="187"/>
      <c r="T129" s="21"/>
    </row>
    <row r="130" spans="1:20" s="2" customFormat="1" ht="15" customHeight="1" x14ac:dyDescent="0.25">
      <c r="A130" s="358">
        <v>43344</v>
      </c>
      <c r="B130" s="78" t="s">
        <v>1217</v>
      </c>
      <c r="C130" s="299" t="s">
        <v>205</v>
      </c>
      <c r="D130" s="385"/>
      <c r="E130" s="385"/>
      <c r="F130" s="16"/>
      <c r="G130" s="16"/>
      <c r="H130" s="17"/>
      <c r="I130" s="17"/>
      <c r="J130" s="262"/>
      <c r="K130" s="262"/>
      <c r="L130" s="18"/>
      <c r="M130" s="18"/>
      <c r="N130" s="19"/>
      <c r="O130" s="19"/>
      <c r="P130" s="41"/>
      <c r="Q130" s="41"/>
      <c r="R130" s="187">
        <v>0.1</v>
      </c>
      <c r="S130" s="187"/>
      <c r="T130" s="21"/>
    </row>
    <row r="131" spans="1:20" s="2" customFormat="1" ht="15" customHeight="1" x14ac:dyDescent="0.25">
      <c r="A131" s="358">
        <v>43344</v>
      </c>
      <c r="B131" s="78" t="s">
        <v>1218</v>
      </c>
      <c r="C131" s="299" t="s">
        <v>323</v>
      </c>
      <c r="D131" s="385"/>
      <c r="E131" s="385"/>
      <c r="F131" s="16"/>
      <c r="G131" s="16"/>
      <c r="H131" s="17"/>
      <c r="I131" s="17"/>
      <c r="J131" s="262">
        <v>0.1</v>
      </c>
      <c r="K131" s="262"/>
      <c r="L131" s="18"/>
      <c r="M131" s="18"/>
      <c r="N131" s="19"/>
      <c r="O131" s="19"/>
      <c r="P131" s="41"/>
      <c r="Q131" s="41"/>
      <c r="R131" s="187"/>
      <c r="S131" s="187"/>
      <c r="T131" s="21"/>
    </row>
    <row r="132" spans="1:20" s="2" customFormat="1" ht="15" customHeight="1" x14ac:dyDescent="0.25">
      <c r="A132" s="358">
        <v>43345</v>
      </c>
      <c r="B132" s="813" t="s">
        <v>1229</v>
      </c>
      <c r="C132" s="299" t="s">
        <v>10</v>
      </c>
      <c r="D132" s="385">
        <v>1.5</v>
      </c>
      <c r="E132" s="385"/>
      <c r="F132" s="16"/>
      <c r="G132" s="16"/>
      <c r="H132" s="17"/>
      <c r="I132" s="17"/>
      <c r="J132" s="262"/>
      <c r="K132" s="262"/>
      <c r="L132" s="18"/>
      <c r="M132" s="18"/>
      <c r="N132" s="19"/>
      <c r="O132" s="19"/>
      <c r="P132" s="41"/>
      <c r="Q132" s="41"/>
      <c r="R132" s="187"/>
      <c r="S132" s="187"/>
      <c r="T132" s="21"/>
    </row>
    <row r="133" spans="1:20" s="2" customFormat="1" ht="15" customHeight="1" x14ac:dyDescent="0.25">
      <c r="A133" s="358">
        <v>43346</v>
      </c>
      <c r="B133" s="813" t="s">
        <v>1232</v>
      </c>
      <c r="C133" s="299" t="s">
        <v>10</v>
      </c>
      <c r="D133" s="385">
        <v>844</v>
      </c>
      <c r="E133" s="385"/>
      <c r="F133" s="16"/>
      <c r="G133" s="16"/>
      <c r="H133" s="17"/>
      <c r="I133" s="17"/>
      <c r="J133" s="281"/>
      <c r="K133" s="262"/>
      <c r="L133" s="18"/>
      <c r="M133" s="18"/>
      <c r="N133" s="19"/>
      <c r="O133" s="19"/>
      <c r="P133" s="41"/>
      <c r="Q133" s="41"/>
      <c r="R133" s="187"/>
      <c r="S133" s="187"/>
      <c r="T133" s="21"/>
    </row>
    <row r="134" spans="1:20" s="2" customFormat="1" ht="15" customHeight="1" x14ac:dyDescent="0.25">
      <c r="A134" s="358">
        <v>43346</v>
      </c>
      <c r="B134" s="813" t="s">
        <v>1233</v>
      </c>
      <c r="C134" s="299" t="s">
        <v>323</v>
      </c>
      <c r="D134" s="385"/>
      <c r="E134" s="385"/>
      <c r="F134" s="16"/>
      <c r="G134" s="16"/>
      <c r="H134" s="17"/>
      <c r="I134" s="17"/>
      <c r="J134" s="262">
        <v>0.1</v>
      </c>
      <c r="K134" s="262"/>
      <c r="L134" s="18"/>
      <c r="M134" s="18"/>
      <c r="N134" s="19"/>
      <c r="O134" s="19"/>
      <c r="P134" s="41"/>
      <c r="Q134" s="41"/>
      <c r="R134" s="187"/>
      <c r="S134" s="187"/>
      <c r="T134" s="21"/>
    </row>
    <row r="135" spans="1:20" s="2" customFormat="1" ht="15" customHeight="1" x14ac:dyDescent="0.25">
      <c r="A135" s="358">
        <v>43349</v>
      </c>
      <c r="B135" s="78" t="s">
        <v>1251</v>
      </c>
      <c r="C135" s="299">
        <v>5</v>
      </c>
      <c r="D135" s="385"/>
      <c r="E135" s="385"/>
      <c r="F135" s="16"/>
      <c r="G135" s="16">
        <v>112</v>
      </c>
      <c r="H135" s="17"/>
      <c r="I135" s="17"/>
      <c r="J135" s="281"/>
      <c r="K135" s="262"/>
      <c r="L135" s="18"/>
      <c r="M135" s="18"/>
      <c r="N135" s="19"/>
      <c r="O135" s="19"/>
      <c r="P135" s="41"/>
      <c r="Q135" s="41"/>
      <c r="R135" s="187"/>
      <c r="S135" s="187"/>
      <c r="T135" s="21"/>
    </row>
    <row r="136" spans="1:20" s="2" customFormat="1" ht="15" customHeight="1" x14ac:dyDescent="0.25">
      <c r="A136" s="358">
        <v>43349</v>
      </c>
      <c r="B136" s="78" t="s">
        <v>1252</v>
      </c>
      <c r="C136" s="403">
        <v>1</v>
      </c>
      <c r="D136" s="385"/>
      <c r="E136" s="385"/>
      <c r="F136" s="16"/>
      <c r="G136" s="16">
        <v>0.1</v>
      </c>
      <c r="H136" s="17"/>
      <c r="I136" s="17"/>
      <c r="J136" s="281"/>
      <c r="K136" s="402"/>
      <c r="L136" s="18"/>
      <c r="M136" s="18"/>
      <c r="N136" s="19"/>
      <c r="O136" s="19"/>
      <c r="P136" s="41"/>
      <c r="Q136" s="41"/>
      <c r="R136" s="187"/>
      <c r="S136" s="187"/>
      <c r="T136" s="21"/>
    </row>
    <row r="137" spans="1:20" s="2" customFormat="1" ht="15" customHeight="1" x14ac:dyDescent="0.25">
      <c r="A137" s="358">
        <v>43349</v>
      </c>
      <c r="B137" s="78" t="s">
        <v>1253</v>
      </c>
      <c r="C137" s="403">
        <v>1</v>
      </c>
      <c r="D137" s="385"/>
      <c r="E137" s="385"/>
      <c r="F137" s="16"/>
      <c r="G137" s="16">
        <v>0.1</v>
      </c>
      <c r="H137" s="17"/>
      <c r="I137" s="17"/>
      <c r="J137" s="281"/>
      <c r="K137" s="402"/>
      <c r="L137" s="18"/>
      <c r="M137" s="18"/>
      <c r="N137" s="19"/>
      <c r="O137" s="19"/>
      <c r="P137" s="41"/>
      <c r="Q137" s="41"/>
      <c r="R137" s="187"/>
      <c r="S137" s="187"/>
      <c r="T137" s="21"/>
    </row>
    <row r="138" spans="1:20" s="2" customFormat="1" ht="15" customHeight="1" x14ac:dyDescent="0.25">
      <c r="A138" s="358">
        <v>43350</v>
      </c>
      <c r="B138" s="78" t="s">
        <v>1254</v>
      </c>
      <c r="C138" s="299">
        <v>3</v>
      </c>
      <c r="D138" s="385"/>
      <c r="E138" s="385"/>
      <c r="F138" s="16"/>
      <c r="G138" s="16">
        <v>6.1</v>
      </c>
      <c r="H138" s="17"/>
      <c r="I138" s="17"/>
      <c r="J138" s="281"/>
      <c r="K138" s="286"/>
      <c r="L138" s="18"/>
      <c r="M138" s="18"/>
      <c r="N138" s="19"/>
      <c r="O138" s="19"/>
      <c r="P138" s="41"/>
      <c r="Q138" s="41"/>
      <c r="R138" s="187"/>
      <c r="S138" s="187"/>
      <c r="T138" s="21"/>
    </row>
    <row r="139" spans="1:20" s="2" customFormat="1" ht="15" customHeight="1" x14ac:dyDescent="0.25">
      <c r="A139" s="358">
        <v>43350</v>
      </c>
      <c r="B139" s="78" t="s">
        <v>1255</v>
      </c>
      <c r="C139" s="299">
        <v>3</v>
      </c>
      <c r="D139" s="385"/>
      <c r="E139" s="385"/>
      <c r="F139" s="16"/>
      <c r="G139" s="16">
        <v>26.4</v>
      </c>
      <c r="H139" s="17"/>
      <c r="I139" s="17"/>
      <c r="J139" s="262"/>
      <c r="K139" s="262"/>
      <c r="L139" s="18"/>
      <c r="M139" s="18"/>
      <c r="N139" s="19"/>
      <c r="O139" s="19"/>
      <c r="P139" s="41"/>
      <c r="Q139" s="41"/>
      <c r="R139" s="187"/>
      <c r="S139" s="187"/>
      <c r="T139" s="21"/>
    </row>
    <row r="140" spans="1:20" s="2" customFormat="1" ht="15" customHeight="1" x14ac:dyDescent="0.25">
      <c r="A140" s="358">
        <v>43350</v>
      </c>
      <c r="B140" s="78" t="s">
        <v>1256</v>
      </c>
      <c r="C140" s="299">
        <v>3</v>
      </c>
      <c r="D140" s="385"/>
      <c r="E140" s="385"/>
      <c r="F140" s="16"/>
      <c r="G140" s="16">
        <v>0.3</v>
      </c>
      <c r="H140" s="17"/>
      <c r="I140" s="17"/>
      <c r="J140" s="262"/>
      <c r="K140" s="262"/>
      <c r="L140" s="18"/>
      <c r="M140" s="18"/>
      <c r="N140" s="19"/>
      <c r="O140" s="19"/>
      <c r="P140" s="41"/>
      <c r="Q140" s="41"/>
      <c r="R140" s="187"/>
      <c r="S140" s="187"/>
      <c r="T140" s="21"/>
    </row>
    <row r="141" spans="1:20" s="2" customFormat="1" ht="15" customHeight="1" x14ac:dyDescent="0.25">
      <c r="A141" s="358">
        <v>43351</v>
      </c>
      <c r="B141" s="78" t="s">
        <v>1274</v>
      </c>
      <c r="C141" s="299">
        <v>4</v>
      </c>
      <c r="D141" s="385"/>
      <c r="E141" s="385"/>
      <c r="F141" s="16">
        <v>0.1</v>
      </c>
      <c r="G141" s="16"/>
      <c r="H141" s="17"/>
      <c r="I141" s="17"/>
      <c r="J141" s="262"/>
      <c r="K141" s="262"/>
      <c r="L141" s="18"/>
      <c r="M141" s="18"/>
      <c r="N141" s="19"/>
      <c r="O141" s="19"/>
      <c r="P141" s="41"/>
      <c r="Q141" s="41"/>
      <c r="R141" s="187"/>
      <c r="S141" s="187"/>
      <c r="T141" s="21"/>
    </row>
    <row r="142" spans="1:20" s="2" customFormat="1" ht="15" customHeight="1" x14ac:dyDescent="0.25">
      <c r="A142" s="358">
        <v>43355</v>
      </c>
      <c r="B142" s="813" t="s">
        <v>1288</v>
      </c>
      <c r="C142" s="299" t="s">
        <v>323</v>
      </c>
      <c r="D142" s="385">
        <v>0.1</v>
      </c>
      <c r="E142" s="385"/>
      <c r="F142" s="16"/>
      <c r="G142" s="16"/>
      <c r="H142" s="17"/>
      <c r="I142" s="17"/>
      <c r="J142" s="262">
        <v>3</v>
      </c>
      <c r="K142" s="262"/>
      <c r="L142" s="18"/>
      <c r="M142" s="18"/>
      <c r="N142" s="19"/>
      <c r="O142" s="19"/>
      <c r="P142" s="41"/>
      <c r="Q142" s="41"/>
      <c r="R142" s="187"/>
      <c r="S142" s="187"/>
      <c r="T142" s="21"/>
    </row>
    <row r="143" spans="1:20" s="2" customFormat="1" ht="15" customHeight="1" x14ac:dyDescent="0.25">
      <c r="A143" s="358">
        <v>43356</v>
      </c>
      <c r="B143" s="78" t="s">
        <v>1292</v>
      </c>
      <c r="C143" s="299">
        <v>4</v>
      </c>
      <c r="D143" s="385"/>
      <c r="E143" s="385"/>
      <c r="F143" s="16">
        <v>0.1</v>
      </c>
      <c r="G143" s="16"/>
      <c r="H143" s="17"/>
      <c r="I143" s="17"/>
      <c r="J143" s="262"/>
      <c r="K143" s="262"/>
      <c r="L143" s="18"/>
      <c r="M143" s="18"/>
      <c r="N143" s="19"/>
      <c r="O143" s="19"/>
      <c r="P143" s="41"/>
      <c r="Q143" s="41"/>
      <c r="R143" s="187"/>
      <c r="S143" s="187"/>
      <c r="T143" s="21"/>
    </row>
    <row r="144" spans="1:20" s="2" customFormat="1" ht="15.75" customHeight="1" x14ac:dyDescent="0.25">
      <c r="A144" s="358">
        <v>43357</v>
      </c>
      <c r="B144" s="813" t="s">
        <v>1480</v>
      </c>
      <c r="C144" s="299" t="s">
        <v>10</v>
      </c>
      <c r="D144" s="385">
        <v>0.1</v>
      </c>
      <c r="E144" s="385"/>
      <c r="F144" s="16"/>
      <c r="G144" s="16"/>
      <c r="H144" s="17"/>
      <c r="I144" s="17"/>
      <c r="J144" s="262"/>
      <c r="K144" s="262"/>
      <c r="L144" s="18"/>
      <c r="M144" s="18"/>
      <c r="N144" s="19"/>
      <c r="O144" s="19"/>
      <c r="P144" s="41"/>
      <c r="Q144" s="41"/>
      <c r="R144" s="187"/>
      <c r="S144" s="187"/>
      <c r="T144" s="21"/>
    </row>
    <row r="145" spans="1:20" s="2" customFormat="1" ht="15" customHeight="1" x14ac:dyDescent="0.25">
      <c r="A145" s="358">
        <v>43358</v>
      </c>
      <c r="B145" s="138" t="s">
        <v>1298</v>
      </c>
      <c r="C145" s="299" t="s">
        <v>323</v>
      </c>
      <c r="D145" s="385"/>
      <c r="E145" s="385"/>
      <c r="F145" s="16"/>
      <c r="G145" s="134"/>
      <c r="H145" s="17"/>
      <c r="I145" s="17"/>
      <c r="J145" s="262">
        <v>0.13</v>
      </c>
      <c r="K145" s="262"/>
      <c r="L145" s="18"/>
      <c r="M145" s="18"/>
      <c r="N145" s="19"/>
      <c r="O145" s="19"/>
      <c r="P145" s="41"/>
      <c r="Q145" s="41"/>
      <c r="R145" s="187"/>
      <c r="S145" s="187"/>
      <c r="T145" s="21"/>
    </row>
    <row r="146" spans="1:20" s="2" customFormat="1" ht="15" customHeight="1" x14ac:dyDescent="0.25">
      <c r="A146" s="358">
        <v>43360</v>
      </c>
      <c r="B146" s="813" t="s">
        <v>1323</v>
      </c>
      <c r="C146" s="299" t="s">
        <v>13</v>
      </c>
      <c r="D146" s="385">
        <v>33</v>
      </c>
      <c r="E146" s="385"/>
      <c r="F146" s="16"/>
      <c r="G146" s="16"/>
      <c r="H146" s="17"/>
      <c r="I146" s="17"/>
      <c r="J146" s="262">
        <v>60</v>
      </c>
      <c r="K146" s="262"/>
      <c r="L146" s="18"/>
      <c r="M146" s="18"/>
      <c r="N146" s="19"/>
      <c r="O146" s="19"/>
      <c r="P146" s="41"/>
      <c r="Q146" s="41"/>
      <c r="R146" s="187"/>
      <c r="S146" s="187"/>
      <c r="T146" s="21"/>
    </row>
    <row r="147" spans="1:20" s="2" customFormat="1" ht="15" customHeight="1" x14ac:dyDescent="0.25">
      <c r="A147" s="358">
        <v>43361</v>
      </c>
      <c r="B147" s="17" t="s">
        <v>1328</v>
      </c>
      <c r="C147" s="299" t="s">
        <v>323</v>
      </c>
      <c r="D147" s="386"/>
      <c r="E147" s="385"/>
      <c r="F147" s="16"/>
      <c r="G147" s="16"/>
      <c r="H147" s="17"/>
      <c r="I147" s="17"/>
      <c r="J147" s="262">
        <v>7.5</v>
      </c>
      <c r="K147" s="262"/>
      <c r="L147" s="18"/>
      <c r="M147" s="18"/>
      <c r="N147" s="19"/>
      <c r="O147" s="19"/>
      <c r="P147" s="41"/>
      <c r="Q147" s="41"/>
      <c r="R147" s="187"/>
      <c r="S147" s="187"/>
      <c r="T147" s="21"/>
    </row>
    <row r="148" spans="1:20" s="2" customFormat="1" ht="15" customHeight="1" x14ac:dyDescent="0.25">
      <c r="A148" s="358">
        <v>43364</v>
      </c>
      <c r="B148" s="78" t="s">
        <v>1332</v>
      </c>
      <c r="C148" s="299">
        <v>4</v>
      </c>
      <c r="D148" s="385"/>
      <c r="E148" s="385"/>
      <c r="F148" s="16">
        <v>0.1</v>
      </c>
      <c r="G148" s="16"/>
      <c r="H148" s="17"/>
      <c r="I148" s="17"/>
      <c r="J148" s="262"/>
      <c r="K148" s="262"/>
      <c r="L148" s="18"/>
      <c r="M148" s="18"/>
      <c r="N148" s="19"/>
      <c r="O148" s="19"/>
      <c r="P148" s="41"/>
      <c r="Q148" s="41"/>
      <c r="R148" s="187"/>
      <c r="S148" s="187"/>
      <c r="T148" s="21"/>
    </row>
    <row r="149" spans="1:20" s="2" customFormat="1" ht="15" customHeight="1" x14ac:dyDescent="0.25">
      <c r="A149" s="358">
        <v>43364</v>
      </c>
      <c r="B149" s="813" t="s">
        <v>1336</v>
      </c>
      <c r="C149" s="299" t="s">
        <v>10</v>
      </c>
      <c r="D149" s="385">
        <v>12</v>
      </c>
      <c r="E149" s="385"/>
      <c r="F149" s="16"/>
      <c r="G149" s="134"/>
      <c r="H149" s="17">
        <v>89</v>
      </c>
      <c r="I149" s="17"/>
      <c r="J149" s="262">
        <v>24</v>
      </c>
      <c r="K149" s="262"/>
      <c r="L149" s="18"/>
      <c r="M149" s="18"/>
      <c r="N149" s="19"/>
      <c r="O149" s="19"/>
      <c r="P149" s="41"/>
      <c r="Q149" s="41"/>
      <c r="R149" s="187"/>
      <c r="S149" s="187"/>
      <c r="T149" s="21"/>
    </row>
    <row r="150" spans="1:20" s="2" customFormat="1" ht="15" customHeight="1" x14ac:dyDescent="0.25">
      <c r="A150" s="358">
        <v>43367</v>
      </c>
      <c r="B150" s="17" t="s">
        <v>1352</v>
      </c>
      <c r="C150" s="299">
        <v>6</v>
      </c>
      <c r="D150" s="385"/>
      <c r="E150" s="385"/>
      <c r="F150" s="16">
        <v>0.41</v>
      </c>
      <c r="G150" s="16"/>
      <c r="H150" s="17"/>
      <c r="I150" s="17"/>
      <c r="J150" s="262"/>
      <c r="K150" s="262"/>
      <c r="L150" s="18"/>
      <c r="M150" s="18"/>
      <c r="N150" s="19"/>
      <c r="O150" s="19"/>
      <c r="P150" s="41"/>
      <c r="Q150" s="41"/>
      <c r="R150" s="187"/>
      <c r="S150" s="187"/>
      <c r="T150" s="21"/>
    </row>
    <row r="151" spans="1:20" s="2" customFormat="1" ht="15" customHeight="1" x14ac:dyDescent="0.25">
      <c r="A151" s="358">
        <v>43367</v>
      </c>
      <c r="B151" s="813" t="s">
        <v>1358</v>
      </c>
      <c r="C151" s="299" t="s">
        <v>206</v>
      </c>
      <c r="D151" s="386"/>
      <c r="E151" s="385"/>
      <c r="F151" s="16"/>
      <c r="G151" s="16"/>
      <c r="H151" s="17"/>
      <c r="I151" s="17"/>
      <c r="J151" s="262"/>
      <c r="K151" s="262"/>
      <c r="L151" s="18"/>
      <c r="M151" s="18"/>
      <c r="N151" s="19"/>
      <c r="O151" s="19"/>
      <c r="P151" s="41">
        <v>0.1</v>
      </c>
      <c r="Q151" s="41"/>
      <c r="R151" s="187"/>
      <c r="S151" s="187"/>
      <c r="T151" s="21"/>
    </row>
    <row r="152" spans="1:20" s="2" customFormat="1" ht="15" customHeight="1" x14ac:dyDescent="0.25">
      <c r="A152" s="358">
        <v>43370</v>
      </c>
      <c r="B152" s="813" t="s">
        <v>1380</v>
      </c>
      <c r="C152" s="299" t="s">
        <v>323</v>
      </c>
      <c r="D152" s="385">
        <v>49</v>
      </c>
      <c r="E152" s="385"/>
      <c r="F152" s="16"/>
      <c r="G152" s="16"/>
      <c r="H152" s="17"/>
      <c r="I152" s="17"/>
      <c r="J152" s="262">
        <v>0.1</v>
      </c>
      <c r="K152" s="262"/>
      <c r="L152" s="18"/>
      <c r="M152" s="18"/>
      <c r="N152" s="19"/>
      <c r="O152" s="19"/>
      <c r="P152" s="41"/>
      <c r="Q152" s="41"/>
      <c r="R152" s="187"/>
      <c r="S152" s="187"/>
      <c r="T152" s="21"/>
    </row>
    <row r="153" spans="1:20" s="2" customFormat="1" ht="15" customHeight="1" x14ac:dyDescent="0.25">
      <c r="A153" s="358">
        <v>43371</v>
      </c>
      <c r="B153" s="813" t="s">
        <v>1381</v>
      </c>
      <c r="C153" s="299" t="s">
        <v>10</v>
      </c>
      <c r="D153" s="385">
        <v>1013</v>
      </c>
      <c r="E153" s="385"/>
      <c r="F153" s="16"/>
      <c r="G153" s="16"/>
      <c r="H153" s="17">
        <v>27</v>
      </c>
      <c r="I153" s="17"/>
      <c r="J153" s="262">
        <v>73</v>
      </c>
      <c r="K153" s="262"/>
      <c r="L153" s="18"/>
      <c r="M153" s="18"/>
      <c r="N153" s="19"/>
      <c r="O153" s="19"/>
      <c r="P153" s="41"/>
      <c r="Q153" s="41"/>
      <c r="R153" s="187"/>
      <c r="S153" s="187"/>
      <c r="T153" s="21"/>
    </row>
    <row r="154" spans="1:20" s="2" customFormat="1" ht="15" customHeight="1" x14ac:dyDescent="0.25">
      <c r="A154" s="358">
        <v>43371</v>
      </c>
      <c r="B154" s="813" t="s">
        <v>1382</v>
      </c>
      <c r="C154" s="337" t="s">
        <v>10</v>
      </c>
      <c r="D154" s="385">
        <v>3.7</v>
      </c>
      <c r="E154" s="385"/>
      <c r="F154" s="16"/>
      <c r="G154" s="16"/>
      <c r="H154" s="17"/>
      <c r="I154" s="17"/>
      <c r="J154" s="262"/>
      <c r="K154" s="262"/>
      <c r="L154" s="18"/>
      <c r="M154" s="18"/>
      <c r="N154" s="19"/>
      <c r="O154" s="19"/>
      <c r="P154" s="41"/>
      <c r="Q154" s="41"/>
      <c r="R154" s="187"/>
      <c r="S154" s="187"/>
      <c r="T154" s="21"/>
    </row>
    <row r="155" spans="1:20" s="2" customFormat="1" ht="15" customHeight="1" x14ac:dyDescent="0.25">
      <c r="A155" s="358">
        <v>43372</v>
      </c>
      <c r="B155" s="78" t="s">
        <v>1392</v>
      </c>
      <c r="C155" s="337">
        <v>5</v>
      </c>
      <c r="D155" s="385"/>
      <c r="E155" s="385"/>
      <c r="F155" s="16">
        <v>0.1</v>
      </c>
      <c r="G155" s="16"/>
      <c r="H155" s="17"/>
      <c r="I155" s="17"/>
      <c r="J155" s="262"/>
      <c r="K155" s="262"/>
      <c r="L155" s="18"/>
      <c r="M155" s="18"/>
      <c r="N155" s="19"/>
      <c r="O155" s="19"/>
      <c r="P155" s="41"/>
      <c r="Q155" s="41"/>
      <c r="R155" s="187"/>
      <c r="S155" s="187"/>
      <c r="T155" s="21"/>
    </row>
    <row r="156" spans="1:20" s="2" customFormat="1" ht="15" customHeight="1" x14ac:dyDescent="0.25">
      <c r="A156" s="358">
        <v>43373</v>
      </c>
      <c r="B156" s="89" t="s">
        <v>1397</v>
      </c>
      <c r="C156" s="337" t="s">
        <v>63</v>
      </c>
      <c r="D156" s="385"/>
      <c r="E156" s="385"/>
      <c r="F156" s="16"/>
      <c r="G156" s="16"/>
      <c r="H156" s="17"/>
      <c r="I156" s="17"/>
      <c r="J156" s="262">
        <v>70</v>
      </c>
      <c r="K156" s="262"/>
      <c r="L156" s="18"/>
      <c r="M156" s="18"/>
      <c r="N156" s="19"/>
      <c r="O156" s="19"/>
      <c r="P156" s="41"/>
      <c r="Q156" s="41"/>
      <c r="R156" s="187"/>
      <c r="S156" s="187"/>
      <c r="T156" s="21"/>
    </row>
    <row r="157" spans="1:20" s="2" customFormat="1" ht="15" customHeight="1" x14ac:dyDescent="0.25">
      <c r="A157" s="358">
        <v>43374</v>
      </c>
      <c r="B157" s="78" t="s">
        <v>1401</v>
      </c>
      <c r="C157" s="299">
        <v>1</v>
      </c>
      <c r="D157" s="385"/>
      <c r="E157" s="385"/>
      <c r="F157" s="16">
        <v>0.12</v>
      </c>
      <c r="G157" s="16"/>
      <c r="H157" s="17"/>
      <c r="I157" s="17"/>
      <c r="J157" s="262"/>
      <c r="K157" s="262"/>
      <c r="L157" s="18"/>
      <c r="M157" s="18"/>
      <c r="N157" s="19"/>
      <c r="O157" s="19"/>
      <c r="P157" s="41"/>
      <c r="Q157" s="41"/>
      <c r="R157" s="187"/>
      <c r="S157" s="187"/>
      <c r="T157" s="21"/>
    </row>
    <row r="158" spans="1:20" s="2" customFormat="1" ht="15" customHeight="1" x14ac:dyDescent="0.25">
      <c r="A158" s="358">
        <v>43389</v>
      </c>
      <c r="B158" s="813" t="s">
        <v>521</v>
      </c>
      <c r="C158" s="299" t="s">
        <v>10</v>
      </c>
      <c r="D158" s="385">
        <v>14</v>
      </c>
      <c r="E158" s="385"/>
      <c r="F158" s="16"/>
      <c r="G158" s="16"/>
      <c r="H158" s="17"/>
      <c r="I158" s="17"/>
      <c r="J158" s="262"/>
      <c r="K158" s="262"/>
      <c r="L158" s="18"/>
      <c r="M158" s="18"/>
      <c r="N158" s="19"/>
      <c r="O158" s="19"/>
      <c r="P158" s="41"/>
      <c r="Q158" s="41"/>
      <c r="R158" s="187"/>
      <c r="S158" s="187"/>
      <c r="T158" s="21"/>
    </row>
    <row r="159" spans="1:20" s="2" customFormat="1" ht="15" customHeight="1" x14ac:dyDescent="0.25">
      <c r="A159" s="358">
        <v>43394</v>
      </c>
      <c r="B159" s="813" t="s">
        <v>1473</v>
      </c>
      <c r="C159" s="299" t="s">
        <v>13</v>
      </c>
      <c r="D159" s="385">
        <v>23</v>
      </c>
      <c r="E159" s="385"/>
      <c r="F159" s="16"/>
      <c r="G159" s="16"/>
      <c r="H159" s="17"/>
      <c r="I159" s="17"/>
      <c r="J159" s="262"/>
      <c r="K159" s="262"/>
      <c r="L159" s="18"/>
      <c r="M159" s="18"/>
      <c r="N159" s="19"/>
      <c r="O159" s="19"/>
      <c r="P159" s="41"/>
      <c r="Q159" s="41"/>
      <c r="R159" s="187"/>
      <c r="S159" s="187"/>
      <c r="T159" s="21"/>
    </row>
    <row r="160" spans="1:20" s="2" customFormat="1" ht="15" customHeight="1" x14ac:dyDescent="0.25">
      <c r="A160" s="358">
        <v>43396</v>
      </c>
      <c r="B160" s="813" t="s">
        <v>1474</v>
      </c>
      <c r="C160" s="299" t="s">
        <v>11</v>
      </c>
      <c r="D160" s="385">
        <v>1</v>
      </c>
      <c r="E160" s="385"/>
      <c r="F160" s="16"/>
      <c r="G160" s="134"/>
      <c r="H160" s="17"/>
      <c r="I160" s="17"/>
      <c r="J160" s="262"/>
      <c r="K160" s="262"/>
      <c r="L160" s="18"/>
      <c r="M160" s="18"/>
      <c r="N160" s="19"/>
      <c r="O160" s="19"/>
      <c r="P160" s="41"/>
      <c r="Q160" s="41"/>
      <c r="R160" s="187"/>
      <c r="S160" s="187"/>
      <c r="T160" s="21"/>
    </row>
    <row r="161" spans="1:20" s="2" customFormat="1" ht="15" customHeight="1" x14ac:dyDescent="0.25">
      <c r="A161" s="358">
        <v>43415</v>
      </c>
      <c r="B161" s="813" t="s">
        <v>1520</v>
      </c>
      <c r="C161" s="299" t="s">
        <v>323</v>
      </c>
      <c r="D161" s="385">
        <v>2387</v>
      </c>
      <c r="E161" s="385"/>
      <c r="F161" s="16"/>
      <c r="G161" s="16"/>
      <c r="H161" s="17">
        <v>303</v>
      </c>
      <c r="I161" s="17"/>
      <c r="J161" s="262">
        <v>46</v>
      </c>
      <c r="K161" s="262"/>
      <c r="L161" s="18"/>
      <c r="M161" s="18"/>
      <c r="N161" s="19"/>
      <c r="O161" s="19"/>
      <c r="P161" s="41"/>
      <c r="Q161" s="41"/>
      <c r="R161" s="187"/>
      <c r="S161" s="187"/>
      <c r="T161" s="21"/>
    </row>
    <row r="162" spans="1:20" s="2" customFormat="1" ht="15" customHeight="1" x14ac:dyDescent="0.25">
      <c r="A162" s="358">
        <v>43415</v>
      </c>
      <c r="B162" s="813" t="s">
        <v>1521</v>
      </c>
      <c r="C162" s="299" t="s">
        <v>10</v>
      </c>
      <c r="D162" s="385">
        <v>60</v>
      </c>
      <c r="E162" s="385"/>
      <c r="F162" s="16"/>
      <c r="G162" s="16"/>
      <c r="H162" s="17"/>
      <c r="I162" s="17"/>
      <c r="J162" s="262"/>
      <c r="K162" s="262"/>
      <c r="L162" s="18"/>
      <c r="M162" s="18"/>
      <c r="N162" s="19"/>
      <c r="O162" s="19"/>
      <c r="P162" s="41"/>
      <c r="Q162" s="41"/>
      <c r="R162" s="187"/>
      <c r="S162" s="187"/>
      <c r="T162" s="21"/>
    </row>
    <row r="163" spans="1:20" s="2" customFormat="1" ht="15" customHeight="1" x14ac:dyDescent="0.25">
      <c r="A163" s="358"/>
      <c r="B163" s="729"/>
      <c r="C163" s="299"/>
      <c r="D163" s="385"/>
      <c r="E163" s="385"/>
      <c r="F163" s="16"/>
      <c r="G163" s="16"/>
      <c r="H163" s="17"/>
      <c r="I163" s="17"/>
      <c r="J163" s="262"/>
      <c r="K163" s="262"/>
      <c r="L163" s="18"/>
      <c r="M163" s="18"/>
      <c r="N163" s="19"/>
      <c r="O163" s="19"/>
      <c r="P163" s="41"/>
      <c r="Q163" s="41"/>
      <c r="R163" s="187"/>
      <c r="S163" s="187"/>
      <c r="T163" s="21"/>
    </row>
    <row r="164" spans="1:20" s="2" customFormat="1" ht="15" customHeight="1" x14ac:dyDescent="0.25">
      <c r="A164" s="358"/>
      <c r="B164" s="729"/>
      <c r="C164" s="299"/>
      <c r="D164" s="385"/>
      <c r="E164" s="385"/>
      <c r="F164" s="16"/>
      <c r="G164" s="16"/>
      <c r="H164" s="17"/>
      <c r="I164" s="17"/>
      <c r="J164" s="262"/>
      <c r="K164" s="262"/>
      <c r="L164" s="18"/>
      <c r="M164" s="18"/>
      <c r="N164" s="19"/>
      <c r="O164" s="19"/>
      <c r="P164" s="41"/>
      <c r="Q164" s="41"/>
      <c r="R164" s="187"/>
      <c r="S164" s="187"/>
      <c r="T164" s="21"/>
    </row>
    <row r="165" spans="1:20" s="2" customFormat="1" ht="15" customHeight="1" x14ac:dyDescent="0.25">
      <c r="A165" s="358"/>
      <c r="B165" s="729"/>
      <c r="C165" s="299"/>
      <c r="D165" s="385"/>
      <c r="E165" s="385"/>
      <c r="F165" s="16"/>
      <c r="G165" s="16"/>
      <c r="H165" s="17"/>
      <c r="I165" s="17"/>
      <c r="J165" s="262"/>
      <c r="K165" s="262"/>
      <c r="L165" s="18"/>
      <c r="M165" s="18"/>
      <c r="N165" s="19"/>
      <c r="O165" s="19"/>
      <c r="P165" s="41"/>
      <c r="Q165" s="41"/>
      <c r="R165" s="187"/>
      <c r="S165" s="187"/>
      <c r="T165" s="21"/>
    </row>
    <row r="166" spans="1:20" s="2" customFormat="1" ht="15" customHeight="1" x14ac:dyDescent="0.25">
      <c r="A166" s="358"/>
      <c r="B166" s="729"/>
      <c r="C166" s="299"/>
      <c r="D166" s="385"/>
      <c r="E166" s="385"/>
      <c r="F166" s="16"/>
      <c r="G166" s="16"/>
      <c r="H166" s="17"/>
      <c r="I166" s="17"/>
      <c r="J166" s="262"/>
      <c r="K166" s="262"/>
      <c r="L166" s="18"/>
      <c r="M166" s="18"/>
      <c r="N166" s="19"/>
      <c r="O166" s="19"/>
      <c r="P166" s="41"/>
      <c r="Q166" s="41"/>
      <c r="R166" s="187"/>
      <c r="S166" s="187"/>
      <c r="T166" s="21"/>
    </row>
    <row r="167" spans="1:20" s="2" customFormat="1" ht="15" customHeight="1" x14ac:dyDescent="0.25">
      <c r="A167" s="358"/>
      <c r="B167" s="729"/>
      <c r="C167" s="299"/>
      <c r="D167" s="385"/>
      <c r="E167" s="385"/>
      <c r="F167" s="16"/>
      <c r="G167" s="16"/>
      <c r="H167" s="17"/>
      <c r="I167" s="17"/>
      <c r="J167" s="262"/>
      <c r="K167" s="262"/>
      <c r="L167" s="18"/>
      <c r="M167" s="18"/>
      <c r="N167" s="19"/>
      <c r="O167" s="19"/>
      <c r="P167" s="41"/>
      <c r="Q167" s="41"/>
      <c r="R167" s="187"/>
      <c r="S167" s="187"/>
      <c r="T167" s="21"/>
    </row>
    <row r="168" spans="1:20" s="2" customFormat="1" ht="15" customHeight="1" x14ac:dyDescent="0.25">
      <c r="A168" s="358"/>
      <c r="B168" s="729"/>
      <c r="C168" s="299"/>
      <c r="D168" s="385"/>
      <c r="E168" s="385"/>
      <c r="F168" s="16"/>
      <c r="G168" s="16"/>
      <c r="H168" s="17"/>
      <c r="I168" s="17"/>
      <c r="J168" s="262"/>
      <c r="K168" s="281"/>
      <c r="L168" s="18"/>
      <c r="M168" s="18"/>
      <c r="N168" s="19"/>
      <c r="O168" s="19"/>
      <c r="P168" s="41"/>
      <c r="Q168" s="41"/>
      <c r="R168" s="187"/>
      <c r="S168" s="187"/>
      <c r="T168" s="21"/>
    </row>
    <row r="169" spans="1:20" s="2" customFormat="1" ht="15" customHeight="1" x14ac:dyDescent="0.25">
      <c r="A169" s="358"/>
      <c r="B169" s="729"/>
      <c r="C169" s="299"/>
      <c r="D169" s="385"/>
      <c r="E169" s="385"/>
      <c r="F169" s="16"/>
      <c r="G169" s="134"/>
      <c r="H169" s="17"/>
      <c r="I169" s="17"/>
      <c r="J169" s="262"/>
      <c r="K169" s="262"/>
      <c r="L169" s="18"/>
      <c r="M169" s="18"/>
      <c r="N169" s="19"/>
      <c r="O169" s="19"/>
      <c r="P169" s="41"/>
      <c r="Q169" s="41"/>
      <c r="R169" s="187"/>
      <c r="S169" s="187"/>
      <c r="T169" s="21"/>
    </row>
    <row r="170" spans="1:20" s="2" customFormat="1" ht="15" customHeight="1" x14ac:dyDescent="0.25">
      <c r="A170" s="358"/>
      <c r="B170" s="729"/>
      <c r="C170" s="299"/>
      <c r="D170" s="385"/>
      <c r="E170" s="386"/>
      <c r="F170" s="16"/>
      <c r="G170" s="16"/>
      <c r="H170" s="17"/>
      <c r="I170" s="17"/>
      <c r="J170" s="262"/>
      <c r="K170" s="262"/>
      <c r="L170" s="18"/>
      <c r="M170" s="18"/>
      <c r="N170" s="19"/>
      <c r="O170" s="19"/>
      <c r="P170" s="41"/>
      <c r="Q170" s="41"/>
      <c r="R170" s="187"/>
      <c r="S170" s="187"/>
      <c r="T170" s="21"/>
    </row>
    <row r="171" spans="1:20" s="2" customFormat="1" ht="15" customHeight="1" x14ac:dyDescent="0.25">
      <c r="A171" s="358"/>
      <c r="B171" s="729"/>
      <c r="C171" s="299"/>
      <c r="D171" s="385"/>
      <c r="E171" s="385"/>
      <c r="F171" s="16"/>
      <c r="G171" s="16"/>
      <c r="H171" s="17"/>
      <c r="I171" s="17"/>
      <c r="J171" s="262"/>
      <c r="K171" s="281"/>
      <c r="L171" s="18"/>
      <c r="M171" s="18"/>
      <c r="N171" s="19"/>
      <c r="O171" s="19"/>
      <c r="P171" s="41"/>
      <c r="Q171" s="41"/>
      <c r="R171" s="187"/>
      <c r="S171" s="187"/>
      <c r="T171" s="21"/>
    </row>
    <row r="172" spans="1:20" s="2" customFormat="1" ht="15" customHeight="1" x14ac:dyDescent="0.25">
      <c r="A172" s="358"/>
      <c r="B172" s="729"/>
      <c r="C172" s="299"/>
      <c r="D172" s="385"/>
      <c r="E172" s="385"/>
      <c r="F172" s="16"/>
      <c r="G172" s="134"/>
      <c r="H172" s="17"/>
      <c r="I172" s="17"/>
      <c r="J172" s="262"/>
      <c r="K172" s="281"/>
      <c r="L172" s="18"/>
      <c r="M172" s="18"/>
      <c r="N172" s="19"/>
      <c r="O172" s="19"/>
      <c r="P172" s="41"/>
      <c r="Q172" s="41"/>
      <c r="R172" s="187"/>
      <c r="S172" s="187"/>
      <c r="T172" s="21"/>
    </row>
    <row r="173" spans="1:20" s="2" customFormat="1" ht="15" customHeight="1" x14ac:dyDescent="0.25">
      <c r="A173" s="358"/>
      <c r="B173" s="729"/>
      <c r="C173" s="299"/>
      <c r="D173" s="385"/>
      <c r="E173" s="385"/>
      <c r="F173" s="16"/>
      <c r="G173" s="16"/>
      <c r="H173" s="17"/>
      <c r="I173" s="17"/>
      <c r="J173" s="262"/>
      <c r="K173" s="262"/>
      <c r="L173" s="18"/>
      <c r="M173" s="18"/>
      <c r="N173" s="19"/>
      <c r="O173" s="19"/>
      <c r="P173" s="41"/>
      <c r="Q173" s="41"/>
      <c r="R173" s="187"/>
      <c r="S173" s="187"/>
      <c r="T173" s="21"/>
    </row>
    <row r="174" spans="1:20" s="2" customFormat="1" ht="15" customHeight="1" x14ac:dyDescent="0.25">
      <c r="A174" s="358"/>
      <c r="B174" s="729"/>
      <c r="C174" s="299"/>
      <c r="D174" s="385"/>
      <c r="E174" s="385"/>
      <c r="F174" s="16"/>
      <c r="G174" s="134"/>
      <c r="H174" s="17"/>
      <c r="I174" s="17"/>
      <c r="J174" s="262"/>
      <c r="K174" s="262"/>
      <c r="L174" s="18"/>
      <c r="M174" s="18"/>
      <c r="N174" s="19"/>
      <c r="O174" s="19"/>
      <c r="P174" s="41"/>
      <c r="Q174" s="41"/>
      <c r="R174" s="187"/>
      <c r="S174" s="187"/>
      <c r="T174" s="21"/>
    </row>
    <row r="175" spans="1:20" s="2" customFormat="1" ht="15" customHeight="1" x14ac:dyDescent="0.25">
      <c r="A175" s="358"/>
      <c r="B175" s="729"/>
      <c r="C175" s="299"/>
      <c r="D175" s="385"/>
      <c r="E175" s="385"/>
      <c r="F175" s="16"/>
      <c r="G175" s="134"/>
      <c r="H175" s="17"/>
      <c r="I175" s="17"/>
      <c r="J175" s="262"/>
      <c r="K175" s="262"/>
      <c r="L175" s="18"/>
      <c r="M175" s="18"/>
      <c r="N175" s="19"/>
      <c r="O175" s="19"/>
      <c r="P175" s="41"/>
      <c r="Q175" s="41"/>
      <c r="R175" s="187"/>
      <c r="S175" s="187"/>
      <c r="T175" s="21"/>
    </row>
    <row r="176" spans="1:20" s="2" customFormat="1" ht="15" customHeight="1" x14ac:dyDescent="0.25">
      <c r="A176" s="358"/>
      <c r="B176" s="729"/>
      <c r="C176" s="299"/>
      <c r="D176" s="385"/>
      <c r="E176" s="385"/>
      <c r="F176" s="16"/>
      <c r="G176" s="16"/>
      <c r="H176" s="17"/>
      <c r="I176" s="17"/>
      <c r="J176" s="262"/>
      <c r="K176" s="262"/>
      <c r="L176" s="18"/>
      <c r="M176" s="18"/>
      <c r="N176" s="19"/>
      <c r="O176" s="19"/>
      <c r="P176" s="41"/>
      <c r="Q176" s="41"/>
      <c r="R176" s="187"/>
      <c r="S176" s="187"/>
      <c r="T176" s="21"/>
    </row>
    <row r="177" spans="1:40" s="2" customFormat="1" ht="15" customHeight="1" x14ac:dyDescent="0.25">
      <c r="A177" s="358"/>
      <c r="B177" s="729"/>
      <c r="C177" s="299"/>
      <c r="D177" s="385"/>
      <c r="E177" s="385"/>
      <c r="F177" s="16"/>
      <c r="G177" s="16"/>
      <c r="H177" s="17"/>
      <c r="I177" s="17"/>
      <c r="J177" s="262"/>
      <c r="K177" s="262"/>
      <c r="L177" s="18"/>
      <c r="M177" s="18"/>
      <c r="N177" s="19"/>
      <c r="O177" s="19"/>
      <c r="P177" s="41"/>
      <c r="Q177" s="41"/>
      <c r="R177" s="187"/>
      <c r="S177" s="187"/>
      <c r="T177" s="21"/>
    </row>
    <row r="178" spans="1:40" s="2" customFormat="1" ht="15" customHeight="1" x14ac:dyDescent="0.25">
      <c r="A178" s="358"/>
      <c r="B178" s="729"/>
      <c r="C178" s="299"/>
      <c r="D178" s="385"/>
      <c r="E178" s="653"/>
      <c r="F178" s="16"/>
      <c r="G178" s="16"/>
      <c r="H178" s="17"/>
      <c r="I178" s="17"/>
      <c r="J178" s="262"/>
      <c r="K178" s="262"/>
      <c r="L178" s="18"/>
      <c r="M178" s="18"/>
      <c r="N178" s="19"/>
      <c r="O178" s="19"/>
      <c r="P178" s="41"/>
      <c r="Q178" s="41"/>
      <c r="R178" s="187"/>
      <c r="S178" s="187"/>
      <c r="T178" s="21"/>
    </row>
    <row r="179" spans="1:40" s="270" customFormat="1" ht="15" customHeight="1" x14ac:dyDescent="0.25">
      <c r="A179" s="358"/>
      <c r="B179" s="729"/>
      <c r="C179" s="299"/>
      <c r="D179" s="385"/>
      <c r="E179" s="385"/>
      <c r="F179" s="16"/>
      <c r="G179" s="16"/>
      <c r="H179" s="17"/>
      <c r="I179" s="17"/>
      <c r="J179" s="262"/>
      <c r="K179" s="262"/>
      <c r="L179" s="18"/>
      <c r="M179" s="18"/>
      <c r="N179" s="19"/>
      <c r="O179" s="19"/>
      <c r="P179" s="41"/>
      <c r="Q179" s="41"/>
      <c r="R179" s="187"/>
      <c r="S179" s="187"/>
      <c r="T179" s="21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s="2" customFormat="1" ht="15" customHeight="1" x14ac:dyDescent="0.25">
      <c r="A180" s="358"/>
      <c r="B180" s="729"/>
      <c r="C180" s="299"/>
      <c r="D180" s="385"/>
      <c r="E180" s="386"/>
      <c r="F180" s="16"/>
      <c r="G180" s="16"/>
      <c r="H180" s="17"/>
      <c r="I180" s="17"/>
      <c r="J180" s="262"/>
      <c r="K180" s="262"/>
      <c r="L180" s="18"/>
      <c r="M180" s="18"/>
      <c r="N180" s="19"/>
      <c r="O180" s="19"/>
      <c r="P180" s="41"/>
      <c r="Q180" s="41"/>
      <c r="R180" s="187"/>
      <c r="S180" s="187"/>
      <c r="T180" s="21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</row>
    <row r="181" spans="1:40" s="2" customFormat="1" ht="15" customHeight="1" x14ac:dyDescent="0.25">
      <c r="A181" s="358"/>
      <c r="B181" s="729"/>
      <c r="C181" s="299"/>
      <c r="D181" s="385"/>
      <c r="E181" s="386"/>
      <c r="F181" s="16"/>
      <c r="G181" s="16"/>
      <c r="H181" s="17"/>
      <c r="I181" s="17"/>
      <c r="J181" s="262"/>
      <c r="K181" s="262"/>
      <c r="L181" s="18"/>
      <c r="M181" s="18"/>
      <c r="N181" s="19"/>
      <c r="O181" s="19"/>
      <c r="P181" s="41"/>
      <c r="Q181" s="41"/>
      <c r="R181" s="187"/>
      <c r="S181" s="187"/>
      <c r="T181" s="21"/>
    </row>
    <row r="182" spans="1:40" s="2" customFormat="1" ht="15" customHeight="1" x14ac:dyDescent="0.25">
      <c r="A182" s="358"/>
      <c r="B182" s="729"/>
      <c r="C182" s="299"/>
      <c r="D182" s="385"/>
      <c r="E182" s="654"/>
      <c r="F182" s="16"/>
      <c r="G182" s="16"/>
      <c r="H182" s="17"/>
      <c r="I182" s="17"/>
      <c r="J182" s="262"/>
      <c r="K182" s="262"/>
      <c r="L182" s="18"/>
      <c r="M182" s="18"/>
      <c r="N182" s="19"/>
      <c r="O182" s="19"/>
      <c r="P182" s="41"/>
      <c r="Q182" s="41"/>
      <c r="R182" s="187"/>
      <c r="S182" s="187"/>
      <c r="T182" s="21"/>
    </row>
    <row r="183" spans="1:40" s="2" customFormat="1" ht="15" customHeight="1" x14ac:dyDescent="0.25">
      <c r="A183" s="358"/>
      <c r="B183" s="729"/>
      <c r="C183" s="299"/>
      <c r="D183" s="385"/>
      <c r="E183" s="385"/>
      <c r="F183" s="16"/>
      <c r="G183" s="134"/>
      <c r="H183" s="17"/>
      <c r="I183" s="17"/>
      <c r="J183" s="262"/>
      <c r="K183" s="262"/>
      <c r="L183" s="18"/>
      <c r="M183" s="18"/>
      <c r="N183" s="19"/>
      <c r="O183" s="19"/>
      <c r="P183" s="41"/>
      <c r="Q183" s="41"/>
      <c r="R183" s="187"/>
      <c r="S183" s="187"/>
      <c r="T183" s="21"/>
    </row>
    <row r="184" spans="1:40" s="2" customFormat="1" ht="15" customHeight="1" x14ac:dyDescent="0.25">
      <c r="A184" s="358"/>
      <c r="B184" s="729"/>
      <c r="C184" s="299"/>
      <c r="D184" s="385"/>
      <c r="E184" s="386"/>
      <c r="F184" s="16"/>
      <c r="G184" s="16"/>
      <c r="H184" s="17"/>
      <c r="I184" s="17"/>
      <c r="J184" s="262"/>
      <c r="K184" s="262"/>
      <c r="L184" s="18"/>
      <c r="M184" s="18"/>
      <c r="N184" s="19"/>
      <c r="O184" s="19"/>
      <c r="P184" s="41"/>
      <c r="Q184" s="41"/>
      <c r="R184" s="187"/>
      <c r="S184" s="187"/>
      <c r="T184" s="21"/>
    </row>
    <row r="185" spans="1:40" s="2" customFormat="1" ht="15" customHeight="1" x14ac:dyDescent="0.25">
      <c r="A185" s="358"/>
      <c r="B185" s="729"/>
      <c r="C185" s="299"/>
      <c r="D185" s="385"/>
      <c r="E185" s="385"/>
      <c r="F185" s="16"/>
      <c r="G185" s="16"/>
      <c r="H185" s="17"/>
      <c r="I185" s="17"/>
      <c r="J185" s="262"/>
      <c r="K185" s="262"/>
      <c r="L185" s="18"/>
      <c r="M185" s="18"/>
      <c r="N185" s="19"/>
      <c r="O185" s="19"/>
      <c r="P185" s="41"/>
      <c r="Q185" s="41"/>
      <c r="R185" s="187"/>
      <c r="S185" s="187"/>
      <c r="T185" s="21"/>
    </row>
    <row r="186" spans="1:40" s="2" customFormat="1" ht="15" customHeight="1" x14ac:dyDescent="0.25">
      <c r="A186" s="358"/>
      <c r="B186" s="729"/>
      <c r="C186" s="299"/>
      <c r="D186" s="385"/>
      <c r="E186" s="386"/>
      <c r="F186" s="16"/>
      <c r="G186" s="16"/>
      <c r="H186" s="17"/>
      <c r="I186" s="17"/>
      <c r="J186" s="262"/>
      <c r="K186" s="262"/>
      <c r="L186" s="18"/>
      <c r="M186" s="18"/>
      <c r="N186" s="19"/>
      <c r="O186" s="19"/>
      <c r="P186" s="41"/>
      <c r="Q186" s="41"/>
      <c r="R186" s="187"/>
      <c r="S186" s="187"/>
      <c r="T186" s="21"/>
    </row>
    <row r="187" spans="1:40" s="2" customFormat="1" ht="15" customHeight="1" x14ac:dyDescent="0.25">
      <c r="A187" s="358"/>
      <c r="B187" s="729"/>
      <c r="C187" s="299"/>
      <c r="D187" s="385"/>
      <c r="E187" s="385"/>
      <c r="F187" s="16"/>
      <c r="G187" s="16"/>
      <c r="H187" s="17"/>
      <c r="I187" s="17"/>
      <c r="J187" s="262"/>
      <c r="K187" s="262"/>
      <c r="L187" s="18"/>
      <c r="M187" s="18"/>
      <c r="N187" s="19"/>
      <c r="O187" s="19"/>
      <c r="P187" s="41"/>
      <c r="Q187" s="41"/>
      <c r="R187" s="187"/>
      <c r="S187" s="187"/>
      <c r="T187" s="21"/>
    </row>
    <row r="188" spans="1:40" s="2" customFormat="1" ht="15" customHeight="1" x14ac:dyDescent="0.25">
      <c r="A188" s="358"/>
      <c r="B188" s="729"/>
      <c r="C188" s="299"/>
      <c r="D188" s="385"/>
      <c r="E188" s="385"/>
      <c r="F188" s="16"/>
      <c r="G188" s="16"/>
      <c r="H188" s="17"/>
      <c r="I188" s="17"/>
      <c r="J188" s="262"/>
      <c r="K188" s="262"/>
      <c r="L188" s="18"/>
      <c r="M188" s="18"/>
      <c r="N188" s="19"/>
      <c r="O188" s="19"/>
      <c r="P188" s="41"/>
      <c r="Q188" s="41"/>
      <c r="R188" s="187"/>
      <c r="S188" s="187"/>
      <c r="T188" s="21"/>
    </row>
    <row r="189" spans="1:40" s="2" customFormat="1" ht="15" customHeight="1" x14ac:dyDescent="0.25">
      <c r="A189" s="358"/>
      <c r="B189" s="729"/>
      <c r="C189" s="299"/>
      <c r="D189" s="385"/>
      <c r="E189" s="386"/>
      <c r="F189" s="16"/>
      <c r="G189" s="16"/>
      <c r="H189" s="17"/>
      <c r="I189" s="17"/>
      <c r="J189" s="262"/>
      <c r="K189" s="262"/>
      <c r="L189" s="18"/>
      <c r="M189" s="18"/>
      <c r="N189" s="19"/>
      <c r="O189" s="19"/>
      <c r="P189" s="41"/>
      <c r="Q189" s="41"/>
      <c r="R189" s="187"/>
      <c r="S189" s="187"/>
      <c r="T189" s="21"/>
    </row>
    <row r="190" spans="1:40" s="2" customFormat="1" ht="15" customHeight="1" x14ac:dyDescent="0.25">
      <c r="A190" s="358"/>
      <c r="B190" s="729"/>
      <c r="C190" s="340"/>
      <c r="D190" s="385"/>
      <c r="E190" s="386"/>
      <c r="F190" s="16"/>
      <c r="G190" s="16"/>
      <c r="H190" s="17"/>
      <c r="I190" s="17"/>
      <c r="J190" s="339"/>
      <c r="K190" s="339"/>
      <c r="L190" s="18"/>
      <c r="M190" s="18"/>
      <c r="N190" s="19"/>
      <c r="O190" s="19"/>
      <c r="P190" s="41"/>
      <c r="Q190" s="41"/>
      <c r="R190" s="187"/>
      <c r="S190" s="187"/>
      <c r="T190" s="21"/>
    </row>
    <row r="191" spans="1:40" s="270" customFormat="1" ht="15" customHeight="1" x14ac:dyDescent="0.25">
      <c r="A191" s="358"/>
      <c r="B191" s="644"/>
      <c r="C191" s="299"/>
      <c r="D191" s="385"/>
      <c r="E191" s="385"/>
      <c r="F191" s="16"/>
      <c r="G191" s="16"/>
      <c r="H191" s="17"/>
      <c r="I191" s="138"/>
      <c r="J191" s="262"/>
      <c r="K191" s="262"/>
      <c r="L191" s="18"/>
      <c r="M191" s="18"/>
      <c r="N191" s="19"/>
      <c r="O191" s="19"/>
      <c r="P191" s="41"/>
      <c r="Q191" s="41"/>
      <c r="R191" s="187"/>
      <c r="S191" s="187"/>
      <c r="T191" s="21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s="2" customFormat="1" ht="15" customHeight="1" x14ac:dyDescent="0.25">
      <c r="A192" s="358"/>
      <c r="B192" s="644"/>
      <c r="C192" s="299"/>
      <c r="D192" s="385"/>
      <c r="E192" s="386"/>
      <c r="F192" s="16"/>
      <c r="G192" s="16"/>
      <c r="H192" s="17"/>
      <c r="I192" s="17"/>
      <c r="J192" s="262"/>
      <c r="K192" s="262"/>
      <c r="L192" s="18"/>
      <c r="M192" s="18"/>
      <c r="N192" s="19"/>
      <c r="O192" s="19"/>
      <c r="P192" s="41"/>
      <c r="Q192" s="41"/>
      <c r="R192" s="187"/>
      <c r="S192" s="187"/>
      <c r="T192" s="21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  <c r="AI192" s="270"/>
      <c r="AJ192" s="270"/>
      <c r="AK192" s="270"/>
      <c r="AL192" s="270"/>
      <c r="AM192" s="270"/>
      <c r="AN192" s="270"/>
    </row>
    <row r="193" spans="1:20" s="2" customFormat="1" ht="15" customHeight="1" x14ac:dyDescent="0.25">
      <c r="A193" s="358"/>
      <c r="B193" s="644"/>
      <c r="C193" s="338"/>
      <c r="D193" s="385"/>
      <c r="E193" s="385"/>
      <c r="F193" s="16"/>
      <c r="G193" s="16"/>
      <c r="H193" s="17"/>
      <c r="I193" s="17"/>
      <c r="J193" s="262"/>
      <c r="K193" s="262"/>
      <c r="L193" s="18"/>
      <c r="M193" s="18"/>
      <c r="N193" s="19"/>
      <c r="O193" s="19"/>
      <c r="P193" s="41"/>
      <c r="Q193" s="41"/>
      <c r="R193" s="187"/>
      <c r="S193" s="187"/>
      <c r="T193" s="21"/>
    </row>
    <row r="194" spans="1:20" s="2" customFormat="1" ht="15" customHeight="1" x14ac:dyDescent="0.25">
      <c r="A194" s="358"/>
      <c r="B194" s="644"/>
      <c r="C194" s="338"/>
      <c r="D194" s="385"/>
      <c r="E194" s="385"/>
      <c r="F194" s="16"/>
      <c r="G194" s="134"/>
      <c r="H194" s="17"/>
      <c r="I194" s="17"/>
      <c r="J194" s="262"/>
      <c r="K194" s="262"/>
      <c r="L194" s="18"/>
      <c r="M194" s="18"/>
      <c r="N194" s="19"/>
      <c r="O194" s="19"/>
      <c r="P194" s="41"/>
      <c r="Q194" s="41"/>
      <c r="R194" s="187"/>
      <c r="S194" s="187"/>
      <c r="T194" s="21"/>
    </row>
    <row r="195" spans="1:20" s="2" customFormat="1" ht="15" customHeight="1" x14ac:dyDescent="0.25">
      <c r="A195" s="358"/>
      <c r="B195" s="644"/>
      <c r="C195" s="338"/>
      <c r="D195" s="385"/>
      <c r="E195" s="386"/>
      <c r="F195" s="16"/>
      <c r="G195" s="16"/>
      <c r="H195" s="17"/>
      <c r="I195" s="17"/>
      <c r="J195" s="262"/>
      <c r="K195" s="262"/>
      <c r="L195" s="18"/>
      <c r="M195" s="18"/>
      <c r="N195" s="19"/>
      <c r="O195" s="19"/>
      <c r="P195" s="41"/>
      <c r="Q195" s="41"/>
      <c r="R195" s="187"/>
      <c r="S195" s="187"/>
      <c r="T195" s="21"/>
    </row>
    <row r="196" spans="1:20" s="2" customFormat="1" ht="15" customHeight="1" x14ac:dyDescent="0.25">
      <c r="A196" s="358"/>
      <c r="B196" s="644"/>
      <c r="C196" s="338"/>
      <c r="D196" s="385"/>
      <c r="E196" s="385"/>
      <c r="F196" s="16"/>
      <c r="G196" s="16"/>
      <c r="H196" s="17"/>
      <c r="I196" s="17"/>
      <c r="J196" s="262"/>
      <c r="K196" s="262"/>
      <c r="L196" s="18"/>
      <c r="M196" s="18"/>
      <c r="N196" s="19"/>
      <c r="O196" s="19"/>
      <c r="P196" s="41"/>
      <c r="Q196" s="41"/>
      <c r="R196" s="187"/>
      <c r="S196" s="187"/>
      <c r="T196" s="21"/>
    </row>
    <row r="197" spans="1:20" s="2" customFormat="1" ht="15" customHeight="1" x14ac:dyDescent="0.25">
      <c r="A197" s="358"/>
      <c r="B197" s="644"/>
      <c r="C197" s="338"/>
      <c r="D197" s="385"/>
      <c r="E197" s="385"/>
      <c r="F197" s="16"/>
      <c r="G197" s="16"/>
      <c r="H197" s="17"/>
      <c r="I197" s="17"/>
      <c r="J197" s="262"/>
      <c r="K197" s="262"/>
      <c r="L197" s="18"/>
      <c r="M197" s="18"/>
      <c r="N197" s="19"/>
      <c r="O197" s="19"/>
      <c r="P197" s="41"/>
      <c r="Q197" s="41"/>
      <c r="R197" s="187"/>
      <c r="S197" s="187"/>
      <c r="T197" s="21"/>
    </row>
    <row r="198" spans="1:20" s="2" customFormat="1" ht="15" customHeight="1" x14ac:dyDescent="0.25">
      <c r="A198" s="358"/>
      <c r="B198" s="644"/>
      <c r="C198" s="299"/>
      <c r="D198" s="385"/>
      <c r="E198" s="385"/>
      <c r="F198" s="16"/>
      <c r="G198" s="134"/>
      <c r="H198" s="17"/>
      <c r="I198" s="17"/>
      <c r="J198" s="262"/>
      <c r="K198" s="262"/>
      <c r="L198" s="18"/>
      <c r="M198" s="18"/>
      <c r="N198" s="19"/>
      <c r="O198" s="19"/>
      <c r="P198" s="41"/>
      <c r="Q198" s="41"/>
      <c r="R198" s="187"/>
      <c r="S198" s="187"/>
      <c r="T198" s="21"/>
    </row>
    <row r="199" spans="1:20" s="2" customFormat="1" ht="15" customHeight="1" x14ac:dyDescent="0.25">
      <c r="A199" s="358"/>
      <c r="B199" s="644"/>
      <c r="C199" s="299"/>
      <c r="D199" s="385"/>
      <c r="E199" s="385"/>
      <c r="F199" s="16"/>
      <c r="G199" s="16"/>
      <c r="H199" s="17"/>
      <c r="I199" s="17"/>
      <c r="J199" s="262"/>
      <c r="K199" s="262"/>
      <c r="L199" s="18"/>
      <c r="M199" s="18"/>
      <c r="N199" s="19"/>
      <c r="O199" s="19"/>
      <c r="P199" s="41"/>
      <c r="Q199" s="41"/>
      <c r="R199" s="187"/>
      <c r="S199" s="187"/>
      <c r="T199" s="21"/>
    </row>
    <row r="200" spans="1:20" s="2" customFormat="1" ht="15" customHeight="1" x14ac:dyDescent="0.25">
      <c r="A200" s="358"/>
      <c r="B200" s="644"/>
      <c r="C200" s="299"/>
      <c r="D200" s="385"/>
      <c r="E200" s="385"/>
      <c r="F200" s="134"/>
      <c r="G200" s="16"/>
      <c r="H200" s="138"/>
      <c r="I200" s="17"/>
      <c r="J200" s="281"/>
      <c r="K200" s="262"/>
      <c r="L200" s="18"/>
      <c r="M200" s="18"/>
      <c r="N200" s="19"/>
      <c r="O200" s="19"/>
      <c r="P200" s="41"/>
      <c r="Q200" s="41"/>
      <c r="R200" s="187"/>
      <c r="S200" s="187"/>
      <c r="T200" s="21"/>
    </row>
    <row r="201" spans="1:20" s="2" customFormat="1" ht="15" customHeight="1" x14ac:dyDescent="0.25">
      <c r="A201" s="358"/>
      <c r="B201" s="644"/>
      <c r="C201" s="299"/>
      <c r="D201" s="385"/>
      <c r="E201" s="385"/>
      <c r="F201" s="16"/>
      <c r="G201" s="16"/>
      <c r="H201" s="17"/>
      <c r="I201" s="17"/>
      <c r="J201" s="262"/>
      <c r="K201" s="262"/>
      <c r="L201" s="18"/>
      <c r="M201" s="18"/>
      <c r="N201" s="19"/>
      <c r="O201" s="19"/>
      <c r="P201" s="41"/>
      <c r="Q201" s="41"/>
      <c r="R201" s="187"/>
      <c r="S201" s="187"/>
      <c r="T201" s="21"/>
    </row>
    <row r="202" spans="1:20" s="2" customFormat="1" ht="15" customHeight="1" x14ac:dyDescent="0.25">
      <c r="A202" s="358"/>
      <c r="B202" s="644"/>
      <c r="C202" s="355"/>
      <c r="D202" s="385"/>
      <c r="E202" s="385"/>
      <c r="F202" s="16"/>
      <c r="G202" s="16"/>
      <c r="H202" s="17"/>
      <c r="I202" s="17"/>
      <c r="J202" s="356"/>
      <c r="K202" s="356"/>
      <c r="L202" s="18"/>
      <c r="M202" s="18"/>
      <c r="N202" s="19"/>
      <c r="O202" s="19"/>
      <c r="P202" s="41"/>
      <c r="Q202" s="41"/>
      <c r="R202" s="187"/>
      <c r="S202" s="187"/>
      <c r="T202" s="21"/>
    </row>
    <row r="203" spans="1:20" s="2" customFormat="1" ht="15" customHeight="1" x14ac:dyDescent="0.25">
      <c r="A203" s="358"/>
      <c r="B203" s="644"/>
      <c r="C203" s="299"/>
      <c r="D203" s="385"/>
      <c r="E203" s="386"/>
      <c r="F203" s="16"/>
      <c r="G203" s="16"/>
      <c r="H203" s="17"/>
      <c r="I203" s="17"/>
      <c r="J203" s="262"/>
      <c r="K203" s="262"/>
      <c r="L203" s="18"/>
      <c r="M203" s="18"/>
      <c r="N203" s="19"/>
      <c r="O203" s="19"/>
      <c r="P203" s="41"/>
      <c r="Q203" s="41"/>
      <c r="R203" s="187"/>
      <c r="S203" s="187"/>
      <c r="T203" s="21"/>
    </row>
    <row r="204" spans="1:20" s="2" customFormat="1" ht="15" customHeight="1" x14ac:dyDescent="0.25">
      <c r="A204" s="358"/>
      <c r="B204" s="644"/>
      <c r="C204" s="299"/>
      <c r="D204" s="385"/>
      <c r="E204" s="386"/>
      <c r="F204" s="16"/>
      <c r="G204" s="16"/>
      <c r="H204" s="17"/>
      <c r="I204" s="17"/>
      <c r="J204" s="262"/>
      <c r="K204" s="262"/>
      <c r="L204" s="18"/>
      <c r="M204" s="18"/>
      <c r="N204" s="19"/>
      <c r="O204" s="19"/>
      <c r="P204" s="41"/>
      <c r="Q204" s="41"/>
      <c r="R204" s="187"/>
      <c r="S204" s="187"/>
      <c r="T204" s="21"/>
    </row>
    <row r="205" spans="1:20" s="2" customFormat="1" ht="15" customHeight="1" x14ac:dyDescent="0.25">
      <c r="A205" s="358"/>
      <c r="B205" s="644"/>
      <c r="C205" s="299"/>
      <c r="D205" s="385"/>
      <c r="E205" s="386"/>
      <c r="F205" s="16"/>
      <c r="G205" s="16"/>
      <c r="H205" s="17"/>
      <c r="I205" s="17"/>
      <c r="J205" s="262"/>
      <c r="K205" s="262"/>
      <c r="L205" s="18"/>
      <c r="M205" s="18"/>
      <c r="N205" s="19"/>
      <c r="O205" s="19"/>
      <c r="P205" s="41"/>
      <c r="Q205" s="41"/>
      <c r="R205" s="187"/>
      <c r="S205" s="187"/>
      <c r="T205" s="21"/>
    </row>
    <row r="206" spans="1:20" s="2" customFormat="1" ht="15" customHeight="1" x14ac:dyDescent="0.25">
      <c r="A206" s="358"/>
      <c r="B206" s="644"/>
      <c r="C206" s="299"/>
      <c r="D206" s="385"/>
      <c r="E206" s="386"/>
      <c r="F206" s="16"/>
      <c r="G206" s="16"/>
      <c r="H206" s="17"/>
      <c r="I206" s="17"/>
      <c r="J206" s="262"/>
      <c r="K206" s="262"/>
      <c r="L206" s="18"/>
      <c r="M206" s="18"/>
      <c r="N206" s="19"/>
      <c r="O206" s="19"/>
      <c r="P206" s="41"/>
      <c r="Q206" s="41"/>
      <c r="R206" s="187"/>
      <c r="S206" s="187"/>
      <c r="T206" s="21"/>
    </row>
    <row r="207" spans="1:20" s="2" customFormat="1" ht="15" customHeight="1" x14ac:dyDescent="0.25">
      <c r="A207" s="358"/>
      <c r="B207" s="644"/>
      <c r="C207" s="299"/>
      <c r="D207" s="385"/>
      <c r="E207" s="385"/>
      <c r="F207" s="16"/>
      <c r="G207" s="16"/>
      <c r="H207" s="17"/>
      <c r="I207" s="17"/>
      <c r="J207" s="262"/>
      <c r="K207" s="262"/>
      <c r="L207" s="18"/>
      <c r="M207" s="18"/>
      <c r="N207" s="19"/>
      <c r="O207" s="19"/>
      <c r="P207" s="41"/>
      <c r="Q207" s="41"/>
      <c r="R207" s="187"/>
      <c r="S207" s="187"/>
      <c r="T207" s="21"/>
    </row>
    <row r="208" spans="1:20" s="2" customFormat="1" ht="15" customHeight="1" x14ac:dyDescent="0.25">
      <c r="A208" s="358"/>
      <c r="B208" s="644"/>
      <c r="C208" s="299"/>
      <c r="D208" s="385"/>
      <c r="E208" s="385"/>
      <c r="F208" s="16"/>
      <c r="G208" s="16"/>
      <c r="H208" s="17"/>
      <c r="I208" s="17"/>
      <c r="J208" s="262"/>
      <c r="K208" s="262"/>
      <c r="L208" s="18"/>
      <c r="M208" s="18"/>
      <c r="N208" s="19"/>
      <c r="O208" s="19"/>
      <c r="P208" s="41"/>
      <c r="Q208" s="41"/>
      <c r="R208" s="187"/>
      <c r="S208" s="187"/>
      <c r="T208" s="21"/>
    </row>
    <row r="209" spans="1:20" s="2" customFormat="1" ht="15" customHeight="1" x14ac:dyDescent="0.25">
      <c r="A209" s="358"/>
      <c r="B209" s="644"/>
      <c r="C209" s="299"/>
      <c r="D209" s="385"/>
      <c r="E209" s="386"/>
      <c r="F209" s="16"/>
      <c r="G209" s="16"/>
      <c r="H209" s="17"/>
      <c r="I209" s="17"/>
      <c r="J209" s="262"/>
      <c r="K209" s="262"/>
      <c r="L209" s="18"/>
      <c r="M209" s="18"/>
      <c r="N209" s="19"/>
      <c r="O209" s="19"/>
      <c r="P209" s="41"/>
      <c r="Q209" s="41"/>
      <c r="R209" s="187"/>
      <c r="S209" s="187"/>
      <c r="T209" s="21"/>
    </row>
    <row r="210" spans="1:20" s="2" customFormat="1" ht="15" customHeight="1" x14ac:dyDescent="0.25">
      <c r="A210" s="358"/>
      <c r="B210" s="644"/>
      <c r="C210" s="299"/>
      <c r="D210" s="385"/>
      <c r="E210" s="385"/>
      <c r="F210" s="16"/>
      <c r="G210" s="16"/>
      <c r="H210" s="17"/>
      <c r="I210" s="17"/>
      <c r="J210" s="262"/>
      <c r="K210" s="262"/>
      <c r="L210" s="18"/>
      <c r="M210" s="18"/>
      <c r="N210" s="19"/>
      <c r="O210" s="19"/>
      <c r="P210" s="41"/>
      <c r="Q210" s="41"/>
      <c r="R210" s="187"/>
      <c r="S210" s="187"/>
      <c r="T210" s="21"/>
    </row>
    <row r="211" spans="1:20" s="2" customFormat="1" ht="15" customHeight="1" x14ac:dyDescent="0.25">
      <c r="A211" s="358"/>
      <c r="B211" s="644"/>
      <c r="C211" s="299"/>
      <c r="D211" s="386"/>
      <c r="E211" s="385"/>
      <c r="F211" s="16"/>
      <c r="G211" s="16"/>
      <c r="H211" s="17"/>
      <c r="I211" s="17"/>
      <c r="J211" s="262"/>
      <c r="K211" s="262"/>
      <c r="L211" s="18"/>
      <c r="M211" s="18"/>
      <c r="N211" s="19"/>
      <c r="O211" s="19"/>
      <c r="P211" s="41"/>
      <c r="Q211" s="41"/>
      <c r="R211" s="187"/>
      <c r="S211" s="187"/>
      <c r="T211" s="21"/>
    </row>
    <row r="212" spans="1:20" s="2" customFormat="1" ht="15" customHeight="1" x14ac:dyDescent="0.25">
      <c r="A212" s="358"/>
      <c r="B212" s="644"/>
      <c r="C212" s="299"/>
      <c r="D212" s="385"/>
      <c r="E212" s="385"/>
      <c r="F212" s="16"/>
      <c r="G212" s="16"/>
      <c r="H212" s="17"/>
      <c r="I212" s="17"/>
      <c r="J212" s="262"/>
      <c r="K212" s="262"/>
      <c r="L212" s="18"/>
      <c r="M212" s="18"/>
      <c r="N212" s="19"/>
      <c r="O212" s="19"/>
      <c r="P212" s="41"/>
      <c r="Q212" s="41"/>
      <c r="R212" s="187"/>
      <c r="S212" s="187"/>
      <c r="T212" s="21"/>
    </row>
    <row r="213" spans="1:20" s="2" customFormat="1" ht="15" customHeight="1" x14ac:dyDescent="0.25">
      <c r="A213" s="358"/>
      <c r="B213" s="644"/>
      <c r="C213" s="299"/>
      <c r="D213" s="385"/>
      <c r="E213" s="385"/>
      <c r="F213" s="16"/>
      <c r="G213" s="16"/>
      <c r="H213" s="17"/>
      <c r="I213" s="17"/>
      <c r="J213" s="281"/>
      <c r="K213" s="262"/>
      <c r="L213" s="18"/>
      <c r="M213" s="18"/>
      <c r="N213" s="19"/>
      <c r="O213" s="19"/>
      <c r="P213" s="41"/>
      <c r="Q213" s="41"/>
      <c r="R213" s="187"/>
      <c r="S213" s="187"/>
      <c r="T213" s="21"/>
    </row>
    <row r="214" spans="1:20" s="2" customFormat="1" ht="15" customHeight="1" x14ac:dyDescent="0.25">
      <c r="A214" s="358"/>
      <c r="B214" s="644"/>
      <c r="C214" s="299"/>
      <c r="D214" s="385"/>
      <c r="E214" s="385"/>
      <c r="F214" s="16"/>
      <c r="G214" s="16"/>
      <c r="H214" s="17"/>
      <c r="I214" s="17"/>
      <c r="J214" s="262"/>
      <c r="K214" s="262"/>
      <c r="L214" s="18"/>
      <c r="M214" s="18"/>
      <c r="N214" s="19"/>
      <c r="O214" s="19"/>
      <c r="P214" s="41"/>
      <c r="Q214" s="41"/>
      <c r="R214" s="187"/>
      <c r="S214" s="187"/>
      <c r="T214" s="21"/>
    </row>
    <row r="215" spans="1:20" s="2" customFormat="1" ht="15" customHeight="1" x14ac:dyDescent="0.25">
      <c r="A215" s="358"/>
      <c r="B215" s="644"/>
      <c r="C215" s="299"/>
      <c r="D215" s="385"/>
      <c r="E215" s="385"/>
      <c r="F215" s="16"/>
      <c r="G215" s="16"/>
      <c r="H215" s="17"/>
      <c r="I215" s="17"/>
      <c r="J215" s="262"/>
      <c r="K215" s="262"/>
      <c r="L215" s="18"/>
      <c r="M215" s="18"/>
      <c r="N215" s="19"/>
      <c r="O215" s="19"/>
      <c r="P215" s="41"/>
      <c r="Q215" s="41"/>
      <c r="R215" s="187"/>
      <c r="S215" s="187"/>
      <c r="T215" s="21"/>
    </row>
    <row r="216" spans="1:20" s="2" customFormat="1" ht="15" customHeight="1" x14ac:dyDescent="0.25">
      <c r="A216" s="358"/>
      <c r="B216" s="644"/>
      <c r="C216" s="299"/>
      <c r="D216" s="385"/>
      <c r="E216" s="385"/>
      <c r="F216" s="16"/>
      <c r="G216" s="16"/>
      <c r="H216" s="17"/>
      <c r="I216" s="17"/>
      <c r="J216" s="262"/>
      <c r="K216" s="262"/>
      <c r="L216" s="18"/>
      <c r="M216" s="18"/>
      <c r="N216" s="19"/>
      <c r="O216" s="19"/>
      <c r="P216" s="41"/>
      <c r="Q216" s="41"/>
      <c r="R216" s="187"/>
      <c r="S216" s="187"/>
      <c r="T216" s="21"/>
    </row>
    <row r="217" spans="1:20" s="2" customFormat="1" ht="15" customHeight="1" x14ac:dyDescent="0.25">
      <c r="A217" s="358"/>
      <c r="B217" s="644"/>
      <c r="C217" s="299"/>
      <c r="D217" s="385"/>
      <c r="E217" s="385"/>
      <c r="F217" s="16"/>
      <c r="G217" s="16"/>
      <c r="H217" s="17"/>
      <c r="I217" s="17"/>
      <c r="J217" s="262"/>
      <c r="K217" s="262"/>
      <c r="L217" s="18"/>
      <c r="M217" s="18"/>
      <c r="N217" s="19"/>
      <c r="O217" s="19"/>
      <c r="P217" s="41"/>
      <c r="Q217" s="41"/>
      <c r="R217" s="187"/>
      <c r="S217" s="187"/>
      <c r="T217" s="21"/>
    </row>
    <row r="218" spans="1:20" s="2" customFormat="1" ht="15" customHeight="1" x14ac:dyDescent="0.25">
      <c r="A218" s="358"/>
      <c r="B218" s="644"/>
      <c r="C218" s="299"/>
      <c r="D218" s="385"/>
      <c r="E218" s="385"/>
      <c r="F218" s="16"/>
      <c r="G218" s="16"/>
      <c r="H218" s="17"/>
      <c r="I218" s="17"/>
      <c r="J218" s="262"/>
      <c r="K218" s="262"/>
      <c r="L218" s="18"/>
      <c r="M218" s="18"/>
      <c r="N218" s="19"/>
      <c r="O218" s="19"/>
      <c r="P218" s="41"/>
      <c r="Q218" s="41"/>
      <c r="R218" s="187"/>
      <c r="S218" s="187"/>
      <c r="T218" s="21"/>
    </row>
    <row r="219" spans="1:20" s="2" customFormat="1" ht="15" customHeight="1" x14ac:dyDescent="0.25">
      <c r="A219" s="358"/>
      <c r="B219" s="644"/>
      <c r="C219" s="299"/>
      <c r="D219" s="385"/>
      <c r="E219" s="385"/>
      <c r="F219" s="16"/>
      <c r="G219" s="16"/>
      <c r="H219" s="17"/>
      <c r="I219" s="17"/>
      <c r="J219" s="262"/>
      <c r="K219" s="262"/>
      <c r="L219" s="18"/>
      <c r="M219" s="18"/>
      <c r="N219" s="19"/>
      <c r="O219" s="19"/>
      <c r="P219" s="41"/>
      <c r="Q219" s="41"/>
      <c r="R219" s="187"/>
      <c r="S219" s="187"/>
      <c r="T219" s="21"/>
    </row>
    <row r="220" spans="1:20" s="2" customFormat="1" ht="15" customHeight="1" x14ac:dyDescent="0.25">
      <c r="A220" s="358"/>
      <c r="B220" s="644"/>
      <c r="C220" s="299"/>
      <c r="D220" s="385"/>
      <c r="E220" s="385"/>
      <c r="F220" s="16"/>
      <c r="G220" s="16"/>
      <c r="H220" s="17"/>
      <c r="I220" s="17"/>
      <c r="J220" s="262"/>
      <c r="K220" s="262"/>
      <c r="L220" s="18"/>
      <c r="M220" s="18"/>
      <c r="N220" s="19"/>
      <c r="O220" s="19"/>
      <c r="P220" s="41"/>
      <c r="Q220" s="41"/>
      <c r="R220" s="189"/>
      <c r="S220" s="187"/>
      <c r="T220" s="21"/>
    </row>
    <row r="221" spans="1:20" s="2" customFormat="1" ht="15" customHeight="1" x14ac:dyDescent="0.25">
      <c r="A221" s="358"/>
      <c r="B221" s="644"/>
      <c r="C221" s="299"/>
      <c r="D221" s="385"/>
      <c r="E221" s="385"/>
      <c r="F221" s="134"/>
      <c r="G221" s="16"/>
      <c r="H221" s="17"/>
      <c r="I221" s="17"/>
      <c r="J221" s="262"/>
      <c r="K221" s="262"/>
      <c r="L221" s="18"/>
      <c r="M221" s="18"/>
      <c r="N221" s="19"/>
      <c r="O221" s="19"/>
      <c r="P221" s="41"/>
      <c r="Q221" s="41"/>
      <c r="R221" s="187"/>
      <c r="S221" s="187"/>
      <c r="T221" s="21"/>
    </row>
    <row r="222" spans="1:20" s="2" customFormat="1" ht="15" customHeight="1" x14ac:dyDescent="0.25">
      <c r="A222" s="358"/>
      <c r="B222" s="644"/>
      <c r="C222" s="299"/>
      <c r="D222" s="385"/>
      <c r="E222" s="385"/>
      <c r="F222" s="16"/>
      <c r="G222" s="16"/>
      <c r="H222" s="17"/>
      <c r="I222" s="17"/>
      <c r="J222" s="262"/>
      <c r="K222" s="262"/>
      <c r="L222" s="18"/>
      <c r="M222" s="18"/>
      <c r="N222" s="19"/>
      <c r="O222" s="19"/>
      <c r="P222" s="41"/>
      <c r="Q222" s="41"/>
      <c r="R222" s="187"/>
      <c r="S222" s="187"/>
      <c r="T222" s="21"/>
    </row>
    <row r="223" spans="1:20" s="2" customFormat="1" ht="15" customHeight="1" x14ac:dyDescent="0.25">
      <c r="A223" s="358"/>
      <c r="B223" s="644"/>
      <c r="C223" s="299"/>
      <c r="D223" s="385"/>
      <c r="E223" s="385"/>
      <c r="F223" s="16"/>
      <c r="G223" s="16"/>
      <c r="H223" s="17"/>
      <c r="I223" s="17"/>
      <c r="J223" s="262"/>
      <c r="K223" s="262"/>
      <c r="L223" s="18"/>
      <c r="M223" s="18"/>
      <c r="N223" s="19"/>
      <c r="O223" s="19"/>
      <c r="P223" s="41"/>
      <c r="Q223" s="41"/>
      <c r="R223" s="187"/>
      <c r="S223" s="187"/>
      <c r="T223" s="21"/>
    </row>
    <row r="224" spans="1:20" s="2" customFormat="1" ht="15" customHeight="1" x14ac:dyDescent="0.25">
      <c r="A224" s="358"/>
      <c r="B224" s="644"/>
      <c r="C224" s="299"/>
      <c r="D224" s="385"/>
      <c r="E224" s="385"/>
      <c r="F224" s="16"/>
      <c r="G224" s="16"/>
      <c r="H224" s="17"/>
      <c r="I224" s="17"/>
      <c r="J224" s="262"/>
      <c r="K224" s="262"/>
      <c r="L224" s="18"/>
      <c r="M224" s="18"/>
      <c r="N224" s="19"/>
      <c r="O224" s="19"/>
      <c r="P224" s="41"/>
      <c r="Q224" s="41"/>
      <c r="R224" s="187"/>
      <c r="S224" s="187"/>
      <c r="T224" s="21"/>
    </row>
    <row r="225" spans="1:20" s="2" customFormat="1" ht="15" customHeight="1" x14ac:dyDescent="0.25">
      <c r="A225" s="358"/>
      <c r="B225" s="644"/>
      <c r="C225" s="299"/>
      <c r="D225" s="385"/>
      <c r="E225" s="385"/>
      <c r="F225" s="16"/>
      <c r="G225" s="16"/>
      <c r="H225" s="17"/>
      <c r="I225" s="17"/>
      <c r="J225" s="262"/>
      <c r="K225" s="262"/>
      <c r="L225" s="18"/>
      <c r="M225" s="18"/>
      <c r="N225" s="19"/>
      <c r="O225" s="19"/>
      <c r="P225" s="41"/>
      <c r="Q225" s="41"/>
      <c r="R225" s="187"/>
      <c r="S225" s="187"/>
      <c r="T225" s="21"/>
    </row>
    <row r="226" spans="1:20" s="2" customFormat="1" ht="15" customHeight="1" x14ac:dyDescent="0.25">
      <c r="A226" s="358"/>
      <c r="B226" s="644"/>
      <c r="C226" s="299"/>
      <c r="D226" s="385"/>
      <c r="E226" s="385"/>
      <c r="F226" s="16"/>
      <c r="G226" s="16"/>
      <c r="H226" s="17"/>
      <c r="I226" s="17"/>
      <c r="J226" s="262"/>
      <c r="K226" s="262"/>
      <c r="L226" s="18"/>
      <c r="M226" s="18"/>
      <c r="N226" s="19"/>
      <c r="O226" s="19"/>
      <c r="P226" s="41"/>
      <c r="Q226" s="41"/>
      <c r="R226" s="187"/>
      <c r="S226" s="187"/>
      <c r="T226" s="21"/>
    </row>
    <row r="227" spans="1:20" s="2" customFormat="1" ht="15" customHeight="1" x14ac:dyDescent="0.25">
      <c r="A227" s="358"/>
      <c r="B227" s="644"/>
      <c r="C227" s="299"/>
      <c r="D227" s="385"/>
      <c r="E227" s="385"/>
      <c r="F227" s="134"/>
      <c r="G227" s="16"/>
      <c r="H227" s="17"/>
      <c r="I227" s="17"/>
      <c r="J227" s="262"/>
      <c r="K227" s="262"/>
      <c r="L227" s="18"/>
      <c r="M227" s="18"/>
      <c r="N227" s="19"/>
      <c r="O227" s="19"/>
      <c r="P227" s="41"/>
      <c r="Q227" s="41"/>
      <c r="R227" s="187"/>
      <c r="S227" s="187"/>
      <c r="T227" s="21"/>
    </row>
    <row r="228" spans="1:20" s="2" customFormat="1" ht="15" customHeight="1" x14ac:dyDescent="0.25">
      <c r="A228" s="358"/>
      <c r="B228" s="644"/>
      <c r="C228" s="299"/>
      <c r="D228" s="385"/>
      <c r="E228" s="385"/>
      <c r="F228" s="16"/>
      <c r="G228" s="16"/>
      <c r="H228" s="17"/>
      <c r="I228" s="17"/>
      <c r="J228" s="262"/>
      <c r="K228" s="262"/>
      <c r="L228" s="18"/>
      <c r="M228" s="18"/>
      <c r="N228" s="19"/>
      <c r="O228" s="19"/>
      <c r="P228" s="41"/>
      <c r="Q228" s="41"/>
      <c r="R228" s="187"/>
      <c r="S228" s="187"/>
      <c r="T228" s="21"/>
    </row>
    <row r="229" spans="1:20" s="2" customFormat="1" ht="15" customHeight="1" x14ac:dyDescent="0.25">
      <c r="A229" s="358"/>
      <c r="B229" s="644"/>
      <c r="C229" s="299"/>
      <c r="D229" s="385"/>
      <c r="E229" s="385"/>
      <c r="F229" s="16"/>
      <c r="G229" s="16"/>
      <c r="H229" s="17"/>
      <c r="I229" s="17"/>
      <c r="J229" s="262"/>
      <c r="K229" s="262"/>
      <c r="L229" s="18"/>
      <c r="M229" s="18"/>
      <c r="N229" s="19"/>
      <c r="O229" s="19"/>
      <c r="P229" s="41"/>
      <c r="Q229" s="41"/>
      <c r="R229" s="187"/>
      <c r="S229" s="187"/>
      <c r="T229" s="21"/>
    </row>
    <row r="230" spans="1:20" s="2" customFormat="1" ht="15" customHeight="1" x14ac:dyDescent="0.25">
      <c r="A230" s="358"/>
      <c r="B230" s="644"/>
      <c r="C230" s="299"/>
      <c r="D230" s="385"/>
      <c r="E230" s="386"/>
      <c r="F230" s="16"/>
      <c r="G230" s="16"/>
      <c r="H230" s="17"/>
      <c r="I230" s="17"/>
      <c r="J230" s="262"/>
      <c r="K230" s="281"/>
      <c r="L230" s="18"/>
      <c r="M230" s="18"/>
      <c r="N230" s="19"/>
      <c r="O230" s="19"/>
      <c r="P230" s="41"/>
      <c r="Q230" s="41"/>
      <c r="R230" s="187"/>
      <c r="S230" s="187"/>
      <c r="T230" s="21"/>
    </row>
    <row r="231" spans="1:20" s="2" customFormat="1" ht="15" customHeight="1" x14ac:dyDescent="0.25">
      <c r="A231" s="358"/>
      <c r="B231" s="644"/>
      <c r="C231" s="299"/>
      <c r="D231" s="385"/>
      <c r="E231" s="385"/>
      <c r="F231" s="16"/>
      <c r="G231" s="16"/>
      <c r="H231" s="17"/>
      <c r="I231" s="17"/>
      <c r="J231" s="262"/>
      <c r="K231" s="262"/>
      <c r="L231" s="18"/>
      <c r="M231" s="18"/>
      <c r="N231" s="19"/>
      <c r="O231" s="19"/>
      <c r="P231" s="41"/>
      <c r="Q231" s="41"/>
      <c r="R231" s="187"/>
      <c r="S231" s="187"/>
      <c r="T231" s="21"/>
    </row>
    <row r="232" spans="1:20" s="2" customFormat="1" ht="15" customHeight="1" x14ac:dyDescent="0.25">
      <c r="A232" s="358"/>
      <c r="B232" s="644"/>
      <c r="C232" s="299"/>
      <c r="D232" s="385"/>
      <c r="E232" s="385"/>
      <c r="F232" s="16"/>
      <c r="G232" s="134"/>
      <c r="H232" s="17"/>
      <c r="I232" s="17"/>
      <c r="J232" s="262"/>
      <c r="K232" s="262"/>
      <c r="L232" s="18"/>
      <c r="M232" s="18"/>
      <c r="N232" s="19"/>
      <c r="O232" s="19"/>
      <c r="P232" s="41"/>
      <c r="Q232" s="41"/>
      <c r="R232" s="187"/>
      <c r="S232" s="187"/>
      <c r="T232" s="21"/>
    </row>
    <row r="233" spans="1:20" s="2" customFormat="1" ht="15" customHeight="1" x14ac:dyDescent="0.25">
      <c r="A233" s="358"/>
      <c r="B233" s="644"/>
      <c r="C233" s="299"/>
      <c r="D233" s="385"/>
      <c r="E233" s="385"/>
      <c r="F233" s="16"/>
      <c r="G233" s="16"/>
      <c r="H233" s="17"/>
      <c r="I233" s="17"/>
      <c r="J233" s="262"/>
      <c r="K233" s="262"/>
      <c r="L233" s="18"/>
      <c r="M233" s="18"/>
      <c r="N233" s="19"/>
      <c r="O233" s="19"/>
      <c r="P233" s="41"/>
      <c r="Q233" s="41"/>
      <c r="R233" s="187"/>
      <c r="S233" s="187"/>
      <c r="T233" s="21"/>
    </row>
    <row r="234" spans="1:20" s="2" customFormat="1" ht="15" customHeight="1" x14ac:dyDescent="0.25">
      <c r="A234" s="358"/>
      <c r="B234" s="644"/>
      <c r="C234" s="299"/>
      <c r="D234" s="385"/>
      <c r="E234" s="385"/>
      <c r="F234" s="16"/>
      <c r="G234" s="16"/>
      <c r="H234" s="17"/>
      <c r="I234" s="17"/>
      <c r="J234" s="262"/>
      <c r="K234" s="262"/>
      <c r="L234" s="18"/>
      <c r="M234" s="18"/>
      <c r="N234" s="19"/>
      <c r="O234" s="19"/>
      <c r="P234" s="41"/>
      <c r="Q234" s="41"/>
      <c r="R234" s="187"/>
      <c r="S234" s="187"/>
      <c r="T234" s="21"/>
    </row>
    <row r="235" spans="1:20" s="2" customFormat="1" ht="15" customHeight="1" x14ac:dyDescent="0.25">
      <c r="A235" s="358"/>
      <c r="B235" s="644"/>
      <c r="C235" s="299"/>
      <c r="D235" s="385"/>
      <c r="E235" s="385"/>
      <c r="F235" s="16"/>
      <c r="G235" s="16"/>
      <c r="H235" s="17"/>
      <c r="I235" s="17"/>
      <c r="J235" s="262"/>
      <c r="K235" s="262"/>
      <c r="L235" s="18"/>
      <c r="M235" s="18"/>
      <c r="N235" s="19"/>
      <c r="O235" s="19"/>
      <c r="P235" s="41"/>
      <c r="Q235" s="41"/>
      <c r="R235" s="187"/>
      <c r="S235" s="187"/>
      <c r="T235" s="21"/>
    </row>
    <row r="236" spans="1:20" s="2" customFormat="1" ht="15" customHeight="1" x14ac:dyDescent="0.25">
      <c r="A236" s="358"/>
      <c r="B236" s="644"/>
      <c r="C236" s="299"/>
      <c r="D236" s="385"/>
      <c r="E236" s="385"/>
      <c r="F236" s="16"/>
      <c r="G236" s="16"/>
      <c r="H236" s="17"/>
      <c r="I236" s="17"/>
      <c r="J236" s="262"/>
      <c r="K236" s="262"/>
      <c r="L236" s="18"/>
      <c r="M236" s="18"/>
      <c r="N236" s="19"/>
      <c r="O236" s="19"/>
      <c r="P236" s="41"/>
      <c r="Q236" s="41"/>
      <c r="R236" s="187"/>
      <c r="S236" s="187"/>
      <c r="T236" s="21"/>
    </row>
    <row r="237" spans="1:20" s="2" customFormat="1" ht="15" customHeight="1" x14ac:dyDescent="0.25">
      <c r="A237" s="68"/>
      <c r="B237" s="643"/>
      <c r="C237" s="299"/>
      <c r="D237" s="385"/>
      <c r="E237" s="385"/>
      <c r="F237" s="16"/>
      <c r="G237" s="16"/>
      <c r="H237" s="17"/>
      <c r="I237" s="17"/>
      <c r="J237" s="262"/>
      <c r="K237" s="262"/>
      <c r="L237" s="18"/>
      <c r="M237" s="18"/>
      <c r="N237" s="19"/>
      <c r="O237" s="19"/>
      <c r="P237" s="41"/>
      <c r="Q237" s="41"/>
      <c r="R237" s="187"/>
      <c r="S237" s="187"/>
      <c r="T237" s="21"/>
    </row>
    <row r="238" spans="1:20" s="2" customFormat="1" ht="15" customHeight="1" x14ac:dyDescent="0.25">
      <c r="A238" s="68"/>
      <c r="B238" s="643"/>
      <c r="C238" s="299"/>
      <c r="D238" s="385"/>
      <c r="E238" s="385"/>
      <c r="F238" s="16"/>
      <c r="G238" s="16"/>
      <c r="H238" s="17"/>
      <c r="I238" s="17"/>
      <c r="J238" s="262"/>
      <c r="K238" s="262"/>
      <c r="L238" s="18"/>
      <c r="M238" s="18"/>
      <c r="N238" s="19"/>
      <c r="O238" s="19"/>
      <c r="P238" s="41"/>
      <c r="Q238" s="41"/>
      <c r="R238" s="187"/>
      <c r="S238" s="187"/>
      <c r="T238" s="21"/>
    </row>
    <row r="239" spans="1:20" s="2" customFormat="1" ht="15" customHeight="1" x14ac:dyDescent="0.25">
      <c r="A239" s="68"/>
      <c r="B239" s="643"/>
      <c r="C239" s="299"/>
      <c r="D239" s="385"/>
      <c r="E239" s="385"/>
      <c r="F239" s="16"/>
      <c r="G239" s="16"/>
      <c r="H239" s="17"/>
      <c r="I239" s="17"/>
      <c r="J239" s="262"/>
      <c r="K239" s="262"/>
      <c r="L239" s="18"/>
      <c r="M239" s="18"/>
      <c r="N239" s="19"/>
      <c r="O239" s="19"/>
      <c r="P239" s="41"/>
      <c r="Q239" s="41"/>
      <c r="R239" s="187"/>
      <c r="S239" s="187"/>
      <c r="T239" s="21"/>
    </row>
    <row r="240" spans="1:20" s="2" customFormat="1" ht="15" customHeight="1" x14ac:dyDescent="0.25">
      <c r="A240" s="68"/>
      <c r="B240" s="643"/>
      <c r="C240" s="299"/>
      <c r="D240" s="385"/>
      <c r="E240" s="385"/>
      <c r="F240" s="16"/>
      <c r="G240" s="16"/>
      <c r="H240" s="17"/>
      <c r="I240" s="17"/>
      <c r="J240" s="262"/>
      <c r="K240" s="262"/>
      <c r="L240" s="18"/>
      <c r="M240" s="18"/>
      <c r="N240" s="19"/>
      <c r="O240" s="19"/>
      <c r="P240" s="41"/>
      <c r="Q240" s="41"/>
      <c r="R240" s="187"/>
      <c r="S240" s="187"/>
      <c r="T240" s="21"/>
    </row>
    <row r="241" spans="1:40" s="2" customFormat="1" ht="15" customHeight="1" x14ac:dyDescent="0.25">
      <c r="A241" s="68"/>
      <c r="B241" s="643"/>
      <c r="C241" s="299"/>
      <c r="D241" s="385"/>
      <c r="E241" s="385"/>
      <c r="F241" s="16"/>
      <c r="G241" s="16"/>
      <c r="H241" s="17"/>
      <c r="I241" s="17"/>
      <c r="J241" s="262"/>
      <c r="K241" s="262"/>
      <c r="L241" s="18"/>
      <c r="M241" s="18"/>
      <c r="N241" s="19"/>
      <c r="O241" s="19"/>
      <c r="P241" s="41"/>
      <c r="Q241" s="41"/>
      <c r="R241" s="187"/>
      <c r="S241" s="187"/>
      <c r="T241" s="21"/>
    </row>
    <row r="242" spans="1:40" s="2" customFormat="1" ht="15" customHeight="1" x14ac:dyDescent="0.25">
      <c r="A242" s="68"/>
      <c r="B242" s="643"/>
      <c r="C242" s="299"/>
      <c r="D242" s="385"/>
      <c r="E242" s="385"/>
      <c r="F242" s="16"/>
      <c r="G242" s="16"/>
      <c r="H242" s="17"/>
      <c r="I242" s="17"/>
      <c r="J242" s="262"/>
      <c r="K242" s="262"/>
      <c r="L242" s="18"/>
      <c r="M242" s="18"/>
      <c r="N242" s="19"/>
      <c r="O242" s="19"/>
      <c r="P242" s="41"/>
      <c r="Q242" s="41"/>
      <c r="R242" s="187"/>
      <c r="S242" s="187"/>
      <c r="T242" s="21"/>
    </row>
    <row r="243" spans="1:40" s="2" customFormat="1" ht="15" customHeight="1" x14ac:dyDescent="0.25">
      <c r="A243" s="68"/>
      <c r="B243" s="643"/>
      <c r="C243" s="299"/>
      <c r="D243" s="385"/>
      <c r="E243" s="385"/>
      <c r="F243" s="16"/>
      <c r="G243" s="16"/>
      <c r="H243" s="17"/>
      <c r="I243" s="17"/>
      <c r="J243" s="262"/>
      <c r="K243" s="262"/>
      <c r="L243" s="18"/>
      <c r="M243" s="18"/>
      <c r="N243" s="19"/>
      <c r="O243" s="19"/>
      <c r="P243" s="41"/>
      <c r="Q243" s="41"/>
      <c r="R243" s="187"/>
      <c r="S243" s="187"/>
      <c r="T243" s="21"/>
    </row>
    <row r="244" spans="1:40" s="2" customFormat="1" ht="15" customHeight="1" x14ac:dyDescent="0.25">
      <c r="A244" s="68"/>
      <c r="B244" s="643"/>
      <c r="C244" s="299"/>
      <c r="D244" s="385"/>
      <c r="E244" s="385"/>
      <c r="F244" s="16"/>
      <c r="G244" s="16"/>
      <c r="H244" s="17"/>
      <c r="I244" s="17"/>
      <c r="J244" s="262"/>
      <c r="K244" s="262"/>
      <c r="L244" s="18"/>
      <c r="M244" s="18"/>
      <c r="N244" s="19"/>
      <c r="O244" s="19"/>
      <c r="P244" s="41"/>
      <c r="Q244" s="41"/>
      <c r="R244" s="187"/>
      <c r="S244" s="187"/>
      <c r="T244" s="21"/>
    </row>
    <row r="245" spans="1:40" s="2" customFormat="1" ht="15" customHeight="1" x14ac:dyDescent="0.25">
      <c r="A245" s="68"/>
      <c r="B245" s="643"/>
      <c r="C245" s="299"/>
      <c r="D245" s="385"/>
      <c r="E245" s="385"/>
      <c r="F245" s="16"/>
      <c r="G245" s="16"/>
      <c r="H245" s="17"/>
      <c r="I245" s="17"/>
      <c r="J245" s="262"/>
      <c r="K245" s="262"/>
      <c r="L245" s="18"/>
      <c r="M245" s="18"/>
      <c r="N245" s="19"/>
      <c r="O245" s="19"/>
      <c r="P245" s="41"/>
      <c r="Q245" s="41"/>
      <c r="R245" s="187"/>
      <c r="S245" s="187"/>
      <c r="T245" s="21"/>
    </row>
    <row r="246" spans="1:40" s="2" customFormat="1" ht="15" customHeight="1" x14ac:dyDescent="0.25">
      <c r="A246" s="68"/>
      <c r="B246" s="643"/>
      <c r="C246" s="299"/>
      <c r="D246" s="385"/>
      <c r="E246" s="385"/>
      <c r="F246" s="16"/>
      <c r="G246" s="16"/>
      <c r="H246" s="17"/>
      <c r="I246" s="17"/>
      <c r="J246" s="262"/>
      <c r="K246" s="262"/>
      <c r="L246" s="18"/>
      <c r="M246" s="18"/>
      <c r="N246" s="19"/>
      <c r="O246" s="19"/>
      <c r="P246" s="41"/>
      <c r="Q246" s="41"/>
      <c r="R246" s="187"/>
      <c r="S246" s="187"/>
      <c r="T246" s="21"/>
    </row>
    <row r="247" spans="1:40" s="2" customFormat="1" ht="15" customHeight="1" x14ac:dyDescent="0.25">
      <c r="A247" s="68"/>
      <c r="B247" s="643"/>
      <c r="C247" s="299"/>
      <c r="D247" s="385"/>
      <c r="E247" s="385"/>
      <c r="F247" s="16"/>
      <c r="G247" s="16"/>
      <c r="H247" s="17"/>
      <c r="I247" s="17"/>
      <c r="J247" s="262"/>
      <c r="K247" s="262"/>
      <c r="L247" s="18"/>
      <c r="M247" s="18"/>
      <c r="N247" s="19"/>
      <c r="O247" s="19"/>
      <c r="P247" s="41"/>
      <c r="Q247" s="41"/>
      <c r="R247" s="187"/>
      <c r="S247" s="187"/>
      <c r="T247" s="21"/>
    </row>
    <row r="248" spans="1:40" s="2" customFormat="1" ht="15" customHeight="1" x14ac:dyDescent="0.25">
      <c r="A248" s="68"/>
      <c r="B248" s="643"/>
      <c r="C248" s="299"/>
      <c r="D248" s="385"/>
      <c r="E248" s="385"/>
      <c r="F248" s="16"/>
      <c r="G248" s="16"/>
      <c r="H248" s="17"/>
      <c r="I248" s="17"/>
      <c r="J248" s="262"/>
      <c r="K248" s="262"/>
      <c r="L248" s="18"/>
      <c r="M248" s="18"/>
      <c r="N248" s="19"/>
      <c r="O248" s="19"/>
      <c r="P248" s="41"/>
      <c r="Q248" s="41"/>
      <c r="R248" s="187"/>
      <c r="S248" s="187"/>
      <c r="T248" s="21"/>
    </row>
    <row r="249" spans="1:40" s="2" customFormat="1" ht="15.75" customHeight="1" x14ac:dyDescent="0.25">
      <c r="A249" s="68"/>
      <c r="B249" s="643"/>
      <c r="C249" s="299"/>
      <c r="D249" s="385"/>
      <c r="E249" s="386"/>
      <c r="F249" s="16"/>
      <c r="G249" s="16"/>
      <c r="H249" s="17"/>
      <c r="I249" s="17"/>
      <c r="J249" s="262"/>
      <c r="K249" s="262"/>
      <c r="L249" s="18"/>
      <c r="M249" s="18"/>
      <c r="N249" s="19"/>
      <c r="O249" s="19"/>
      <c r="P249" s="41"/>
      <c r="Q249" s="41"/>
      <c r="R249" s="187"/>
      <c r="S249" s="187"/>
      <c r="T249" s="21"/>
    </row>
    <row r="250" spans="1:40" s="2" customFormat="1" ht="15" customHeight="1" x14ac:dyDescent="0.25">
      <c r="A250" s="68"/>
      <c r="B250" s="643"/>
      <c r="C250" s="299"/>
      <c r="D250" s="385"/>
      <c r="E250" s="385"/>
      <c r="F250" s="16"/>
      <c r="G250" s="16"/>
      <c r="H250" s="17"/>
      <c r="I250" s="17"/>
      <c r="J250" s="262"/>
      <c r="K250" s="262"/>
      <c r="L250" s="18"/>
      <c r="M250" s="18"/>
      <c r="N250" s="19"/>
      <c r="O250" s="19"/>
      <c r="P250" s="41"/>
      <c r="Q250" s="41"/>
      <c r="R250" s="187"/>
      <c r="S250" s="187"/>
      <c r="T250" s="21"/>
    </row>
    <row r="251" spans="1:40" s="2" customFormat="1" ht="15" customHeight="1" x14ac:dyDescent="0.25">
      <c r="A251" s="68"/>
      <c r="B251" s="643"/>
      <c r="C251" s="299"/>
      <c r="D251" s="385"/>
      <c r="E251" s="385"/>
      <c r="F251" s="16"/>
      <c r="G251" s="16"/>
      <c r="H251" s="17"/>
      <c r="I251" s="17"/>
      <c r="J251" s="262"/>
      <c r="K251" s="262"/>
      <c r="L251" s="18"/>
      <c r="M251" s="18"/>
      <c r="N251" s="19"/>
      <c r="O251" s="19"/>
      <c r="P251" s="41"/>
      <c r="Q251" s="41"/>
      <c r="R251" s="187"/>
      <c r="S251" s="187"/>
      <c r="T251" s="21"/>
    </row>
    <row r="252" spans="1:40" s="2" customFormat="1" ht="15" customHeight="1" x14ac:dyDescent="0.25">
      <c r="A252" s="68"/>
      <c r="B252" s="643"/>
      <c r="C252" s="299"/>
      <c r="D252" s="385"/>
      <c r="E252" s="385"/>
      <c r="F252" s="16"/>
      <c r="G252" s="16"/>
      <c r="H252" s="17"/>
      <c r="I252" s="17"/>
      <c r="J252" s="262"/>
      <c r="K252" s="262"/>
      <c r="L252" s="18"/>
      <c r="M252" s="18"/>
      <c r="N252" s="19"/>
      <c r="O252" s="19"/>
      <c r="P252" s="41"/>
      <c r="Q252" s="41"/>
      <c r="R252" s="187"/>
      <c r="S252" s="187"/>
      <c r="T252" s="21"/>
    </row>
    <row r="253" spans="1:40" s="2" customFormat="1" ht="15" customHeight="1" x14ac:dyDescent="0.25">
      <c r="A253" s="68"/>
      <c r="B253" s="643"/>
      <c r="C253" s="299"/>
      <c r="D253" s="385"/>
      <c r="E253" s="385"/>
      <c r="F253" s="16"/>
      <c r="G253" s="16"/>
      <c r="H253" s="17"/>
      <c r="I253" s="17"/>
      <c r="J253" s="262"/>
      <c r="K253" s="262"/>
      <c r="L253" s="18"/>
      <c r="M253" s="18"/>
      <c r="N253" s="19"/>
      <c r="O253" s="19"/>
      <c r="P253" s="41"/>
      <c r="Q253" s="41"/>
      <c r="R253" s="187"/>
      <c r="S253" s="187"/>
      <c r="T253" s="22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40" ht="15" customHeight="1" x14ac:dyDescent="0.25">
      <c r="A254" s="68"/>
      <c r="B254" s="643"/>
      <c r="C254" s="299"/>
      <c r="D254" s="385"/>
      <c r="E254" s="385"/>
      <c r="F254" s="16"/>
      <c r="G254" s="16"/>
      <c r="H254" s="17"/>
      <c r="I254" s="17"/>
      <c r="J254" s="262"/>
      <c r="K254" s="262"/>
      <c r="L254" s="18"/>
      <c r="M254" s="18"/>
      <c r="N254" s="19"/>
      <c r="O254" s="19"/>
      <c r="P254" s="41"/>
      <c r="Q254" s="41"/>
      <c r="R254" s="187"/>
      <c r="S254" s="187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5" customHeight="1" x14ac:dyDescent="0.25">
      <c r="A255" s="68"/>
      <c r="B255" s="643"/>
      <c r="C255" s="299"/>
      <c r="D255" s="385"/>
      <c r="E255" s="385"/>
      <c r="F255" s="16"/>
      <c r="G255" s="16"/>
      <c r="H255" s="17"/>
      <c r="I255" s="17"/>
      <c r="J255" s="262"/>
      <c r="K255" s="278"/>
      <c r="L255" s="18"/>
      <c r="M255" s="18"/>
      <c r="N255" s="19"/>
      <c r="O255" s="19"/>
      <c r="P255" s="41"/>
      <c r="Q255" s="41"/>
      <c r="R255" s="187"/>
      <c r="S255" s="187"/>
    </row>
    <row r="256" spans="1:40" ht="15" customHeight="1" x14ac:dyDescent="0.25">
      <c r="A256" s="68"/>
      <c r="B256" s="643"/>
      <c r="C256" s="299"/>
      <c r="D256" s="385"/>
      <c r="E256" s="385"/>
      <c r="F256" s="16"/>
      <c r="G256" s="16"/>
      <c r="H256" s="17"/>
      <c r="I256" s="17"/>
      <c r="J256" s="262"/>
      <c r="K256" s="262"/>
      <c r="L256" s="18"/>
      <c r="M256" s="18"/>
      <c r="N256" s="19"/>
      <c r="O256" s="19"/>
      <c r="P256" s="41"/>
      <c r="Q256" s="41"/>
      <c r="R256" s="187"/>
      <c r="S256" s="187"/>
    </row>
    <row r="257" spans="1:40" ht="15" customHeight="1" x14ac:dyDescent="0.25">
      <c r="A257" s="68"/>
      <c r="B257" s="643"/>
      <c r="C257" s="299"/>
      <c r="D257" s="385"/>
      <c r="E257" s="385"/>
      <c r="F257" s="16"/>
      <c r="G257" s="16"/>
      <c r="H257" s="17"/>
      <c r="I257" s="17"/>
      <c r="J257" s="262"/>
      <c r="K257" s="262"/>
      <c r="L257" s="18"/>
      <c r="M257" s="18"/>
      <c r="N257" s="19"/>
      <c r="O257" s="19"/>
      <c r="P257" s="41"/>
      <c r="Q257" s="41"/>
      <c r="R257" s="187"/>
      <c r="S257" s="187"/>
    </row>
    <row r="258" spans="1:40" ht="15" customHeight="1" x14ac:dyDescent="0.25">
      <c r="A258" s="68"/>
      <c r="B258" s="643"/>
      <c r="C258" s="299"/>
      <c r="D258" s="385"/>
      <c r="E258" s="385"/>
      <c r="F258" s="16"/>
      <c r="G258" s="16"/>
      <c r="H258" s="17"/>
      <c r="I258" s="17"/>
      <c r="J258" s="262"/>
      <c r="K258" s="262"/>
      <c r="L258" s="18"/>
      <c r="M258" s="18"/>
      <c r="N258" s="19"/>
      <c r="O258" s="19"/>
      <c r="P258" s="41"/>
      <c r="Q258" s="41"/>
      <c r="R258" s="187"/>
      <c r="S258" s="187"/>
    </row>
    <row r="259" spans="1:40" ht="15" customHeight="1" x14ac:dyDescent="0.25">
      <c r="A259" s="68"/>
      <c r="B259" s="643"/>
      <c r="C259" s="299"/>
      <c r="D259" s="385"/>
      <c r="E259" s="385"/>
      <c r="F259" s="16"/>
      <c r="G259" s="16"/>
      <c r="H259" s="17"/>
      <c r="I259" s="17"/>
      <c r="J259" s="262"/>
      <c r="K259" s="262"/>
      <c r="L259" s="18"/>
      <c r="M259" s="18"/>
      <c r="N259" s="19"/>
      <c r="O259" s="19"/>
      <c r="P259" s="41"/>
      <c r="Q259" s="41"/>
      <c r="R259" s="187"/>
      <c r="S259" s="187"/>
    </row>
    <row r="260" spans="1:40" ht="15" customHeight="1" x14ac:dyDescent="0.25">
      <c r="A260" s="68"/>
      <c r="B260" s="643"/>
      <c r="C260" s="299"/>
      <c r="D260" s="385"/>
      <c r="E260" s="385"/>
      <c r="F260" s="16"/>
      <c r="G260" s="16"/>
      <c r="H260" s="17"/>
      <c r="I260" s="17"/>
      <c r="J260" s="262"/>
      <c r="K260" s="262"/>
      <c r="L260" s="18"/>
      <c r="M260" s="18"/>
      <c r="N260" s="19"/>
      <c r="O260" s="19"/>
      <c r="P260" s="41"/>
      <c r="Q260" s="41"/>
      <c r="R260" s="187"/>
      <c r="S260" s="187"/>
    </row>
    <row r="261" spans="1:40" ht="15" customHeight="1" x14ac:dyDescent="0.25">
      <c r="A261" s="68"/>
      <c r="B261" s="643"/>
      <c r="C261" s="299"/>
      <c r="D261" s="385"/>
      <c r="E261" s="385"/>
      <c r="F261" s="16"/>
      <c r="G261" s="16"/>
      <c r="H261" s="17"/>
      <c r="I261" s="17"/>
      <c r="J261" s="262"/>
      <c r="K261" s="262"/>
      <c r="L261" s="18"/>
      <c r="M261" s="18"/>
      <c r="N261" s="19"/>
      <c r="O261" s="19"/>
      <c r="P261" s="41"/>
      <c r="Q261" s="41"/>
      <c r="R261" s="187"/>
      <c r="S261" s="187"/>
    </row>
    <row r="262" spans="1:40" ht="15" customHeight="1" x14ac:dyDescent="0.25">
      <c r="A262" s="68"/>
      <c r="B262" s="643"/>
      <c r="C262" s="299"/>
      <c r="D262" s="385"/>
      <c r="E262" s="385"/>
      <c r="F262" s="16"/>
      <c r="G262" s="16"/>
      <c r="H262" s="17"/>
      <c r="I262" s="17"/>
      <c r="J262" s="262"/>
      <c r="K262" s="262"/>
      <c r="L262" s="18"/>
      <c r="M262" s="18"/>
      <c r="N262" s="19"/>
      <c r="O262" s="19"/>
      <c r="P262" s="41"/>
      <c r="Q262" s="41"/>
      <c r="R262" s="187"/>
      <c r="S262" s="187"/>
      <c r="T262" s="9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40" s="2" customFormat="1" ht="15" customHeight="1" x14ac:dyDescent="0.25">
      <c r="A263" s="68"/>
      <c r="B263" s="643"/>
      <c r="C263" s="299"/>
      <c r="D263" s="385"/>
      <c r="E263" s="385"/>
      <c r="F263" s="16"/>
      <c r="G263" s="16"/>
      <c r="H263" s="17"/>
      <c r="I263" s="17"/>
      <c r="J263" s="262"/>
      <c r="K263" s="262"/>
      <c r="L263" s="18"/>
      <c r="M263" s="18"/>
      <c r="N263" s="19"/>
      <c r="O263" s="19"/>
      <c r="P263" s="41"/>
      <c r="Q263" s="41"/>
      <c r="R263" s="187"/>
      <c r="S263" s="187"/>
      <c r="T263" s="92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s="2" customFormat="1" ht="15" customHeight="1" x14ac:dyDescent="0.25">
      <c r="A264" s="68"/>
      <c r="B264" s="643"/>
      <c r="C264" s="299"/>
      <c r="D264" s="385"/>
      <c r="E264" s="385"/>
      <c r="F264" s="16"/>
      <c r="G264" s="16"/>
      <c r="H264" s="17"/>
      <c r="I264" s="17"/>
      <c r="J264" s="262"/>
      <c r="K264" s="262"/>
      <c r="L264" s="18"/>
      <c r="M264" s="18"/>
      <c r="N264" s="19"/>
      <c r="O264" s="19"/>
      <c r="P264" s="41"/>
      <c r="Q264" s="41"/>
      <c r="R264" s="187"/>
      <c r="S264" s="187"/>
      <c r="T264" s="92"/>
    </row>
    <row r="265" spans="1:40" s="2" customFormat="1" ht="15" customHeight="1" x14ac:dyDescent="0.25">
      <c r="A265" s="68"/>
      <c r="B265" s="643"/>
      <c r="C265" s="299"/>
      <c r="D265" s="385"/>
      <c r="E265" s="385"/>
      <c r="F265" s="16"/>
      <c r="G265" s="16"/>
      <c r="H265" s="17"/>
      <c r="I265" s="17"/>
      <c r="J265" s="262"/>
      <c r="K265" s="262"/>
      <c r="L265" s="18"/>
      <c r="M265" s="18"/>
      <c r="N265" s="19"/>
      <c r="O265" s="19"/>
      <c r="P265" s="41"/>
      <c r="Q265" s="41"/>
      <c r="R265" s="187"/>
      <c r="S265" s="187"/>
      <c r="T265" s="92"/>
    </row>
    <row r="266" spans="1:40" s="2" customFormat="1" ht="15" customHeight="1" x14ac:dyDescent="0.25">
      <c r="A266" s="68"/>
      <c r="B266" s="299"/>
      <c r="C266" s="299"/>
      <c r="D266" s="385"/>
      <c r="E266" s="385"/>
      <c r="F266" s="16"/>
      <c r="G266" s="16"/>
      <c r="H266" s="17"/>
      <c r="I266" s="17"/>
      <c r="J266" s="262"/>
      <c r="K266" s="262"/>
      <c r="L266" s="18"/>
      <c r="M266" s="18"/>
      <c r="N266" s="19"/>
      <c r="O266" s="19"/>
      <c r="P266" s="41"/>
      <c r="Q266" s="41"/>
      <c r="R266" s="187"/>
      <c r="S266" s="187"/>
      <c r="T266" s="22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40" ht="15" customHeight="1" x14ac:dyDescent="0.25">
      <c r="A267" s="68"/>
      <c r="B267" s="299"/>
      <c r="C267" s="299"/>
      <c r="D267" s="385"/>
      <c r="E267" s="385"/>
      <c r="F267" s="16"/>
      <c r="G267" s="16"/>
      <c r="H267" s="17"/>
      <c r="I267" s="17"/>
      <c r="J267" s="262"/>
      <c r="K267" s="262"/>
      <c r="L267" s="18"/>
      <c r="M267" s="18"/>
      <c r="N267" s="19"/>
      <c r="O267" s="19"/>
      <c r="P267" s="41"/>
      <c r="Q267" s="41"/>
      <c r="R267" s="187"/>
      <c r="S267" s="187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5" customHeight="1" x14ac:dyDescent="0.25">
      <c r="A268" s="68"/>
      <c r="B268" s="299"/>
      <c r="C268" s="299"/>
      <c r="D268" s="385"/>
      <c r="E268" s="385"/>
      <c r="F268" s="16"/>
      <c r="G268" s="16"/>
      <c r="H268" s="17"/>
      <c r="I268" s="17"/>
      <c r="J268" s="262"/>
      <c r="K268" s="262"/>
      <c r="L268" s="18"/>
      <c r="M268" s="18"/>
      <c r="N268" s="19"/>
      <c r="O268" s="19"/>
      <c r="P268" s="41"/>
      <c r="Q268" s="41"/>
      <c r="R268" s="187"/>
      <c r="S268" s="187"/>
    </row>
    <row r="269" spans="1:40" ht="15" customHeight="1" x14ac:dyDescent="0.25">
      <c r="A269" s="68"/>
      <c r="B269" s="299"/>
      <c r="C269" s="299"/>
      <c r="D269" s="385"/>
      <c r="E269" s="385"/>
      <c r="F269" s="16"/>
      <c r="G269" s="16"/>
      <c r="H269" s="17"/>
      <c r="I269" s="17"/>
      <c r="J269" s="262"/>
      <c r="K269" s="262"/>
      <c r="L269" s="18"/>
      <c r="M269" s="18"/>
      <c r="N269" s="19"/>
      <c r="O269" s="19"/>
      <c r="P269" s="41"/>
      <c r="Q269" s="41"/>
      <c r="R269" s="187"/>
      <c r="S269" s="187"/>
    </row>
    <row r="270" spans="1:40" ht="15" customHeight="1" x14ac:dyDescent="0.25">
      <c r="A270" s="68"/>
      <c r="B270" s="299"/>
      <c r="C270" s="299"/>
      <c r="D270" s="385"/>
      <c r="E270" s="385"/>
      <c r="F270" s="16"/>
      <c r="G270" s="16"/>
      <c r="H270" s="17"/>
      <c r="I270" s="17"/>
      <c r="J270" s="262"/>
      <c r="K270" s="262"/>
      <c r="L270" s="18"/>
      <c r="M270" s="18"/>
      <c r="N270" s="19"/>
      <c r="O270" s="19"/>
      <c r="P270" s="41"/>
      <c r="Q270" s="41"/>
      <c r="R270" s="187"/>
      <c r="S270" s="187"/>
    </row>
    <row r="271" spans="1:40" ht="15" customHeight="1" x14ac:dyDescent="0.25">
      <c r="A271" s="68"/>
      <c r="B271" s="299"/>
      <c r="C271" s="299"/>
      <c r="D271" s="385"/>
      <c r="E271" s="385"/>
      <c r="F271" s="16"/>
      <c r="G271" s="16"/>
      <c r="H271" s="17"/>
      <c r="I271" s="17"/>
      <c r="J271" s="262"/>
      <c r="K271" s="262"/>
      <c r="L271" s="18"/>
      <c r="M271" s="18"/>
      <c r="N271" s="19"/>
      <c r="O271" s="19"/>
      <c r="P271" s="41"/>
      <c r="Q271" s="41"/>
      <c r="R271" s="187"/>
      <c r="S271" s="187"/>
    </row>
    <row r="272" spans="1:40" ht="15" customHeight="1" x14ac:dyDescent="0.25">
      <c r="A272" s="68"/>
      <c r="B272" s="299"/>
      <c r="C272" s="299"/>
      <c r="D272" s="385"/>
      <c r="E272" s="385"/>
      <c r="F272" s="16"/>
      <c r="G272" s="16"/>
      <c r="H272" s="17"/>
      <c r="I272" s="17"/>
      <c r="J272" s="262"/>
      <c r="K272" s="262"/>
      <c r="L272" s="18"/>
      <c r="M272" s="18"/>
      <c r="N272" s="19"/>
      <c r="O272" s="19"/>
      <c r="P272" s="41"/>
      <c r="Q272" s="41"/>
      <c r="R272" s="187"/>
      <c r="S272" s="187"/>
    </row>
    <row r="273" spans="1:19" ht="15" customHeight="1" x14ac:dyDescent="0.25">
      <c r="A273" s="68"/>
      <c r="B273" s="299"/>
      <c r="C273" s="299"/>
      <c r="D273" s="385"/>
      <c r="E273" s="385"/>
      <c r="F273" s="16"/>
      <c r="G273" s="16"/>
      <c r="H273" s="17"/>
      <c r="I273" s="17"/>
      <c r="J273" s="262"/>
      <c r="K273" s="262"/>
      <c r="L273" s="18"/>
      <c r="M273" s="18"/>
      <c r="N273" s="19"/>
      <c r="O273" s="19"/>
      <c r="P273" s="41"/>
      <c r="Q273" s="41"/>
      <c r="R273" s="187"/>
      <c r="S273" s="187"/>
    </row>
    <row r="274" spans="1:19" ht="15" customHeight="1" x14ac:dyDescent="0.25">
      <c r="A274" s="68"/>
      <c r="B274" s="299"/>
      <c r="C274" s="299"/>
      <c r="D274" s="385"/>
      <c r="E274" s="385"/>
      <c r="F274" s="16"/>
      <c r="G274" s="16"/>
      <c r="H274" s="17"/>
      <c r="I274" s="17"/>
      <c r="J274" s="262"/>
      <c r="K274" s="262"/>
      <c r="L274" s="18"/>
      <c r="M274" s="18"/>
      <c r="N274" s="19"/>
      <c r="O274" s="19"/>
      <c r="P274" s="41"/>
      <c r="Q274" s="41"/>
      <c r="R274" s="187"/>
      <c r="S274" s="187"/>
    </row>
    <row r="275" spans="1:19" ht="15" customHeight="1" x14ac:dyDescent="0.25">
      <c r="A275" s="68"/>
      <c r="B275" s="299"/>
      <c r="C275" s="299"/>
      <c r="D275" s="385"/>
      <c r="E275" s="385"/>
      <c r="F275" s="16"/>
      <c r="G275" s="16"/>
      <c r="H275" s="17"/>
      <c r="I275" s="17"/>
      <c r="J275" s="262"/>
      <c r="K275" s="262"/>
      <c r="L275" s="18"/>
      <c r="M275" s="18"/>
      <c r="N275" s="19"/>
      <c r="O275" s="19"/>
      <c r="P275" s="41"/>
      <c r="Q275" s="41"/>
      <c r="R275" s="187"/>
      <c r="S275" s="187"/>
    </row>
    <row r="276" spans="1:19" ht="15" customHeight="1" x14ac:dyDescent="0.25">
      <c r="A276" s="68"/>
      <c r="B276" s="299"/>
      <c r="C276" s="299"/>
      <c r="D276" s="385"/>
      <c r="E276" s="385"/>
      <c r="F276" s="16"/>
      <c r="G276" s="16"/>
      <c r="H276" s="17"/>
      <c r="I276" s="17"/>
      <c r="J276" s="262"/>
      <c r="K276" s="262"/>
      <c r="L276" s="18"/>
      <c r="M276" s="18"/>
      <c r="N276" s="19"/>
      <c r="O276" s="19"/>
      <c r="P276" s="41"/>
      <c r="Q276" s="41"/>
      <c r="R276" s="187"/>
      <c r="S276" s="187"/>
    </row>
    <row r="277" spans="1:19" ht="15" customHeight="1" x14ac:dyDescent="0.25">
      <c r="A277" s="68"/>
      <c r="B277" s="299"/>
      <c r="C277" s="299"/>
      <c r="D277" s="385"/>
      <c r="E277" s="385"/>
      <c r="F277" s="16"/>
      <c r="G277" s="16"/>
      <c r="H277" s="17"/>
      <c r="I277" s="17"/>
      <c r="J277" s="262"/>
      <c r="K277" s="262"/>
      <c r="L277" s="18"/>
      <c r="M277" s="18"/>
      <c r="N277" s="19"/>
      <c r="O277" s="19"/>
      <c r="P277" s="41"/>
      <c r="Q277" s="41"/>
      <c r="R277" s="187"/>
      <c r="S277" s="187"/>
    </row>
    <row r="278" spans="1:19" ht="15" customHeight="1" x14ac:dyDescent="0.25">
      <c r="A278" s="68"/>
      <c r="B278" s="299"/>
      <c r="C278" s="299"/>
      <c r="D278" s="385"/>
      <c r="E278" s="385"/>
      <c r="F278" s="16"/>
      <c r="G278" s="16"/>
      <c r="H278" s="17"/>
      <c r="I278" s="17"/>
      <c r="J278" s="262"/>
      <c r="K278" s="262"/>
      <c r="L278" s="18"/>
      <c r="M278" s="18"/>
      <c r="N278" s="19"/>
      <c r="O278" s="19"/>
      <c r="P278" s="41"/>
      <c r="Q278" s="41"/>
      <c r="R278" s="187"/>
      <c r="S278" s="187"/>
    </row>
    <row r="279" spans="1:19" ht="15" customHeight="1" x14ac:dyDescent="0.25">
      <c r="A279" s="68"/>
      <c r="B279" s="299"/>
      <c r="C279" s="299"/>
      <c r="D279" s="385"/>
      <c r="E279" s="385"/>
      <c r="F279" s="16"/>
      <c r="G279" s="16"/>
      <c r="H279" s="17"/>
      <c r="I279" s="17"/>
      <c r="J279" s="262"/>
      <c r="K279" s="262"/>
      <c r="L279" s="18"/>
      <c r="M279" s="18"/>
      <c r="N279" s="19"/>
      <c r="O279" s="19"/>
      <c r="P279" s="41"/>
      <c r="Q279" s="41"/>
      <c r="R279" s="187"/>
      <c r="S279" s="187"/>
    </row>
    <row r="280" spans="1:19" ht="15" customHeight="1" x14ac:dyDescent="0.25">
      <c r="A280" s="68"/>
      <c r="B280" s="299"/>
      <c r="C280" s="299"/>
      <c r="D280" s="385"/>
      <c r="E280" s="385"/>
      <c r="F280" s="16"/>
      <c r="G280" s="16"/>
      <c r="H280" s="17"/>
      <c r="I280" s="17"/>
      <c r="J280" s="262"/>
      <c r="K280" s="262"/>
      <c r="L280" s="18"/>
      <c r="M280" s="18"/>
      <c r="N280" s="19"/>
      <c r="O280" s="19"/>
      <c r="P280" s="41"/>
      <c r="Q280" s="41"/>
      <c r="R280" s="187"/>
      <c r="S280" s="187"/>
    </row>
    <row r="281" spans="1:19" ht="15" customHeight="1" x14ac:dyDescent="0.25">
      <c r="A281" s="68"/>
      <c r="B281" s="299"/>
      <c r="C281" s="299"/>
      <c r="D281" s="385"/>
      <c r="E281" s="385"/>
      <c r="F281" s="16"/>
      <c r="G281" s="16"/>
      <c r="H281" s="17"/>
      <c r="I281" s="17"/>
      <c r="J281" s="262"/>
      <c r="K281" s="262"/>
      <c r="L281" s="18"/>
      <c r="M281" s="18"/>
      <c r="N281" s="19"/>
      <c r="O281" s="19"/>
      <c r="P281" s="41"/>
      <c r="Q281" s="41"/>
      <c r="R281" s="187"/>
      <c r="S281" s="187"/>
    </row>
    <row r="282" spans="1:19" ht="15" customHeight="1" x14ac:dyDescent="0.25">
      <c r="A282" s="68"/>
      <c r="B282" s="299"/>
      <c r="C282" s="299"/>
      <c r="D282" s="385"/>
      <c r="E282" s="385"/>
      <c r="F282" s="16"/>
      <c r="G282" s="16"/>
      <c r="H282" s="17"/>
      <c r="I282" s="17"/>
      <c r="J282" s="262"/>
      <c r="K282" s="262"/>
      <c r="L282" s="18"/>
      <c r="M282" s="18"/>
      <c r="N282" s="19"/>
      <c r="O282" s="19"/>
      <c r="P282" s="41"/>
      <c r="Q282" s="41"/>
      <c r="R282" s="187"/>
      <c r="S282" s="187"/>
    </row>
    <row r="283" spans="1:19" ht="15" customHeight="1" x14ac:dyDescent="0.25">
      <c r="A283" s="68"/>
      <c r="B283" s="299"/>
      <c r="C283" s="299"/>
      <c r="D283" s="385"/>
      <c r="E283" s="385"/>
      <c r="F283" s="16"/>
      <c r="G283" s="16"/>
      <c r="H283" s="17"/>
      <c r="I283" s="17"/>
      <c r="J283" s="262"/>
      <c r="K283" s="262"/>
      <c r="L283" s="18"/>
      <c r="M283" s="18"/>
      <c r="N283" s="19"/>
      <c r="O283" s="19"/>
      <c r="P283" s="41"/>
      <c r="Q283" s="41"/>
      <c r="R283" s="187"/>
      <c r="S283" s="187"/>
    </row>
    <row r="284" spans="1:19" ht="15" customHeight="1" x14ac:dyDescent="0.25">
      <c r="A284" s="68"/>
      <c r="B284" s="299"/>
      <c r="C284" s="299"/>
      <c r="D284" s="385"/>
      <c r="E284" s="385"/>
      <c r="F284" s="16"/>
      <c r="G284" s="16"/>
      <c r="H284" s="17"/>
      <c r="I284" s="17"/>
      <c r="J284" s="262"/>
      <c r="K284" s="262"/>
      <c r="L284" s="18"/>
      <c r="M284" s="18"/>
      <c r="N284" s="19"/>
      <c r="O284" s="19"/>
      <c r="P284" s="41"/>
      <c r="Q284" s="41"/>
      <c r="R284" s="187"/>
      <c r="S284" s="187"/>
    </row>
    <row r="285" spans="1:19" ht="15" customHeight="1" x14ac:dyDescent="0.25">
      <c r="A285" s="68"/>
      <c r="B285" s="299"/>
      <c r="C285" s="299"/>
      <c r="D285" s="385"/>
      <c r="E285" s="385"/>
      <c r="F285" s="16"/>
      <c r="G285" s="16"/>
      <c r="H285" s="17"/>
      <c r="I285" s="17"/>
      <c r="J285" s="262"/>
      <c r="K285" s="262"/>
      <c r="L285" s="18"/>
      <c r="M285" s="18"/>
      <c r="N285" s="19"/>
      <c r="O285" s="19"/>
      <c r="P285" s="41"/>
      <c r="Q285" s="41"/>
      <c r="R285" s="187"/>
      <c r="S285" s="187"/>
    </row>
    <row r="286" spans="1:19" ht="15" customHeight="1" x14ac:dyDescent="0.25">
      <c r="A286" s="68"/>
      <c r="B286" s="299"/>
      <c r="C286" s="299"/>
      <c r="D286" s="385"/>
      <c r="E286" s="385"/>
      <c r="F286" s="16"/>
      <c r="G286" s="16"/>
      <c r="H286" s="17"/>
      <c r="I286" s="17"/>
      <c r="J286" s="262"/>
      <c r="K286" s="262"/>
      <c r="L286" s="18"/>
      <c r="M286" s="18"/>
      <c r="N286" s="19"/>
      <c r="O286" s="19"/>
      <c r="P286" s="41"/>
      <c r="Q286" s="41"/>
      <c r="R286" s="187"/>
      <c r="S286" s="187"/>
    </row>
    <row r="287" spans="1:19" ht="15" customHeight="1" x14ac:dyDescent="0.25">
      <c r="A287" s="68"/>
      <c r="B287" s="299"/>
      <c r="C287" s="299"/>
      <c r="D287" s="385"/>
      <c r="E287" s="385"/>
      <c r="F287" s="16"/>
      <c r="G287" s="16"/>
      <c r="H287" s="17"/>
      <c r="I287" s="17"/>
      <c r="J287" s="262"/>
      <c r="K287" s="262"/>
      <c r="L287" s="18"/>
      <c r="M287" s="18"/>
      <c r="N287" s="19"/>
      <c r="O287" s="19"/>
      <c r="P287" s="41"/>
      <c r="Q287" s="41"/>
      <c r="R287" s="187"/>
      <c r="S287" s="187"/>
    </row>
    <row r="288" spans="1:19" ht="15" customHeight="1" x14ac:dyDescent="0.25">
      <c r="A288" s="68"/>
      <c r="B288" s="299"/>
      <c r="C288" s="299"/>
      <c r="D288" s="385"/>
      <c r="E288" s="385"/>
      <c r="F288" s="16"/>
      <c r="G288" s="16"/>
      <c r="H288" s="17"/>
      <c r="I288" s="17"/>
      <c r="J288" s="262"/>
      <c r="K288" s="262"/>
      <c r="L288" s="18"/>
      <c r="M288" s="18"/>
      <c r="N288" s="19"/>
      <c r="O288" s="19"/>
      <c r="P288" s="41"/>
      <c r="Q288" s="41"/>
      <c r="R288" s="187"/>
      <c r="S288" s="187"/>
    </row>
    <row r="289" spans="1:19" ht="15" customHeight="1" x14ac:dyDescent="0.25">
      <c r="A289" s="68"/>
      <c r="B289" s="299"/>
      <c r="C289" s="299"/>
      <c r="D289" s="385"/>
      <c r="E289" s="385"/>
      <c r="F289" s="16"/>
      <c r="G289" s="16"/>
      <c r="H289" s="17"/>
      <c r="I289" s="17"/>
      <c r="J289" s="262"/>
      <c r="K289" s="262"/>
      <c r="L289" s="18"/>
      <c r="M289" s="18"/>
      <c r="N289" s="19"/>
      <c r="O289" s="19"/>
      <c r="P289" s="41"/>
      <c r="Q289" s="41"/>
      <c r="R289" s="187"/>
      <c r="S289" s="187"/>
    </row>
    <row r="290" spans="1:19" ht="15" customHeight="1" x14ac:dyDescent="0.25">
      <c r="A290" s="68"/>
      <c r="B290" s="299"/>
      <c r="C290" s="299"/>
      <c r="D290" s="385"/>
      <c r="E290" s="385"/>
      <c r="F290" s="16"/>
      <c r="G290" s="16"/>
      <c r="H290" s="17"/>
      <c r="I290" s="17"/>
      <c r="J290" s="262"/>
      <c r="K290" s="262"/>
      <c r="L290" s="18"/>
      <c r="M290" s="18"/>
      <c r="N290" s="19"/>
      <c r="O290" s="19"/>
      <c r="P290" s="41"/>
      <c r="Q290" s="41"/>
      <c r="R290" s="187"/>
      <c r="S290" s="187"/>
    </row>
    <row r="291" spans="1:19" ht="15" customHeight="1" x14ac:dyDescent="0.25">
      <c r="A291" s="68"/>
      <c r="B291" s="299"/>
      <c r="C291" s="299"/>
      <c r="D291" s="385"/>
      <c r="E291" s="385"/>
      <c r="F291" s="16"/>
      <c r="G291" s="16"/>
      <c r="H291" s="17"/>
      <c r="I291" s="17"/>
      <c r="J291" s="262"/>
      <c r="K291" s="262"/>
      <c r="L291" s="18"/>
      <c r="M291" s="18"/>
      <c r="N291" s="19"/>
      <c r="O291" s="19"/>
      <c r="P291" s="41"/>
      <c r="Q291" s="41"/>
      <c r="R291" s="187"/>
      <c r="S291" s="187"/>
    </row>
    <row r="292" spans="1:19" ht="15" customHeight="1" x14ac:dyDescent="0.25">
      <c r="A292" s="68"/>
      <c r="B292" s="299"/>
      <c r="C292" s="299"/>
      <c r="D292" s="385"/>
      <c r="E292" s="385"/>
      <c r="F292" s="16"/>
      <c r="G292" s="16"/>
      <c r="H292" s="17"/>
      <c r="I292" s="17"/>
      <c r="J292" s="262"/>
      <c r="K292" s="262"/>
      <c r="L292" s="18"/>
      <c r="M292" s="18"/>
      <c r="N292" s="19"/>
      <c r="O292" s="19"/>
      <c r="P292" s="41"/>
      <c r="Q292" s="41"/>
      <c r="R292" s="187"/>
      <c r="S292" s="187"/>
    </row>
    <row r="293" spans="1:19" ht="15" customHeight="1" x14ac:dyDescent="0.25">
      <c r="A293" s="68"/>
      <c r="B293" s="299"/>
      <c r="C293" s="299"/>
      <c r="D293" s="385"/>
      <c r="E293" s="385"/>
      <c r="F293" s="16"/>
      <c r="G293" s="16"/>
      <c r="H293" s="17"/>
      <c r="I293" s="17"/>
      <c r="J293" s="262"/>
      <c r="K293" s="262"/>
      <c r="L293" s="18"/>
      <c r="M293" s="18"/>
      <c r="N293" s="19"/>
      <c r="O293" s="19"/>
      <c r="P293" s="41"/>
      <c r="Q293" s="41"/>
      <c r="R293" s="187"/>
      <c r="S293" s="187"/>
    </row>
    <row r="294" spans="1:19" ht="15" customHeight="1" x14ac:dyDescent="0.25">
      <c r="A294" s="68"/>
      <c r="B294" s="299"/>
      <c r="C294" s="299"/>
      <c r="D294" s="385"/>
      <c r="E294" s="385"/>
      <c r="F294" s="16"/>
      <c r="G294" s="16"/>
      <c r="H294" s="17"/>
      <c r="I294" s="17"/>
      <c r="J294" s="262"/>
      <c r="K294" s="262"/>
      <c r="L294" s="18"/>
      <c r="M294" s="18"/>
      <c r="N294" s="19"/>
      <c r="O294" s="19"/>
      <c r="P294" s="41"/>
      <c r="Q294" s="41"/>
      <c r="R294" s="187"/>
      <c r="S294" s="187"/>
    </row>
    <row r="295" spans="1:19" ht="15" customHeight="1" x14ac:dyDescent="0.25">
      <c r="A295" s="68"/>
      <c r="B295" s="299"/>
      <c r="C295" s="299"/>
      <c r="D295" s="385"/>
      <c r="E295" s="385"/>
      <c r="F295" s="16"/>
      <c r="G295" s="16"/>
      <c r="H295" s="17"/>
      <c r="I295" s="17"/>
      <c r="J295" s="262"/>
      <c r="K295" s="262"/>
      <c r="L295" s="18"/>
      <c r="M295" s="18"/>
      <c r="N295" s="19"/>
      <c r="O295" s="19"/>
      <c r="P295" s="41"/>
      <c r="Q295" s="41"/>
      <c r="R295" s="187"/>
      <c r="S295" s="187"/>
    </row>
    <row r="296" spans="1:19" ht="15" customHeight="1" x14ac:dyDescent="0.25">
      <c r="A296" s="68"/>
      <c r="B296" s="299"/>
      <c r="C296" s="299"/>
      <c r="D296" s="385"/>
      <c r="E296" s="385"/>
      <c r="F296" s="16"/>
      <c r="G296" s="16"/>
      <c r="H296" s="17"/>
      <c r="I296" s="17"/>
      <c r="J296" s="262"/>
      <c r="K296" s="262"/>
      <c r="L296" s="18"/>
      <c r="M296" s="18"/>
      <c r="N296" s="19"/>
      <c r="O296" s="19"/>
      <c r="P296" s="41"/>
      <c r="Q296" s="41"/>
      <c r="R296" s="187"/>
      <c r="S296" s="187"/>
    </row>
    <row r="297" spans="1:19" ht="15" customHeight="1" x14ac:dyDescent="0.25">
      <c r="A297" s="68"/>
      <c r="B297" s="299"/>
      <c r="C297" s="299"/>
      <c r="D297" s="385"/>
      <c r="E297" s="385"/>
      <c r="F297" s="16"/>
      <c r="G297" s="16"/>
      <c r="H297" s="17"/>
      <c r="I297" s="17"/>
      <c r="J297" s="262"/>
      <c r="K297" s="262"/>
      <c r="L297" s="18"/>
      <c r="M297" s="18"/>
      <c r="N297" s="19"/>
      <c r="O297" s="19"/>
      <c r="P297" s="41"/>
      <c r="Q297" s="41"/>
      <c r="R297" s="187"/>
      <c r="S297" s="187"/>
    </row>
    <row r="298" spans="1:19" ht="15" customHeight="1" x14ac:dyDescent="0.25">
      <c r="A298" s="68"/>
      <c r="B298" s="299"/>
      <c r="C298" s="299"/>
      <c r="D298" s="385"/>
      <c r="E298" s="385"/>
      <c r="F298" s="16"/>
      <c r="G298" s="16"/>
      <c r="H298" s="17"/>
      <c r="I298" s="17"/>
      <c r="J298" s="262"/>
      <c r="K298" s="262"/>
      <c r="L298" s="18"/>
      <c r="M298" s="18"/>
      <c r="N298" s="19"/>
      <c r="O298" s="19"/>
      <c r="P298" s="41"/>
      <c r="Q298" s="41"/>
      <c r="R298" s="187"/>
      <c r="S298" s="187"/>
    </row>
    <row r="299" spans="1:19" ht="15" customHeight="1" x14ac:dyDescent="0.25">
      <c r="A299" s="68"/>
      <c r="B299" s="299"/>
      <c r="C299" s="299"/>
      <c r="D299" s="385"/>
      <c r="E299" s="385"/>
      <c r="F299" s="16"/>
      <c r="G299" s="16"/>
      <c r="H299" s="17"/>
      <c r="I299" s="17"/>
      <c r="J299" s="262"/>
      <c r="K299" s="262"/>
      <c r="L299" s="18"/>
      <c r="M299" s="18"/>
      <c r="N299" s="19"/>
      <c r="O299" s="19"/>
      <c r="P299" s="41"/>
      <c r="Q299" s="41"/>
      <c r="R299" s="187"/>
      <c r="S299" s="187"/>
    </row>
    <row r="300" spans="1:19" ht="15" customHeight="1" x14ac:dyDescent="0.25">
      <c r="A300" s="68"/>
      <c r="B300" s="299"/>
      <c r="C300" s="299"/>
      <c r="D300" s="385"/>
      <c r="E300" s="385"/>
      <c r="F300" s="16"/>
      <c r="G300" s="16"/>
      <c r="H300" s="17"/>
      <c r="I300" s="17"/>
      <c r="J300" s="262"/>
      <c r="K300" s="262"/>
      <c r="L300" s="18"/>
      <c r="M300" s="18"/>
      <c r="N300" s="19"/>
      <c r="O300" s="19"/>
      <c r="P300" s="41"/>
      <c r="Q300" s="41"/>
      <c r="R300" s="187"/>
      <c r="S300" s="187"/>
    </row>
    <row r="301" spans="1:19" ht="15" customHeight="1" x14ac:dyDescent="0.25">
      <c r="A301" s="68"/>
      <c r="B301" s="299"/>
      <c r="C301" s="299"/>
      <c r="D301" s="385"/>
      <c r="E301" s="385"/>
      <c r="F301" s="16"/>
      <c r="G301" s="16"/>
      <c r="H301" s="17"/>
      <c r="I301" s="17"/>
      <c r="J301" s="262"/>
      <c r="K301" s="262"/>
      <c r="L301" s="18"/>
      <c r="M301" s="18"/>
      <c r="N301" s="19"/>
      <c r="O301" s="19"/>
      <c r="P301" s="41"/>
      <c r="Q301" s="41"/>
      <c r="R301" s="187"/>
      <c r="S301" s="187"/>
    </row>
    <row r="302" spans="1:19" ht="15" customHeight="1" x14ac:dyDescent="0.25">
      <c r="A302" s="68"/>
      <c r="B302" s="299"/>
      <c r="C302" s="299"/>
      <c r="D302" s="385"/>
      <c r="E302" s="385"/>
      <c r="F302" s="16"/>
      <c r="G302" s="16"/>
      <c r="H302" s="17"/>
      <c r="I302" s="17"/>
      <c r="J302" s="262"/>
      <c r="K302" s="262"/>
      <c r="L302" s="18"/>
      <c r="M302" s="18"/>
      <c r="N302" s="19"/>
      <c r="O302" s="19"/>
      <c r="P302" s="41"/>
      <c r="Q302" s="41"/>
      <c r="R302" s="187"/>
      <c r="S302" s="187"/>
    </row>
    <row r="303" spans="1:19" ht="15" customHeight="1" x14ac:dyDescent="0.25">
      <c r="A303" s="68"/>
      <c r="B303" s="299"/>
      <c r="C303" s="299"/>
      <c r="D303" s="385"/>
      <c r="E303" s="385"/>
      <c r="F303" s="16"/>
      <c r="G303" s="16"/>
      <c r="H303" s="17"/>
      <c r="I303" s="17"/>
      <c r="J303" s="262"/>
      <c r="K303" s="262"/>
      <c r="L303" s="18"/>
      <c r="M303" s="18"/>
      <c r="N303" s="19"/>
      <c r="O303" s="19"/>
      <c r="P303" s="41"/>
      <c r="Q303" s="41"/>
      <c r="R303" s="187"/>
      <c r="S303" s="187"/>
    </row>
    <row r="304" spans="1:19" ht="15" customHeight="1" x14ac:dyDescent="0.25">
      <c r="A304" s="68"/>
      <c r="B304" s="299"/>
      <c r="C304" s="299"/>
      <c r="D304" s="385"/>
      <c r="E304" s="385"/>
      <c r="F304" s="16"/>
      <c r="G304" s="16"/>
      <c r="H304" s="17"/>
      <c r="I304" s="17"/>
      <c r="J304" s="262"/>
      <c r="K304" s="262"/>
      <c r="L304" s="18"/>
      <c r="M304" s="18"/>
      <c r="N304" s="19"/>
      <c r="O304" s="19"/>
      <c r="P304" s="41"/>
      <c r="Q304" s="41"/>
      <c r="R304" s="187"/>
      <c r="S304" s="187"/>
    </row>
    <row r="305" spans="1:19" ht="15" customHeight="1" x14ac:dyDescent="0.25">
      <c r="A305" s="68"/>
      <c r="B305" s="299"/>
      <c r="C305" s="299"/>
      <c r="D305" s="385"/>
      <c r="E305" s="385"/>
      <c r="F305" s="16"/>
      <c r="G305" s="16"/>
      <c r="H305" s="17"/>
      <c r="I305" s="17"/>
      <c r="J305" s="262"/>
      <c r="K305" s="262"/>
      <c r="L305" s="18"/>
      <c r="M305" s="18"/>
      <c r="N305" s="19"/>
      <c r="O305" s="19"/>
      <c r="P305" s="41"/>
      <c r="Q305" s="41"/>
      <c r="R305" s="187"/>
      <c r="S305" s="187"/>
    </row>
    <row r="306" spans="1:19" ht="15" customHeight="1" x14ac:dyDescent="0.25">
      <c r="A306" s="68"/>
      <c r="B306" s="299"/>
      <c r="C306" s="299"/>
      <c r="D306" s="385"/>
      <c r="E306" s="385"/>
      <c r="F306" s="16"/>
      <c r="G306" s="16"/>
      <c r="H306" s="17"/>
      <c r="I306" s="17"/>
      <c r="J306" s="262"/>
      <c r="K306" s="262"/>
      <c r="L306" s="18"/>
      <c r="M306" s="18"/>
      <c r="N306" s="19"/>
      <c r="O306" s="19"/>
      <c r="P306" s="41"/>
      <c r="Q306" s="41"/>
      <c r="R306" s="187"/>
      <c r="S306" s="187"/>
    </row>
    <row r="307" spans="1:19" ht="15" customHeight="1" x14ac:dyDescent="0.25">
      <c r="A307" s="68"/>
      <c r="B307" s="299"/>
      <c r="C307" s="299"/>
      <c r="D307" s="385"/>
      <c r="E307" s="385"/>
      <c r="F307" s="16"/>
      <c r="G307" s="16"/>
      <c r="H307" s="17"/>
      <c r="I307" s="17"/>
      <c r="J307" s="262"/>
      <c r="K307" s="262"/>
      <c r="L307" s="18"/>
      <c r="M307" s="18"/>
      <c r="N307" s="19"/>
      <c r="O307" s="19"/>
      <c r="P307" s="41"/>
      <c r="Q307" s="41"/>
      <c r="R307" s="187"/>
      <c r="S307" s="187"/>
    </row>
    <row r="308" spans="1:19" ht="15" customHeight="1" x14ac:dyDescent="0.25">
      <c r="A308" s="68"/>
      <c r="B308" s="299"/>
      <c r="C308" s="299"/>
      <c r="D308" s="385"/>
      <c r="E308" s="385"/>
      <c r="F308" s="16"/>
      <c r="G308" s="16"/>
      <c r="H308" s="17"/>
      <c r="I308" s="17"/>
      <c r="J308" s="262"/>
      <c r="K308" s="262"/>
      <c r="L308" s="18"/>
      <c r="M308" s="18"/>
      <c r="N308" s="19"/>
      <c r="O308" s="19"/>
      <c r="P308" s="41"/>
      <c r="Q308" s="41"/>
      <c r="R308" s="187"/>
      <c r="S308" s="187"/>
    </row>
    <row r="309" spans="1:19" ht="15" customHeight="1" x14ac:dyDescent="0.25">
      <c r="A309" s="68"/>
      <c r="B309" s="299"/>
      <c r="C309" s="299"/>
      <c r="D309" s="385"/>
      <c r="E309" s="385"/>
      <c r="F309" s="16"/>
      <c r="G309" s="16"/>
      <c r="H309" s="17"/>
      <c r="I309" s="17"/>
      <c r="J309" s="262"/>
      <c r="K309" s="262"/>
      <c r="L309" s="18"/>
      <c r="M309" s="18"/>
      <c r="N309" s="19"/>
      <c r="O309" s="19"/>
      <c r="P309" s="41"/>
      <c r="Q309" s="41"/>
      <c r="R309" s="187"/>
      <c r="S309" s="187"/>
    </row>
    <row r="310" spans="1:19" ht="15" customHeight="1" x14ac:dyDescent="0.25">
      <c r="A310" s="68"/>
      <c r="B310" s="299"/>
      <c r="C310" s="299"/>
      <c r="D310" s="385"/>
      <c r="E310" s="385"/>
      <c r="F310" s="16"/>
      <c r="G310" s="16"/>
      <c r="H310" s="17"/>
      <c r="I310" s="17"/>
      <c r="J310" s="262"/>
      <c r="K310" s="262"/>
      <c r="L310" s="18"/>
      <c r="M310" s="18"/>
      <c r="N310" s="19"/>
      <c r="O310" s="19"/>
      <c r="P310" s="41"/>
      <c r="Q310" s="41"/>
      <c r="R310" s="187"/>
      <c r="S310" s="187"/>
    </row>
    <row r="311" spans="1:19" ht="15" customHeight="1" x14ac:dyDescent="0.25">
      <c r="A311" s="68"/>
      <c r="B311" s="299"/>
      <c r="C311" s="299"/>
      <c r="D311" s="385"/>
      <c r="E311" s="385"/>
      <c r="F311" s="16"/>
      <c r="G311" s="16"/>
      <c r="H311" s="17"/>
      <c r="I311" s="17"/>
      <c r="J311" s="262"/>
      <c r="K311" s="262"/>
      <c r="L311" s="18"/>
      <c r="M311" s="18"/>
      <c r="N311" s="19"/>
      <c r="O311" s="19"/>
      <c r="P311" s="41"/>
      <c r="Q311" s="41"/>
      <c r="R311" s="187"/>
      <c r="S311" s="187"/>
    </row>
    <row r="312" spans="1:19" ht="15" customHeight="1" x14ac:dyDescent="0.25">
      <c r="A312" s="68"/>
      <c r="B312" s="299"/>
      <c r="C312" s="299"/>
      <c r="D312" s="385"/>
      <c r="E312" s="385"/>
      <c r="F312" s="16"/>
      <c r="G312" s="16"/>
      <c r="H312" s="17"/>
      <c r="I312" s="17"/>
      <c r="J312" s="262"/>
      <c r="K312" s="262"/>
      <c r="L312" s="18"/>
      <c r="M312" s="18"/>
      <c r="N312" s="19"/>
      <c r="O312" s="19"/>
      <c r="P312" s="41"/>
      <c r="Q312" s="41"/>
      <c r="R312" s="187"/>
      <c r="S312" s="187"/>
    </row>
    <row r="313" spans="1:19" ht="15" customHeight="1" x14ac:dyDescent="0.25">
      <c r="A313" s="68"/>
      <c r="B313" s="299"/>
      <c r="C313" s="299"/>
      <c r="D313" s="385"/>
      <c r="E313" s="385"/>
      <c r="F313" s="16"/>
      <c r="G313" s="16"/>
      <c r="H313" s="17"/>
      <c r="I313" s="17"/>
      <c r="J313" s="262"/>
      <c r="K313" s="262"/>
      <c r="L313" s="18"/>
      <c r="M313" s="18"/>
      <c r="N313" s="19"/>
      <c r="O313" s="19"/>
      <c r="P313" s="41"/>
      <c r="Q313" s="41"/>
      <c r="R313" s="187"/>
      <c r="S313" s="187"/>
    </row>
    <row r="314" spans="1:19" ht="15" customHeight="1" x14ac:dyDescent="0.25">
      <c r="A314" s="68"/>
      <c r="B314" s="299"/>
      <c r="C314" s="299"/>
      <c r="D314" s="385"/>
      <c r="E314" s="385"/>
      <c r="F314" s="16"/>
      <c r="G314" s="16"/>
      <c r="H314" s="17"/>
      <c r="I314" s="17"/>
      <c r="J314" s="262"/>
      <c r="K314" s="262"/>
      <c r="L314" s="18"/>
      <c r="M314" s="18"/>
      <c r="N314" s="19"/>
      <c r="O314" s="19"/>
      <c r="P314" s="41"/>
      <c r="Q314" s="41"/>
      <c r="R314" s="187"/>
      <c r="S314" s="187"/>
    </row>
    <row r="315" spans="1:19" ht="15" customHeight="1" x14ac:dyDescent="0.25">
      <c r="A315" s="68"/>
      <c r="B315" s="299"/>
      <c r="C315" s="299"/>
      <c r="D315" s="385"/>
      <c r="E315" s="385"/>
      <c r="F315" s="16"/>
      <c r="G315" s="16"/>
      <c r="H315" s="17"/>
      <c r="I315" s="17"/>
      <c r="J315" s="262"/>
      <c r="K315" s="262"/>
      <c r="L315" s="18"/>
      <c r="M315" s="18"/>
      <c r="N315" s="19"/>
      <c r="O315" s="19"/>
      <c r="P315" s="41"/>
      <c r="Q315" s="41"/>
      <c r="R315" s="187"/>
      <c r="S315" s="187"/>
    </row>
    <row r="316" spans="1:19" ht="15" customHeight="1" x14ac:dyDescent="0.25">
      <c r="A316" s="68"/>
      <c r="B316" s="299"/>
      <c r="C316" s="299"/>
      <c r="D316" s="385"/>
      <c r="E316" s="385"/>
      <c r="F316" s="16"/>
      <c r="G316" s="16"/>
      <c r="H316" s="17"/>
      <c r="I316" s="17"/>
      <c r="J316" s="262"/>
      <c r="K316" s="262"/>
      <c r="L316" s="18"/>
      <c r="M316" s="18"/>
      <c r="N316" s="19"/>
      <c r="O316" s="19"/>
      <c r="P316" s="41"/>
      <c r="Q316" s="41"/>
      <c r="R316" s="187"/>
      <c r="S316" s="187"/>
    </row>
    <row r="317" spans="1:19" ht="15" customHeight="1" x14ac:dyDescent="0.25">
      <c r="A317" s="68"/>
      <c r="B317" s="299"/>
      <c r="C317" s="299"/>
      <c r="D317" s="385"/>
      <c r="E317" s="385"/>
      <c r="F317" s="16"/>
      <c r="G317" s="16"/>
      <c r="H317" s="17"/>
      <c r="I317" s="17"/>
      <c r="J317" s="262"/>
      <c r="K317" s="262"/>
      <c r="L317" s="18"/>
      <c r="M317" s="18"/>
      <c r="N317" s="19"/>
      <c r="O317" s="19"/>
      <c r="P317" s="41"/>
      <c r="Q317" s="41"/>
      <c r="R317" s="187"/>
      <c r="S317" s="187"/>
    </row>
    <row r="318" spans="1:19" ht="15" customHeight="1" x14ac:dyDescent="0.25">
      <c r="A318" s="68"/>
      <c r="B318" s="299"/>
      <c r="C318" s="299"/>
      <c r="D318" s="385"/>
      <c r="E318" s="385"/>
      <c r="F318" s="16"/>
      <c r="G318" s="16"/>
      <c r="H318" s="17"/>
      <c r="I318" s="17"/>
      <c r="J318" s="262"/>
      <c r="K318" s="262"/>
      <c r="L318" s="18"/>
      <c r="M318" s="18"/>
      <c r="N318" s="19"/>
      <c r="O318" s="19"/>
      <c r="P318" s="41"/>
      <c r="Q318" s="41"/>
      <c r="R318" s="187"/>
      <c r="S318" s="187"/>
    </row>
    <row r="319" spans="1:19" ht="15" customHeight="1" x14ac:dyDescent="0.25">
      <c r="A319" s="68"/>
      <c r="B319" s="299"/>
      <c r="C319" s="299"/>
      <c r="D319" s="385"/>
      <c r="E319" s="385"/>
      <c r="F319" s="16"/>
      <c r="G319" s="16"/>
      <c r="H319" s="17"/>
      <c r="I319" s="17"/>
      <c r="J319" s="262"/>
      <c r="K319" s="262"/>
      <c r="L319" s="18"/>
      <c r="M319" s="18"/>
      <c r="N319" s="19"/>
      <c r="O319" s="19"/>
      <c r="P319" s="41"/>
      <c r="Q319" s="41"/>
      <c r="R319" s="187"/>
      <c r="S319" s="187"/>
    </row>
    <row r="320" spans="1:19" ht="15" customHeight="1" x14ac:dyDescent="0.25">
      <c r="A320" s="68"/>
      <c r="B320" s="299"/>
      <c r="C320" s="299"/>
      <c r="D320" s="385"/>
      <c r="E320" s="385"/>
      <c r="F320" s="16"/>
      <c r="G320" s="16"/>
      <c r="H320" s="17"/>
      <c r="I320" s="17"/>
      <c r="J320" s="262"/>
      <c r="K320" s="281"/>
      <c r="L320" s="18"/>
      <c r="M320" s="18"/>
      <c r="N320" s="19"/>
      <c r="O320" s="19"/>
      <c r="P320" s="41"/>
      <c r="Q320" s="41"/>
      <c r="R320" s="187"/>
      <c r="S320" s="187"/>
    </row>
    <row r="321" spans="1:19" ht="15" customHeight="1" x14ac:dyDescent="0.25">
      <c r="A321" s="68"/>
      <c r="B321" s="299"/>
      <c r="C321" s="299"/>
      <c r="D321" s="385"/>
      <c r="E321" s="386"/>
      <c r="F321" s="16"/>
      <c r="G321" s="16"/>
      <c r="H321" s="17"/>
      <c r="I321" s="17"/>
      <c r="J321" s="262"/>
      <c r="K321" s="262"/>
      <c r="L321" s="18"/>
      <c r="M321" s="18"/>
      <c r="N321" s="19"/>
      <c r="O321" s="19"/>
      <c r="P321" s="41"/>
      <c r="Q321" s="41"/>
      <c r="R321" s="187"/>
      <c r="S321" s="187"/>
    </row>
    <row r="322" spans="1:19" ht="15" customHeight="1" x14ac:dyDescent="0.25">
      <c r="A322" s="68"/>
      <c r="B322" s="299"/>
      <c r="C322" s="299"/>
      <c r="D322" s="385"/>
      <c r="E322" s="385"/>
      <c r="F322" s="16"/>
      <c r="G322" s="16"/>
      <c r="H322" s="17"/>
      <c r="I322" s="17"/>
      <c r="J322" s="262"/>
      <c r="K322" s="262"/>
      <c r="L322" s="18"/>
      <c r="M322" s="18"/>
      <c r="N322" s="19"/>
      <c r="O322" s="19"/>
      <c r="P322" s="41"/>
      <c r="Q322" s="41"/>
      <c r="R322" s="187"/>
      <c r="S322" s="187"/>
    </row>
    <row r="323" spans="1:19" ht="15" customHeight="1" x14ac:dyDescent="0.25">
      <c r="A323" s="68"/>
      <c r="B323" s="299"/>
      <c r="C323" s="299"/>
      <c r="D323" s="385"/>
      <c r="E323" s="385"/>
      <c r="F323" s="16"/>
      <c r="G323" s="16"/>
      <c r="H323" s="17"/>
      <c r="I323" s="17"/>
      <c r="J323" s="262"/>
      <c r="K323" s="262"/>
      <c r="L323" s="18"/>
      <c r="M323" s="18"/>
      <c r="N323" s="19"/>
      <c r="O323" s="19"/>
      <c r="P323" s="41"/>
      <c r="Q323" s="41"/>
      <c r="R323" s="187"/>
      <c r="S323" s="187"/>
    </row>
    <row r="324" spans="1:19" ht="15" customHeight="1" x14ac:dyDescent="0.25">
      <c r="A324" s="68"/>
      <c r="B324" s="299"/>
      <c r="C324" s="299"/>
      <c r="D324" s="385"/>
      <c r="E324" s="385"/>
      <c r="F324" s="16"/>
      <c r="G324" s="16"/>
      <c r="H324" s="17"/>
      <c r="I324" s="17"/>
      <c r="J324" s="262"/>
      <c r="K324" s="262"/>
      <c r="L324" s="18"/>
      <c r="M324" s="18"/>
      <c r="N324" s="19"/>
      <c r="O324" s="19"/>
      <c r="P324" s="41"/>
      <c r="Q324" s="41"/>
      <c r="R324" s="187"/>
      <c r="S324" s="187"/>
    </row>
    <row r="325" spans="1:19" ht="15" customHeight="1" x14ac:dyDescent="0.25">
      <c r="A325" s="68"/>
      <c r="B325" s="299"/>
      <c r="C325" s="299"/>
      <c r="D325" s="385"/>
      <c r="E325" s="385"/>
      <c r="F325" s="16"/>
      <c r="G325" s="16"/>
      <c r="H325" s="17"/>
      <c r="I325" s="17"/>
      <c r="J325" s="262"/>
      <c r="K325" s="262"/>
      <c r="L325" s="18"/>
      <c r="M325" s="18"/>
      <c r="N325" s="19"/>
      <c r="O325" s="19"/>
      <c r="P325" s="41"/>
      <c r="Q325" s="41"/>
      <c r="R325" s="187"/>
      <c r="S325" s="187"/>
    </row>
    <row r="326" spans="1:19" ht="15" customHeight="1" x14ac:dyDescent="0.25">
      <c r="A326" s="68"/>
      <c r="B326" s="299"/>
      <c r="C326" s="299"/>
      <c r="D326" s="385"/>
      <c r="E326" s="385"/>
      <c r="F326" s="16"/>
      <c r="G326" s="16"/>
      <c r="H326" s="17"/>
      <c r="I326" s="17"/>
      <c r="J326" s="262"/>
      <c r="K326" s="262"/>
      <c r="L326" s="18"/>
      <c r="M326" s="18"/>
      <c r="N326" s="19"/>
      <c r="O326" s="19"/>
      <c r="P326" s="41"/>
      <c r="Q326" s="41"/>
      <c r="R326" s="187"/>
      <c r="S326" s="187"/>
    </row>
    <row r="327" spans="1:19" ht="15" customHeight="1" x14ac:dyDescent="0.25">
      <c r="A327" s="68"/>
      <c r="B327" s="299"/>
      <c r="C327" s="299"/>
      <c r="D327" s="385"/>
      <c r="E327" s="385"/>
      <c r="F327" s="16"/>
      <c r="G327" s="16"/>
      <c r="H327" s="17"/>
      <c r="I327" s="17"/>
      <c r="J327" s="262"/>
      <c r="K327" s="262"/>
      <c r="L327" s="18"/>
      <c r="M327" s="18"/>
      <c r="N327" s="19"/>
      <c r="O327" s="19"/>
      <c r="P327" s="41"/>
      <c r="Q327" s="41"/>
      <c r="R327" s="187"/>
      <c r="S327" s="187"/>
    </row>
    <row r="328" spans="1:19" ht="15" customHeight="1" x14ac:dyDescent="0.25">
      <c r="A328" s="68"/>
      <c r="B328" s="299"/>
      <c r="C328" s="299"/>
      <c r="D328" s="385"/>
      <c r="E328" s="385"/>
      <c r="F328" s="16"/>
      <c r="G328" s="16"/>
      <c r="H328" s="17"/>
      <c r="I328" s="17"/>
      <c r="J328" s="262"/>
      <c r="K328" s="262"/>
      <c r="L328" s="18"/>
      <c r="M328" s="18"/>
      <c r="N328" s="19"/>
      <c r="O328" s="19"/>
      <c r="P328" s="41"/>
      <c r="Q328" s="41"/>
      <c r="R328" s="187"/>
      <c r="S328" s="187"/>
    </row>
    <row r="329" spans="1:19" ht="15" customHeight="1" x14ac:dyDescent="0.25">
      <c r="A329" s="68"/>
      <c r="B329" s="299"/>
      <c r="C329" s="299"/>
      <c r="D329" s="385"/>
      <c r="E329" s="385"/>
      <c r="F329" s="16"/>
      <c r="G329" s="16"/>
      <c r="H329" s="17"/>
      <c r="I329" s="17"/>
      <c r="J329" s="262"/>
      <c r="K329" s="262"/>
      <c r="L329" s="18"/>
      <c r="M329" s="18"/>
      <c r="N329" s="19"/>
      <c r="O329" s="19"/>
      <c r="P329" s="41"/>
      <c r="Q329" s="41"/>
      <c r="R329" s="187"/>
      <c r="S329" s="187"/>
    </row>
    <row r="330" spans="1:19" ht="15" customHeight="1" x14ac:dyDescent="0.25">
      <c r="A330" s="68"/>
      <c r="B330" s="299"/>
      <c r="C330" s="299"/>
      <c r="D330" s="385"/>
      <c r="E330" s="385"/>
      <c r="F330" s="16"/>
      <c r="G330" s="16"/>
      <c r="H330" s="17"/>
      <c r="I330" s="17"/>
      <c r="J330" s="262"/>
      <c r="K330" s="262"/>
      <c r="L330" s="18"/>
      <c r="M330" s="18"/>
      <c r="N330" s="19"/>
      <c r="O330" s="19"/>
      <c r="P330" s="41"/>
      <c r="Q330" s="41"/>
      <c r="R330" s="187"/>
      <c r="S330" s="187"/>
    </row>
    <row r="331" spans="1:19" ht="15" customHeight="1" x14ac:dyDescent="0.25">
      <c r="A331" s="68"/>
      <c r="B331" s="299"/>
      <c r="C331" s="299"/>
      <c r="D331" s="385"/>
      <c r="E331" s="385"/>
      <c r="F331" s="16"/>
      <c r="G331" s="16"/>
      <c r="H331" s="17"/>
      <c r="I331" s="17"/>
      <c r="J331" s="262"/>
      <c r="K331" s="262"/>
      <c r="L331" s="18"/>
      <c r="M331" s="18"/>
      <c r="N331" s="19"/>
      <c r="O331" s="19"/>
      <c r="P331" s="41"/>
      <c r="Q331" s="41"/>
      <c r="R331" s="187"/>
      <c r="S331" s="187"/>
    </row>
    <row r="332" spans="1:19" ht="15" customHeight="1" x14ac:dyDescent="0.25">
      <c r="A332" s="68"/>
      <c r="B332" s="299"/>
      <c r="C332" s="299"/>
      <c r="D332" s="385"/>
      <c r="E332" s="385"/>
      <c r="F332" s="16"/>
      <c r="G332" s="16"/>
      <c r="H332" s="17"/>
      <c r="I332" s="17"/>
      <c r="J332" s="262"/>
      <c r="K332" s="262"/>
      <c r="L332" s="18"/>
      <c r="M332" s="18"/>
      <c r="N332" s="19"/>
      <c r="O332" s="19"/>
      <c r="P332" s="41"/>
      <c r="Q332" s="41"/>
      <c r="R332" s="187"/>
      <c r="S332" s="187"/>
    </row>
    <row r="333" spans="1:19" ht="15" customHeight="1" x14ac:dyDescent="0.25">
      <c r="A333" s="68"/>
      <c r="B333" s="299"/>
      <c r="C333" s="299"/>
      <c r="D333" s="385"/>
      <c r="E333" s="385"/>
      <c r="F333" s="16"/>
      <c r="G333" s="16"/>
      <c r="H333" s="17"/>
      <c r="I333" s="17"/>
      <c r="J333" s="295"/>
      <c r="K333" s="295"/>
      <c r="L333" s="18"/>
      <c r="M333" s="18"/>
      <c r="N333" s="19"/>
      <c r="O333" s="19"/>
      <c r="P333" s="41"/>
      <c r="Q333" s="41"/>
      <c r="R333" s="187"/>
      <c r="S333" s="187"/>
    </row>
    <row r="334" spans="1:19" ht="15" customHeight="1" x14ac:dyDescent="0.25">
      <c r="A334" s="68"/>
      <c r="B334" s="299"/>
      <c r="C334" s="299"/>
      <c r="D334" s="385"/>
      <c r="E334" s="385"/>
      <c r="F334" s="16"/>
      <c r="G334" s="16"/>
      <c r="H334" s="17"/>
      <c r="I334" s="17"/>
      <c r="J334" s="295"/>
      <c r="K334" s="295"/>
      <c r="L334" s="18"/>
      <c r="M334" s="18"/>
      <c r="N334" s="19"/>
      <c r="O334" s="19"/>
      <c r="P334" s="41"/>
      <c r="Q334" s="41"/>
      <c r="R334" s="187"/>
      <c r="S334" s="187"/>
    </row>
    <row r="335" spans="1:19" ht="15" customHeight="1" x14ac:dyDescent="0.25">
      <c r="A335" s="68"/>
      <c r="B335" s="299"/>
      <c r="C335" s="299"/>
      <c r="D335" s="385"/>
      <c r="E335" s="385"/>
      <c r="F335" s="16"/>
      <c r="G335" s="16"/>
      <c r="H335" s="17"/>
      <c r="I335" s="17"/>
      <c r="J335" s="262"/>
      <c r="K335" s="262"/>
      <c r="L335" s="18"/>
      <c r="M335" s="18"/>
      <c r="N335" s="19"/>
      <c r="O335" s="19"/>
      <c r="P335" s="41"/>
      <c r="Q335" s="41"/>
      <c r="R335" s="187"/>
      <c r="S335" s="187"/>
    </row>
    <row r="336" spans="1:19" ht="15" customHeight="1" x14ac:dyDescent="0.25">
      <c r="A336" s="68"/>
      <c r="B336" s="299"/>
      <c r="C336" s="299"/>
      <c r="D336" s="385"/>
      <c r="E336" s="385"/>
      <c r="F336" s="16"/>
      <c r="G336" s="16"/>
      <c r="H336" s="17"/>
      <c r="I336" s="17"/>
      <c r="J336" s="262"/>
      <c r="K336" s="262"/>
      <c r="L336" s="18"/>
      <c r="M336" s="18"/>
      <c r="N336" s="19"/>
      <c r="O336" s="19"/>
      <c r="P336" s="41"/>
      <c r="Q336" s="41"/>
      <c r="R336" s="187"/>
      <c r="S336" s="187"/>
    </row>
    <row r="337" spans="1:19" ht="15" customHeight="1" x14ac:dyDescent="0.25">
      <c r="A337" s="13"/>
      <c r="B337" s="299"/>
      <c r="C337" s="299"/>
      <c r="D337" s="385"/>
      <c r="E337" s="385"/>
      <c r="F337" s="16"/>
      <c r="G337" s="16"/>
      <c r="H337" s="17"/>
      <c r="I337" s="17"/>
      <c r="J337" s="262"/>
      <c r="K337" s="262"/>
      <c r="L337" s="18"/>
      <c r="M337" s="18"/>
      <c r="N337" s="19"/>
      <c r="O337" s="19"/>
      <c r="P337" s="41"/>
      <c r="Q337" s="41"/>
      <c r="R337" s="187"/>
      <c r="S337" s="187"/>
    </row>
    <row r="338" spans="1:19" ht="15" customHeight="1" x14ac:dyDescent="0.25">
      <c r="A338" s="13"/>
      <c r="B338" s="299"/>
      <c r="C338" s="299"/>
      <c r="D338" s="385"/>
      <c r="E338" s="385"/>
      <c r="F338" s="16"/>
      <c r="G338" s="16"/>
      <c r="H338" s="17"/>
      <c r="I338" s="17"/>
      <c r="J338" s="262"/>
      <c r="K338" s="262"/>
      <c r="L338" s="18"/>
      <c r="M338" s="18"/>
      <c r="N338" s="19"/>
      <c r="O338" s="19"/>
      <c r="P338" s="41"/>
      <c r="Q338" s="41"/>
      <c r="R338" s="187"/>
      <c r="S338" s="187"/>
    </row>
    <row r="339" spans="1:19" ht="15" customHeight="1" x14ac:dyDescent="0.25">
      <c r="A339" s="13"/>
      <c r="B339" s="299"/>
      <c r="C339" s="299"/>
      <c r="D339" s="385"/>
      <c r="E339" s="385"/>
      <c r="F339" s="16"/>
      <c r="G339" s="16"/>
      <c r="H339" s="17"/>
      <c r="I339" s="17"/>
      <c r="J339" s="262"/>
      <c r="K339" s="262"/>
      <c r="L339" s="18"/>
      <c r="M339" s="18"/>
      <c r="N339" s="19"/>
      <c r="O339" s="19"/>
      <c r="P339" s="41"/>
      <c r="Q339" s="41"/>
      <c r="R339" s="187"/>
      <c r="S339" s="187"/>
    </row>
    <row r="340" spans="1:19" ht="15" customHeight="1" x14ac:dyDescent="0.25">
      <c r="A340" s="13"/>
      <c r="B340" s="299"/>
      <c r="C340" s="299"/>
      <c r="D340" s="385"/>
      <c r="E340" s="385"/>
      <c r="F340" s="16"/>
      <c r="G340" s="16"/>
      <c r="H340" s="17"/>
      <c r="I340" s="17"/>
      <c r="J340" s="262"/>
      <c r="K340" s="262"/>
      <c r="L340" s="18"/>
      <c r="M340" s="18"/>
      <c r="N340" s="19"/>
      <c r="O340" s="19"/>
      <c r="P340" s="41"/>
      <c r="Q340" s="41"/>
      <c r="R340" s="187"/>
      <c r="S340" s="187"/>
    </row>
    <row r="341" spans="1:19" ht="15" customHeight="1" x14ac:dyDescent="0.25">
      <c r="A341" s="13"/>
      <c r="B341" s="299"/>
      <c r="C341" s="299"/>
      <c r="D341" s="385"/>
      <c r="E341" s="385"/>
      <c r="F341" s="16"/>
      <c r="G341" s="16"/>
      <c r="H341" s="17"/>
      <c r="I341" s="17"/>
      <c r="J341" s="262"/>
      <c r="K341" s="262"/>
      <c r="L341" s="18"/>
      <c r="M341" s="18"/>
      <c r="N341" s="19"/>
      <c r="O341" s="19"/>
      <c r="P341" s="41"/>
      <c r="Q341" s="41"/>
      <c r="R341" s="187"/>
      <c r="S341" s="187"/>
    </row>
    <row r="342" spans="1:19" ht="15" customHeight="1" x14ac:dyDescent="0.25">
      <c r="A342" s="13"/>
      <c r="B342" s="299"/>
      <c r="C342" s="299"/>
      <c r="D342" s="385"/>
      <c r="E342" s="385"/>
      <c r="F342" s="16"/>
      <c r="G342" s="16"/>
      <c r="H342" s="17"/>
      <c r="I342" s="17"/>
      <c r="J342" s="262"/>
      <c r="K342" s="262"/>
      <c r="L342" s="18"/>
      <c r="M342" s="18"/>
      <c r="N342" s="19"/>
      <c r="O342" s="19"/>
      <c r="P342" s="41"/>
      <c r="Q342" s="41"/>
      <c r="R342" s="187"/>
      <c r="S342" s="187"/>
    </row>
    <row r="343" spans="1:19" ht="15" customHeight="1" x14ac:dyDescent="0.25">
      <c r="A343" s="13"/>
      <c r="B343" s="299"/>
      <c r="C343" s="299"/>
      <c r="D343" s="385"/>
      <c r="E343" s="385"/>
      <c r="F343" s="16"/>
      <c r="G343" s="16"/>
      <c r="H343" s="17"/>
      <c r="I343" s="17"/>
      <c r="J343" s="262"/>
      <c r="K343" s="262"/>
      <c r="L343" s="18"/>
      <c r="M343" s="18"/>
      <c r="N343" s="19"/>
      <c r="O343" s="19"/>
      <c r="P343" s="41"/>
      <c r="Q343" s="41"/>
      <c r="R343" s="187"/>
      <c r="S343" s="187"/>
    </row>
    <row r="344" spans="1:19" ht="15" customHeight="1" x14ac:dyDescent="0.25">
      <c r="A344" s="13"/>
      <c r="B344" s="299"/>
      <c r="C344" s="299"/>
      <c r="D344" s="385"/>
      <c r="E344" s="385"/>
      <c r="F344" s="16"/>
      <c r="G344" s="16"/>
      <c r="H344" s="17"/>
      <c r="I344" s="17"/>
      <c r="J344" s="262"/>
      <c r="K344" s="262"/>
      <c r="L344" s="18"/>
      <c r="M344" s="18"/>
      <c r="N344" s="19"/>
      <c r="O344" s="19"/>
      <c r="P344" s="41"/>
      <c r="Q344" s="41"/>
      <c r="R344" s="187"/>
      <c r="S344" s="187"/>
    </row>
    <row r="345" spans="1:19" ht="15" customHeight="1" x14ac:dyDescent="0.25">
      <c r="A345" s="13"/>
      <c r="B345" s="299"/>
      <c r="C345" s="299"/>
      <c r="D345" s="385"/>
      <c r="E345" s="385"/>
      <c r="F345" s="16"/>
      <c r="G345" s="16"/>
      <c r="H345" s="17"/>
      <c r="I345" s="17"/>
      <c r="J345" s="262"/>
      <c r="K345" s="262"/>
      <c r="L345" s="18"/>
      <c r="M345" s="18"/>
      <c r="N345" s="19"/>
      <c r="O345" s="19"/>
      <c r="P345" s="41"/>
      <c r="Q345" s="41"/>
      <c r="R345" s="187"/>
      <c r="S345" s="187"/>
    </row>
    <row r="346" spans="1:19" ht="15" customHeight="1" x14ac:dyDescent="0.25">
      <c r="A346" s="13"/>
      <c r="B346" s="299"/>
      <c r="C346" s="299"/>
      <c r="D346" s="385"/>
      <c r="E346" s="385"/>
      <c r="F346" s="16"/>
      <c r="G346" s="16"/>
      <c r="H346" s="17"/>
      <c r="I346" s="17"/>
      <c r="J346" s="262"/>
      <c r="K346" s="262"/>
      <c r="L346" s="18"/>
      <c r="M346" s="18"/>
      <c r="N346" s="19"/>
      <c r="O346" s="19"/>
      <c r="P346" s="41"/>
      <c r="Q346" s="41"/>
      <c r="R346" s="187"/>
      <c r="S346" s="187"/>
    </row>
  </sheetData>
  <autoFilter ref="A1:A346"/>
  <mergeCells count="50">
    <mergeCell ref="AK3:AL3"/>
    <mergeCell ref="AK6:AL6"/>
    <mergeCell ref="AM3:AN3"/>
    <mergeCell ref="AM6:AN6"/>
    <mergeCell ref="AE3:AF3"/>
    <mergeCell ref="AE6:AF6"/>
    <mergeCell ref="AG3:AH3"/>
    <mergeCell ref="AG6:AH6"/>
    <mergeCell ref="AI3:AJ3"/>
    <mergeCell ref="AI6:AJ6"/>
    <mergeCell ref="T22:V22"/>
    <mergeCell ref="U27:V27"/>
    <mergeCell ref="U20:V20"/>
    <mergeCell ref="U12:V12"/>
    <mergeCell ref="W12:X12"/>
    <mergeCell ref="AC12:AD12"/>
    <mergeCell ref="T16:V16"/>
    <mergeCell ref="U9:V9"/>
    <mergeCell ref="W9:X9"/>
    <mergeCell ref="Y9:Z9"/>
    <mergeCell ref="AA9:AB9"/>
    <mergeCell ref="AC9:AD9"/>
    <mergeCell ref="A1:S1"/>
    <mergeCell ref="U3:V3"/>
    <mergeCell ref="W3:X3"/>
    <mergeCell ref="Y3:Z3"/>
    <mergeCell ref="AA3:AB3"/>
    <mergeCell ref="J2:K2"/>
    <mergeCell ref="L2:M2"/>
    <mergeCell ref="N2:O2"/>
    <mergeCell ref="F2:G2"/>
    <mergeCell ref="H2:I2"/>
    <mergeCell ref="R2:S2"/>
    <mergeCell ref="P2:Q2"/>
    <mergeCell ref="AC3:AD3"/>
    <mergeCell ref="T2:AD2"/>
    <mergeCell ref="AC6:AD6"/>
    <mergeCell ref="T25:V25"/>
    <mergeCell ref="A4:C4"/>
    <mergeCell ref="B2:B3"/>
    <mergeCell ref="A2:A3"/>
    <mergeCell ref="C2:C3"/>
    <mergeCell ref="D2:E2"/>
    <mergeCell ref="T8:AD8"/>
    <mergeCell ref="U6:V6"/>
    <mergeCell ref="W6:X6"/>
    <mergeCell ref="Y6:Z6"/>
    <mergeCell ref="AA6:AB6"/>
    <mergeCell ref="Y12:Z12"/>
    <mergeCell ref="AA12:AB12"/>
  </mergeCells>
  <dataValidations count="1">
    <dataValidation type="list" allowBlank="1" showInputMessage="1" showErrorMessage="1" sqref="C1:C1048576">
      <formula1>"PVT,FRFO,BOP,BFO,OFO,1,3,4,5,6,SWS,MHQ,LPE,SRL,ASSIST,RFD,DFR"</formula1>
    </dataValidation>
  </dataValidations>
  <pageMargins left="0.25" right="0.25" top="0.75" bottom="0.75" header="0.3" footer="0.3"/>
  <pageSetup paperSize="17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35"/>
  <sheetViews>
    <sheetView topLeftCell="A130" zoomScaleNormal="100" workbookViewId="0">
      <selection activeCell="V161" sqref="V161"/>
    </sheetView>
  </sheetViews>
  <sheetFormatPr defaultRowHeight="15" x14ac:dyDescent="0.25"/>
  <cols>
    <col min="2" max="2" width="33.85546875" style="449" customWidth="1"/>
    <col min="3" max="3" width="12.42578125" customWidth="1"/>
    <col min="4" max="5" width="4.7109375" customWidth="1"/>
    <col min="6" max="6" width="4.85546875" customWidth="1"/>
    <col min="7" max="27" width="4.7109375" customWidth="1"/>
    <col min="28" max="28" width="5.28515625" customWidth="1"/>
    <col min="29" max="30" width="4.7109375" customWidth="1"/>
    <col min="31" max="31" width="4.5703125" customWidth="1"/>
    <col min="32" max="49" width="4.7109375" customWidth="1"/>
    <col min="50" max="55" width="7.7109375" customWidth="1"/>
    <col min="56" max="57" width="4.7109375" style="693" customWidth="1"/>
  </cols>
  <sheetData>
    <row r="1" spans="1:57" x14ac:dyDescent="0.25">
      <c r="A1" s="1044" t="s">
        <v>113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1045"/>
      <c r="Q1" s="1045"/>
      <c r="R1" s="1045"/>
      <c r="S1" s="1045"/>
      <c r="T1" s="1045"/>
      <c r="U1" s="1045"/>
      <c r="V1" s="1045"/>
      <c r="W1" s="1045"/>
      <c r="X1" s="1045"/>
      <c r="Y1" s="1045"/>
      <c r="Z1" s="1045"/>
      <c r="AA1" s="1045"/>
      <c r="AB1" s="1045"/>
      <c r="AC1" s="1045"/>
      <c r="AD1" s="1045"/>
      <c r="AE1" s="1045"/>
      <c r="AF1" s="1045"/>
      <c r="AG1" s="1045"/>
      <c r="AH1" s="1045"/>
      <c r="AI1" s="1045"/>
      <c r="AJ1" s="1045"/>
      <c r="AK1" s="1045"/>
      <c r="AL1" s="1045"/>
      <c r="AM1" s="1045"/>
      <c r="AN1" s="1045"/>
      <c r="AO1" s="1045"/>
      <c r="AP1" s="1045"/>
      <c r="AQ1" s="1045"/>
      <c r="AR1" s="1045"/>
      <c r="AS1" s="1045"/>
      <c r="AT1" s="1045"/>
      <c r="AU1" s="1045"/>
      <c r="AV1" s="1045"/>
      <c r="AW1" s="1045"/>
      <c r="AX1" s="1045"/>
      <c r="AY1" s="1045"/>
      <c r="AZ1" s="1045"/>
      <c r="BA1" s="1045"/>
      <c r="BB1" s="1045"/>
      <c r="BC1" s="1045"/>
      <c r="BD1" s="1045"/>
      <c r="BE1" s="1045"/>
    </row>
    <row r="2" spans="1:57" x14ac:dyDescent="0.25">
      <c r="A2" s="1025" t="s">
        <v>0</v>
      </c>
      <c r="B2" s="1058" t="s">
        <v>7</v>
      </c>
      <c r="C2" s="1059" t="s">
        <v>241</v>
      </c>
      <c r="D2" s="1060" t="s">
        <v>103</v>
      </c>
      <c r="E2" s="1060"/>
      <c r="F2" s="1026" t="s">
        <v>104</v>
      </c>
      <c r="G2" s="1026"/>
      <c r="H2" s="1026" t="s">
        <v>105</v>
      </c>
      <c r="I2" s="1026"/>
      <c r="J2" s="1061" t="s">
        <v>106</v>
      </c>
      <c r="K2" s="1061"/>
      <c r="L2" s="1033" t="s">
        <v>108</v>
      </c>
      <c r="M2" s="1033"/>
      <c r="N2" s="1033" t="s">
        <v>107</v>
      </c>
      <c r="O2" s="1033"/>
      <c r="P2" s="1062" t="s">
        <v>109</v>
      </c>
      <c r="Q2" s="1062"/>
      <c r="R2" s="1034" t="s">
        <v>110</v>
      </c>
      <c r="S2" s="1034"/>
      <c r="T2" s="1034" t="s">
        <v>111</v>
      </c>
      <c r="U2" s="1034"/>
      <c r="V2" s="1030" t="s">
        <v>208</v>
      </c>
      <c r="W2" s="1030"/>
      <c r="X2" s="1047" t="s">
        <v>209</v>
      </c>
      <c r="Y2" s="1047"/>
      <c r="Z2" s="1047" t="s">
        <v>210</v>
      </c>
      <c r="AA2" s="1047"/>
      <c r="AB2" s="1031" t="s">
        <v>218</v>
      </c>
      <c r="AC2" s="1031"/>
      <c r="AD2" s="1048" t="s">
        <v>211</v>
      </c>
      <c r="AE2" s="1048"/>
      <c r="AF2" s="1063" t="s">
        <v>212</v>
      </c>
      <c r="AG2" s="1063"/>
      <c r="AH2" s="1049" t="s">
        <v>213</v>
      </c>
      <c r="AI2" s="1049"/>
      <c r="AJ2" s="1049" t="s">
        <v>214</v>
      </c>
      <c r="AK2" s="1049"/>
      <c r="AL2" s="1050" t="s">
        <v>215</v>
      </c>
      <c r="AM2" s="1051"/>
      <c r="AN2" s="1035" t="s">
        <v>216</v>
      </c>
      <c r="AO2" s="1036"/>
      <c r="AP2" s="1035" t="s">
        <v>217</v>
      </c>
      <c r="AQ2" s="1036"/>
      <c r="AR2" s="1055" t="s">
        <v>99</v>
      </c>
      <c r="AS2" s="1056"/>
      <c r="AT2" s="1064" t="s">
        <v>97</v>
      </c>
      <c r="AU2" s="1065"/>
      <c r="AV2" s="1064" t="s">
        <v>98</v>
      </c>
      <c r="AW2" s="1065"/>
      <c r="AX2" s="1057" t="s">
        <v>100</v>
      </c>
      <c r="AY2" s="1057"/>
      <c r="AZ2" s="1046" t="s">
        <v>101</v>
      </c>
      <c r="BA2" s="1046"/>
      <c r="BB2" s="1046" t="s">
        <v>102</v>
      </c>
      <c r="BC2" s="1046"/>
      <c r="BD2" s="1042" t="s">
        <v>283</v>
      </c>
      <c r="BE2" s="1043"/>
    </row>
    <row r="3" spans="1:57" ht="20.25" customHeight="1" x14ac:dyDescent="0.25">
      <c r="A3" s="1025"/>
      <c r="B3" s="1058"/>
      <c r="C3" s="1059"/>
      <c r="D3" s="75" t="s">
        <v>8</v>
      </c>
      <c r="E3" s="75" t="s">
        <v>9</v>
      </c>
      <c r="F3" s="70" t="s">
        <v>8</v>
      </c>
      <c r="G3" s="70" t="s">
        <v>9</v>
      </c>
      <c r="H3" s="70" t="s">
        <v>8</v>
      </c>
      <c r="I3" s="70" t="s">
        <v>9</v>
      </c>
      <c r="J3" s="77" t="s">
        <v>8</v>
      </c>
      <c r="K3" s="77" t="s">
        <v>9</v>
      </c>
      <c r="L3" s="71" t="s">
        <v>8</v>
      </c>
      <c r="M3" s="71" t="s">
        <v>9</v>
      </c>
      <c r="N3" s="71" t="s">
        <v>8</v>
      </c>
      <c r="O3" s="71" t="s">
        <v>9</v>
      </c>
      <c r="P3" s="79" t="s">
        <v>8</v>
      </c>
      <c r="Q3" s="79" t="s">
        <v>9</v>
      </c>
      <c r="R3" s="72" t="s">
        <v>8</v>
      </c>
      <c r="S3" s="72" t="s">
        <v>9</v>
      </c>
      <c r="T3" s="72" t="s">
        <v>8</v>
      </c>
      <c r="U3" s="72" t="s">
        <v>9</v>
      </c>
      <c r="V3" s="34" t="s">
        <v>8</v>
      </c>
      <c r="W3" s="34" t="s">
        <v>9</v>
      </c>
      <c r="X3" s="81" t="s">
        <v>8</v>
      </c>
      <c r="Y3" s="81" t="s">
        <v>9</v>
      </c>
      <c r="Z3" s="81" t="s">
        <v>8</v>
      </c>
      <c r="AA3" s="81" t="s">
        <v>9</v>
      </c>
      <c r="AB3" s="301" t="s">
        <v>8</v>
      </c>
      <c r="AC3" s="301" t="s">
        <v>9</v>
      </c>
      <c r="AD3" s="85" t="s">
        <v>8</v>
      </c>
      <c r="AE3" s="85" t="s">
        <v>9</v>
      </c>
      <c r="AF3" s="83" t="s">
        <v>8</v>
      </c>
      <c r="AG3" s="83" t="s">
        <v>9</v>
      </c>
      <c r="AH3" s="74" t="s">
        <v>8</v>
      </c>
      <c r="AI3" s="74" t="s">
        <v>9</v>
      </c>
      <c r="AJ3" s="74" t="s">
        <v>8</v>
      </c>
      <c r="AK3" s="74" t="s">
        <v>9</v>
      </c>
      <c r="AL3" s="184" t="s">
        <v>8</v>
      </c>
      <c r="AM3" s="184" t="s">
        <v>9</v>
      </c>
      <c r="AN3" s="186" t="s">
        <v>8</v>
      </c>
      <c r="AO3" s="186" t="s">
        <v>9</v>
      </c>
      <c r="AP3" s="186" t="s">
        <v>8</v>
      </c>
      <c r="AQ3" s="186" t="s">
        <v>9</v>
      </c>
      <c r="AR3" s="87" t="s">
        <v>8</v>
      </c>
      <c r="AS3" s="88" t="s">
        <v>9</v>
      </c>
      <c r="AT3" s="73" t="s">
        <v>8</v>
      </c>
      <c r="AU3" s="73" t="s">
        <v>9</v>
      </c>
      <c r="AV3" s="73" t="s">
        <v>8</v>
      </c>
      <c r="AW3" s="73" t="s">
        <v>9</v>
      </c>
      <c r="AX3" s="69" t="s">
        <v>8</v>
      </c>
      <c r="AY3" s="69" t="s">
        <v>9</v>
      </c>
      <c r="AZ3" s="302" t="s">
        <v>8</v>
      </c>
      <c r="BA3" s="302" t="s">
        <v>9</v>
      </c>
      <c r="BB3" s="302" t="s">
        <v>8</v>
      </c>
      <c r="BC3" s="689" t="s">
        <v>9</v>
      </c>
      <c r="BD3" s="692" t="s">
        <v>8</v>
      </c>
      <c r="BE3" s="692" t="s">
        <v>9</v>
      </c>
    </row>
    <row r="4" spans="1:57" x14ac:dyDescent="0.25">
      <c r="A4" s="1052" t="s">
        <v>156</v>
      </c>
      <c r="B4" s="1053"/>
      <c r="C4" s="1054"/>
      <c r="D4" s="69">
        <f t="shared" ref="D4:AQ4" si="0">COUNTIF(D5:D329,"X")</f>
        <v>48</v>
      </c>
      <c r="E4" s="69">
        <f t="shared" si="0"/>
        <v>21</v>
      </c>
      <c r="F4" s="69">
        <f t="shared" si="0"/>
        <v>0</v>
      </c>
      <c r="G4" s="69">
        <f t="shared" si="0"/>
        <v>0</v>
      </c>
      <c r="H4" s="69">
        <f t="shared" si="0"/>
        <v>0</v>
      </c>
      <c r="I4" s="69">
        <f t="shared" si="0"/>
        <v>0</v>
      </c>
      <c r="J4" s="69">
        <f t="shared" si="0"/>
        <v>13</v>
      </c>
      <c r="K4" s="69">
        <f t="shared" si="0"/>
        <v>13</v>
      </c>
      <c r="L4" s="69">
        <f t="shared" si="0"/>
        <v>3</v>
      </c>
      <c r="M4" s="69">
        <f t="shared" si="0"/>
        <v>1</v>
      </c>
      <c r="N4" s="69">
        <f t="shared" si="0"/>
        <v>0</v>
      </c>
      <c r="O4" s="69">
        <f t="shared" si="0"/>
        <v>0</v>
      </c>
      <c r="P4" s="69">
        <f t="shared" si="0"/>
        <v>1</v>
      </c>
      <c r="Q4" s="69">
        <f t="shared" si="0"/>
        <v>0</v>
      </c>
      <c r="R4" s="69">
        <f t="shared" si="0"/>
        <v>1</v>
      </c>
      <c r="S4" s="69">
        <f t="shared" si="0"/>
        <v>0</v>
      </c>
      <c r="T4" s="69">
        <f t="shared" si="0"/>
        <v>2</v>
      </c>
      <c r="U4" s="69">
        <f t="shared" si="0"/>
        <v>2</v>
      </c>
      <c r="V4" s="69">
        <f t="shared" si="0"/>
        <v>19</v>
      </c>
      <c r="W4" s="69">
        <f t="shared" si="0"/>
        <v>4</v>
      </c>
      <c r="X4" s="69">
        <f t="shared" si="0"/>
        <v>2</v>
      </c>
      <c r="Y4" s="69">
        <f t="shared" si="0"/>
        <v>0</v>
      </c>
      <c r="Z4" s="69">
        <f t="shared" si="0"/>
        <v>9</v>
      </c>
      <c r="AA4" s="69">
        <f t="shared" si="0"/>
        <v>2</v>
      </c>
      <c r="AB4" s="301">
        <f t="shared" si="0"/>
        <v>0</v>
      </c>
      <c r="AC4" s="301">
        <f t="shared" si="0"/>
        <v>0</v>
      </c>
      <c r="AD4" s="69">
        <f t="shared" si="0"/>
        <v>0</v>
      </c>
      <c r="AE4" s="69">
        <f t="shared" si="0"/>
        <v>0</v>
      </c>
      <c r="AF4" s="83">
        <f t="shared" si="0"/>
        <v>3</v>
      </c>
      <c r="AG4" s="83">
        <f t="shared" si="0"/>
        <v>0</v>
      </c>
      <c r="AH4" s="74">
        <f t="shared" si="0"/>
        <v>0</v>
      </c>
      <c r="AI4" s="74">
        <f t="shared" si="0"/>
        <v>0</v>
      </c>
      <c r="AJ4" s="74">
        <f t="shared" si="0"/>
        <v>0</v>
      </c>
      <c r="AK4" s="74">
        <f t="shared" si="0"/>
        <v>0</v>
      </c>
      <c r="AL4" s="184">
        <f t="shared" si="0"/>
        <v>1</v>
      </c>
      <c r="AM4" s="184">
        <f t="shared" si="0"/>
        <v>0</v>
      </c>
      <c r="AN4" s="186">
        <f t="shared" si="0"/>
        <v>2</v>
      </c>
      <c r="AO4" s="186">
        <f t="shared" si="0"/>
        <v>0</v>
      </c>
      <c r="AP4" s="186">
        <f t="shared" si="0"/>
        <v>0</v>
      </c>
      <c r="AQ4" s="186">
        <f t="shared" si="0"/>
        <v>0</v>
      </c>
      <c r="AR4" s="69">
        <f t="shared" ref="AR4:BE4" si="1">COUNTIF(AR5:AR282,"X")</f>
        <v>11</v>
      </c>
      <c r="AS4" s="69">
        <f t="shared" si="1"/>
        <v>0</v>
      </c>
      <c r="AT4" s="69">
        <f t="shared" si="1"/>
        <v>0</v>
      </c>
      <c r="AU4" s="69">
        <f t="shared" si="1"/>
        <v>0</v>
      </c>
      <c r="AV4" s="69">
        <f t="shared" si="1"/>
        <v>0</v>
      </c>
      <c r="AW4" s="69">
        <f t="shared" si="1"/>
        <v>0</v>
      </c>
      <c r="AX4" s="69">
        <f t="shared" si="1"/>
        <v>0</v>
      </c>
      <c r="AY4" s="69">
        <f t="shared" si="1"/>
        <v>0</v>
      </c>
      <c r="AZ4" s="69">
        <f t="shared" si="1"/>
        <v>0</v>
      </c>
      <c r="BA4" s="69">
        <f t="shared" si="1"/>
        <v>0</v>
      </c>
      <c r="BB4" s="69">
        <f t="shared" si="1"/>
        <v>0</v>
      </c>
      <c r="BC4" s="690">
        <f t="shared" si="1"/>
        <v>0</v>
      </c>
      <c r="BD4" s="690">
        <f t="shared" si="1"/>
        <v>0</v>
      </c>
      <c r="BE4" s="690">
        <f t="shared" si="1"/>
        <v>0</v>
      </c>
    </row>
    <row r="5" spans="1:57" x14ac:dyDescent="0.25">
      <c r="A5" s="358">
        <v>43134</v>
      </c>
      <c r="B5" s="813" t="s">
        <v>304</v>
      </c>
      <c r="C5" s="91" t="s">
        <v>91</v>
      </c>
      <c r="D5" s="76" t="s">
        <v>305</v>
      </c>
      <c r="E5" s="76"/>
      <c r="F5" s="15"/>
      <c r="G5" s="15"/>
      <c r="H5" s="15"/>
      <c r="I5" s="15"/>
      <c r="J5" s="78"/>
      <c r="K5" s="78"/>
      <c r="L5" s="16"/>
      <c r="M5" s="16"/>
      <c r="N5" s="16"/>
      <c r="O5" s="16"/>
      <c r="P5" s="80"/>
      <c r="Q5" s="80"/>
      <c r="R5" s="17"/>
      <c r="S5" s="17"/>
      <c r="T5" s="17"/>
      <c r="U5" s="17"/>
      <c r="V5" s="128"/>
      <c r="W5" s="128"/>
      <c r="X5" s="82"/>
      <c r="Y5" s="82"/>
      <c r="Z5" s="82"/>
      <c r="AA5" s="82"/>
      <c r="AB5" s="18"/>
      <c r="AC5" s="18"/>
      <c r="AD5" s="86"/>
      <c r="AE5" s="86"/>
      <c r="AF5" s="84"/>
      <c r="AG5" s="84"/>
      <c r="AH5" s="41"/>
      <c r="AI5" s="41"/>
      <c r="AJ5" s="41"/>
      <c r="AK5" s="41"/>
      <c r="AL5" s="185"/>
      <c r="AM5" s="185"/>
      <c r="AN5" s="187"/>
      <c r="AO5" s="187"/>
      <c r="AP5" s="187"/>
      <c r="AQ5" s="187"/>
      <c r="AR5" s="89"/>
      <c r="AS5" s="90"/>
      <c r="AT5" s="129"/>
      <c r="AU5" s="129"/>
      <c r="AV5" s="129"/>
      <c r="AW5" s="129"/>
      <c r="AX5" s="33"/>
      <c r="AY5" s="33"/>
      <c r="AZ5" s="82"/>
      <c r="BA5" s="82"/>
      <c r="BB5" s="82"/>
      <c r="BC5" s="691"/>
    </row>
    <row r="6" spans="1:57" x14ac:dyDescent="0.25">
      <c r="A6" s="358">
        <v>43144</v>
      </c>
      <c r="B6" s="814" t="s">
        <v>317</v>
      </c>
      <c r="C6" s="91" t="s">
        <v>93</v>
      </c>
      <c r="D6" s="76"/>
      <c r="E6" s="76"/>
      <c r="F6" s="15"/>
      <c r="G6" s="15"/>
      <c r="H6" s="15"/>
      <c r="I6" s="15"/>
      <c r="J6" s="78"/>
      <c r="K6" s="78"/>
      <c r="L6" s="16"/>
      <c r="M6" s="16"/>
      <c r="N6" s="16"/>
      <c r="O6" s="16"/>
      <c r="P6" s="80"/>
      <c r="Q6" s="80"/>
      <c r="R6" s="17"/>
      <c r="S6" s="17"/>
      <c r="T6" s="17"/>
      <c r="U6" s="17"/>
      <c r="V6" s="128"/>
      <c r="W6" s="128"/>
      <c r="X6" s="82" t="s">
        <v>305</v>
      </c>
      <c r="Y6" s="82"/>
      <c r="Z6" s="82"/>
      <c r="AA6" s="82"/>
      <c r="AB6" s="18"/>
      <c r="AC6" s="18"/>
      <c r="AD6" s="86"/>
      <c r="AE6" s="86"/>
      <c r="AF6" s="84"/>
      <c r="AG6" s="84"/>
      <c r="AH6" s="41"/>
      <c r="AI6" s="41"/>
      <c r="AJ6" s="41"/>
      <c r="AK6" s="41"/>
      <c r="AL6" s="185"/>
      <c r="AM6" s="185"/>
      <c r="AN6" s="187"/>
      <c r="AO6" s="187"/>
      <c r="AP6" s="187"/>
      <c r="AQ6" s="187"/>
      <c r="AR6" s="89"/>
      <c r="AS6" s="90"/>
      <c r="AT6" s="129"/>
      <c r="AU6" s="129"/>
      <c r="AV6" s="129"/>
      <c r="AW6" s="129"/>
      <c r="AX6" s="33"/>
      <c r="AY6" s="33"/>
      <c r="AZ6" s="82"/>
      <c r="BA6" s="82"/>
      <c r="BB6" s="82"/>
      <c r="BC6" s="691"/>
    </row>
    <row r="7" spans="1:57" x14ac:dyDescent="0.25">
      <c r="A7" s="358">
        <v>43188</v>
      </c>
      <c r="B7" s="813" t="s">
        <v>336</v>
      </c>
      <c r="C7" s="91" t="s">
        <v>91</v>
      </c>
      <c r="D7" s="76"/>
      <c r="E7" s="76"/>
      <c r="F7" s="15"/>
      <c r="G7" s="15"/>
      <c r="H7" s="15"/>
      <c r="I7" s="15"/>
      <c r="J7" s="78"/>
      <c r="K7" s="78"/>
      <c r="L7" s="16"/>
      <c r="M7" s="16"/>
      <c r="N7" s="16"/>
      <c r="O7" s="16"/>
      <c r="P7" s="80"/>
      <c r="Q7" s="80"/>
      <c r="R7" s="17"/>
      <c r="S7" s="17"/>
      <c r="T7" s="17"/>
      <c r="U7" s="17"/>
      <c r="V7" s="194" t="s">
        <v>305</v>
      </c>
      <c r="W7" s="128"/>
      <c r="X7" s="82"/>
      <c r="Y7" s="82"/>
      <c r="Z7" s="82"/>
      <c r="AA7" s="82"/>
      <c r="AB7" s="18"/>
      <c r="AC7" s="18"/>
      <c r="AD7" s="86"/>
      <c r="AE7" s="86"/>
      <c r="AF7" s="84"/>
      <c r="AG7" s="84"/>
      <c r="AH7" s="41"/>
      <c r="AI7" s="41"/>
      <c r="AJ7" s="41"/>
      <c r="AK7" s="41"/>
      <c r="AL7" s="185"/>
      <c r="AM7" s="185"/>
      <c r="AN7" s="187"/>
      <c r="AO7" s="187"/>
      <c r="AP7" s="187"/>
      <c r="AQ7" s="187"/>
      <c r="AR7" s="89"/>
      <c r="AS7" s="90"/>
      <c r="AT7" s="129"/>
      <c r="AU7" s="129"/>
      <c r="AV7" s="129"/>
      <c r="AW7" s="129"/>
      <c r="AX7" s="33"/>
      <c r="AY7" s="33"/>
      <c r="AZ7" s="82"/>
      <c r="BA7" s="82"/>
      <c r="BB7" s="82"/>
      <c r="BC7" s="691"/>
    </row>
    <row r="8" spans="1:57" x14ac:dyDescent="0.25">
      <c r="A8" s="358">
        <v>43201</v>
      </c>
      <c r="B8" s="813" t="s">
        <v>341</v>
      </c>
      <c r="C8" s="91" t="s">
        <v>91</v>
      </c>
      <c r="D8" s="76" t="s">
        <v>305</v>
      </c>
      <c r="E8" s="76"/>
      <c r="F8" s="15"/>
      <c r="G8" s="15"/>
      <c r="H8" s="15"/>
      <c r="I8" s="15"/>
      <c r="J8" s="78"/>
      <c r="K8" s="78"/>
      <c r="L8" s="16"/>
      <c r="M8" s="16"/>
      <c r="N8" s="16"/>
      <c r="O8" s="16"/>
      <c r="P8" s="80"/>
      <c r="Q8" s="80"/>
      <c r="R8" s="17"/>
      <c r="S8" s="17"/>
      <c r="T8" s="17"/>
      <c r="U8" s="17"/>
      <c r="V8" s="128"/>
      <c r="W8" s="128"/>
      <c r="X8" s="82"/>
      <c r="Y8" s="82"/>
      <c r="Z8" s="82"/>
      <c r="AA8" s="82"/>
      <c r="AB8" s="18"/>
      <c r="AC8" s="18"/>
      <c r="AD8" s="86"/>
      <c r="AE8" s="86"/>
      <c r="AF8" s="84"/>
      <c r="AG8" s="84"/>
      <c r="AH8" s="41"/>
      <c r="AI8" s="41"/>
      <c r="AJ8" s="41"/>
      <c r="AK8" s="41"/>
      <c r="AL8" s="185"/>
      <c r="AM8" s="185"/>
      <c r="AN8" s="187"/>
      <c r="AO8" s="187"/>
      <c r="AP8" s="187"/>
      <c r="AQ8" s="187"/>
      <c r="AR8" s="89"/>
      <c r="AS8" s="90"/>
      <c r="AT8" s="129"/>
      <c r="AU8" s="129"/>
      <c r="AV8" s="129"/>
      <c r="AW8" s="129"/>
      <c r="AX8" s="33"/>
      <c r="AY8" s="33"/>
      <c r="AZ8" s="82"/>
      <c r="BA8" s="82"/>
      <c r="BB8" s="82"/>
      <c r="BC8" s="691"/>
    </row>
    <row r="9" spans="1:57" x14ac:dyDescent="0.25">
      <c r="A9" s="358">
        <v>43217</v>
      </c>
      <c r="B9" s="17" t="s">
        <v>362</v>
      </c>
      <c r="C9" s="91" t="s">
        <v>95</v>
      </c>
      <c r="D9" s="76"/>
      <c r="E9" s="76"/>
      <c r="F9" s="15"/>
      <c r="G9" s="15"/>
      <c r="H9" s="15"/>
      <c r="I9" s="15"/>
      <c r="J9" s="78"/>
      <c r="K9" s="78"/>
      <c r="L9" s="16" t="s">
        <v>305</v>
      </c>
      <c r="M9" s="16"/>
      <c r="N9" s="16"/>
      <c r="O9" s="16"/>
      <c r="P9" s="80"/>
      <c r="Q9" s="80"/>
      <c r="R9" s="17"/>
      <c r="S9" s="17"/>
      <c r="T9" s="17"/>
      <c r="U9" s="17"/>
      <c r="V9" s="195" t="s">
        <v>6</v>
      </c>
      <c r="W9" s="117"/>
      <c r="X9" s="82"/>
      <c r="Y9" s="82"/>
      <c r="Z9" s="82"/>
      <c r="AA9" s="82"/>
      <c r="AB9" s="18"/>
      <c r="AC9" s="18"/>
      <c r="AD9" s="86"/>
      <c r="AE9" s="86"/>
      <c r="AF9" s="84"/>
      <c r="AG9" s="84"/>
      <c r="AH9" s="41"/>
      <c r="AI9" s="41"/>
      <c r="AJ9" s="41"/>
      <c r="AK9" s="41"/>
      <c r="AL9" s="185"/>
      <c r="AM9" s="185"/>
      <c r="AN9" s="187"/>
      <c r="AO9" s="187"/>
      <c r="AP9" s="187"/>
      <c r="AQ9" s="187"/>
      <c r="AR9" s="89"/>
      <c r="AS9" s="90"/>
      <c r="AT9" s="118"/>
      <c r="AU9" s="118"/>
      <c r="AV9" s="118"/>
      <c r="AW9" s="118"/>
      <c r="AX9" s="33"/>
      <c r="AY9" s="33"/>
      <c r="AZ9" s="82"/>
      <c r="BA9" s="82"/>
      <c r="BB9" s="82"/>
      <c r="BC9" s="691"/>
    </row>
    <row r="10" spans="1:57" x14ac:dyDescent="0.25">
      <c r="A10" s="358">
        <v>43234</v>
      </c>
      <c r="B10" s="813" t="s">
        <v>381</v>
      </c>
      <c r="C10" s="91" t="s">
        <v>91</v>
      </c>
      <c r="D10" s="76" t="s">
        <v>305</v>
      </c>
      <c r="E10" s="76"/>
      <c r="F10" s="15"/>
      <c r="G10" s="15"/>
      <c r="H10" s="15"/>
      <c r="I10" s="15"/>
      <c r="J10" s="78"/>
      <c r="K10" s="78"/>
      <c r="L10" s="16"/>
      <c r="M10" s="16"/>
      <c r="N10" s="16"/>
      <c r="O10" s="16"/>
      <c r="P10" s="80"/>
      <c r="Q10" s="80"/>
      <c r="R10" s="17"/>
      <c r="S10" s="17"/>
      <c r="T10" s="17"/>
      <c r="U10" s="17"/>
      <c r="V10" s="117"/>
      <c r="W10" s="117"/>
      <c r="X10" s="82"/>
      <c r="Y10" s="82"/>
      <c r="Z10" s="82"/>
      <c r="AA10" s="82"/>
      <c r="AB10" s="18"/>
      <c r="AC10" s="18"/>
      <c r="AD10" s="86"/>
      <c r="AE10" s="86"/>
      <c r="AF10" s="84"/>
      <c r="AG10" s="84"/>
      <c r="AH10" s="41"/>
      <c r="AI10" s="41"/>
      <c r="AJ10" s="41"/>
      <c r="AK10" s="41"/>
      <c r="AL10" s="185"/>
      <c r="AM10" s="185"/>
      <c r="AN10" s="187"/>
      <c r="AO10" s="187"/>
      <c r="AP10" s="187"/>
      <c r="AQ10" s="187"/>
      <c r="AR10" s="89"/>
      <c r="AS10" s="90"/>
      <c r="AT10" s="118"/>
      <c r="AU10" s="118"/>
      <c r="AV10" s="118"/>
      <c r="AW10" s="118"/>
      <c r="AX10" s="33"/>
      <c r="AY10" s="33"/>
      <c r="AZ10" s="82"/>
      <c r="BA10" s="82"/>
      <c r="BB10" s="82"/>
      <c r="BC10" s="691"/>
    </row>
    <row r="11" spans="1:57" x14ac:dyDescent="0.25">
      <c r="A11" s="358">
        <v>43235</v>
      </c>
      <c r="B11" s="813" t="s">
        <v>384</v>
      </c>
      <c r="C11" s="91" t="s">
        <v>91</v>
      </c>
      <c r="D11" s="76" t="s">
        <v>305</v>
      </c>
      <c r="E11" s="76"/>
      <c r="F11" s="15"/>
      <c r="G11" s="15"/>
      <c r="H11" s="15"/>
      <c r="I11" s="15"/>
      <c r="J11" s="78"/>
      <c r="K11" s="78"/>
      <c r="L11" s="16"/>
      <c r="M11" s="16"/>
      <c r="N11" s="16"/>
      <c r="O11" s="16"/>
      <c r="P11" s="80"/>
      <c r="Q11" s="80"/>
      <c r="R11" s="17"/>
      <c r="S11" s="17"/>
      <c r="T11" s="17"/>
      <c r="U11" s="17"/>
      <c r="V11" s="218"/>
      <c r="W11" s="218"/>
      <c r="X11" s="82"/>
      <c r="Y11" s="82"/>
      <c r="Z11" s="82"/>
      <c r="AA11" s="82"/>
      <c r="AB11" s="18"/>
      <c r="AC11" s="18"/>
      <c r="AD11" s="86"/>
      <c r="AE11" s="86"/>
      <c r="AF11" s="84"/>
      <c r="AG11" s="84"/>
      <c r="AH11" s="41"/>
      <c r="AI11" s="41"/>
      <c r="AJ11" s="41"/>
      <c r="AK11" s="41"/>
      <c r="AL11" s="185"/>
      <c r="AM11" s="185"/>
      <c r="AN11" s="187"/>
      <c r="AO11" s="187"/>
      <c r="AP11" s="187"/>
      <c r="AQ11" s="187"/>
      <c r="AR11" s="89"/>
      <c r="AS11" s="90"/>
      <c r="AT11" s="219"/>
      <c r="AU11" s="219"/>
      <c r="AV11" s="219"/>
      <c r="AW11" s="219"/>
      <c r="AX11" s="33"/>
      <c r="AY11" s="33"/>
      <c r="AZ11" s="82"/>
      <c r="BA11" s="82"/>
      <c r="BB11" s="82"/>
      <c r="BC11" s="691"/>
    </row>
    <row r="12" spans="1:57" x14ac:dyDescent="0.25">
      <c r="A12" s="68">
        <v>43239</v>
      </c>
      <c r="B12" s="813" t="s">
        <v>388</v>
      </c>
      <c r="C12" s="91" t="s">
        <v>91</v>
      </c>
      <c r="D12" s="76" t="s">
        <v>305</v>
      </c>
      <c r="E12" s="76"/>
      <c r="F12" s="15"/>
      <c r="G12" s="15"/>
      <c r="H12" s="15"/>
      <c r="I12" s="15"/>
      <c r="J12" s="78"/>
      <c r="K12" s="78"/>
      <c r="L12" s="16"/>
      <c r="M12" s="16"/>
      <c r="N12" s="16"/>
      <c r="O12" s="16"/>
      <c r="P12" s="80"/>
      <c r="Q12" s="80"/>
      <c r="R12" s="17"/>
      <c r="S12" s="17"/>
      <c r="T12" s="17"/>
      <c r="U12" s="17"/>
      <c r="V12" s="218"/>
      <c r="W12" s="218"/>
      <c r="X12" s="82"/>
      <c r="Y12" s="82"/>
      <c r="Z12" s="82"/>
      <c r="AA12" s="82"/>
      <c r="AB12" s="18"/>
      <c r="AC12" s="18"/>
      <c r="AD12" s="86"/>
      <c r="AE12" s="86"/>
      <c r="AF12" s="84"/>
      <c r="AG12" s="84"/>
      <c r="AH12" s="41"/>
      <c r="AI12" s="41"/>
      <c r="AJ12" s="41"/>
      <c r="AK12" s="41"/>
      <c r="AL12" s="185"/>
      <c r="AM12" s="185"/>
      <c r="AN12" s="187"/>
      <c r="AO12" s="187"/>
      <c r="AP12" s="187"/>
      <c r="AQ12" s="187"/>
      <c r="AR12" s="89"/>
      <c r="AS12" s="90"/>
      <c r="AT12" s="219"/>
      <c r="AU12" s="219"/>
      <c r="AV12" s="219"/>
      <c r="AW12" s="219"/>
      <c r="AX12" s="33"/>
      <c r="AY12" s="33"/>
      <c r="AZ12" s="82"/>
      <c r="BA12" s="82"/>
      <c r="BB12" s="82"/>
      <c r="BC12" s="691"/>
    </row>
    <row r="13" spans="1:57" x14ac:dyDescent="0.25">
      <c r="A13" s="358">
        <v>43243</v>
      </c>
      <c r="B13" s="78" t="s">
        <v>43</v>
      </c>
      <c r="C13" s="91" t="s">
        <v>93</v>
      </c>
      <c r="D13" s="76"/>
      <c r="E13" s="76"/>
      <c r="F13" s="15"/>
      <c r="G13" s="15"/>
      <c r="H13" s="15"/>
      <c r="I13" s="15"/>
      <c r="J13" s="78"/>
      <c r="K13" s="78" t="s">
        <v>305</v>
      </c>
      <c r="L13" s="16"/>
      <c r="M13" s="16"/>
      <c r="N13" s="16"/>
      <c r="O13" s="16"/>
      <c r="P13" s="80"/>
      <c r="Q13" s="80"/>
      <c r="R13" s="17"/>
      <c r="S13" s="17"/>
      <c r="T13" s="17"/>
      <c r="U13" s="17"/>
      <c r="V13" s="117"/>
      <c r="W13" s="117"/>
      <c r="X13" s="82"/>
      <c r="Y13" s="82"/>
      <c r="Z13" s="82"/>
      <c r="AA13" s="82"/>
      <c r="AB13" s="18"/>
      <c r="AC13" s="18"/>
      <c r="AD13" s="86"/>
      <c r="AE13" s="86"/>
      <c r="AF13" s="84"/>
      <c r="AG13" s="84"/>
      <c r="AH13" s="41"/>
      <c r="AI13" s="41"/>
      <c r="AJ13" s="41"/>
      <c r="AK13" s="41"/>
      <c r="AL13" s="185"/>
      <c r="AM13" s="185"/>
      <c r="AN13" s="187"/>
      <c r="AO13" s="187"/>
      <c r="AP13" s="187"/>
      <c r="AQ13" s="187"/>
      <c r="AR13" s="89"/>
      <c r="AS13" s="90"/>
      <c r="AT13" s="118"/>
      <c r="AU13" s="118"/>
      <c r="AV13" s="118"/>
      <c r="AW13" s="118"/>
      <c r="AX13" s="33"/>
      <c r="AY13" s="33"/>
      <c r="AZ13" s="82"/>
      <c r="BA13" s="82"/>
      <c r="BB13" s="82"/>
      <c r="BC13" s="691"/>
    </row>
    <row r="14" spans="1:57" x14ac:dyDescent="0.25">
      <c r="A14" s="358">
        <v>43245</v>
      </c>
      <c r="B14" s="840" t="s">
        <v>409</v>
      </c>
      <c r="C14" s="91" t="s">
        <v>91</v>
      </c>
      <c r="D14" s="76"/>
      <c r="E14" s="76"/>
      <c r="F14" s="15"/>
      <c r="G14" s="15"/>
      <c r="H14" s="15"/>
      <c r="I14" s="15"/>
      <c r="J14" s="78"/>
      <c r="K14" s="78"/>
      <c r="L14" s="16"/>
      <c r="M14" s="16"/>
      <c r="N14" s="16"/>
      <c r="O14" s="16"/>
      <c r="P14" s="80"/>
      <c r="Q14" s="80"/>
      <c r="R14" s="17"/>
      <c r="S14" s="17"/>
      <c r="T14" s="17"/>
      <c r="U14" s="17"/>
      <c r="V14" s="196" t="s">
        <v>305</v>
      </c>
      <c r="W14" s="172"/>
      <c r="X14" s="82"/>
      <c r="Y14" s="82"/>
      <c r="Z14" s="82"/>
      <c r="AA14" s="82"/>
      <c r="AB14" s="18"/>
      <c r="AC14" s="18"/>
      <c r="AD14" s="86"/>
      <c r="AE14" s="86"/>
      <c r="AF14" s="84"/>
      <c r="AG14" s="84"/>
      <c r="AH14" s="41"/>
      <c r="AI14" s="41"/>
      <c r="AJ14" s="41"/>
      <c r="AK14" s="41"/>
      <c r="AL14" s="185"/>
      <c r="AM14" s="185"/>
      <c r="AN14" s="187"/>
      <c r="AO14" s="187"/>
      <c r="AP14" s="187"/>
      <c r="AQ14" s="187"/>
      <c r="AR14" s="89"/>
      <c r="AS14" s="90"/>
      <c r="AT14" s="173"/>
      <c r="AU14" s="173"/>
      <c r="AV14" s="173"/>
      <c r="AW14" s="173"/>
      <c r="AX14" s="33"/>
      <c r="AY14" s="33"/>
      <c r="AZ14" s="82"/>
      <c r="BA14" s="82"/>
      <c r="BB14" s="82"/>
      <c r="BC14" s="691"/>
    </row>
    <row r="15" spans="1:57" x14ac:dyDescent="0.25">
      <c r="A15" s="358">
        <v>43246</v>
      </c>
      <c r="B15" s="78" t="s">
        <v>414</v>
      </c>
      <c r="C15" s="91" t="s">
        <v>93</v>
      </c>
      <c r="D15" s="76"/>
      <c r="E15" s="76"/>
      <c r="F15" s="15"/>
      <c r="G15" s="15"/>
      <c r="H15" s="15"/>
      <c r="I15" s="15"/>
      <c r="J15" s="78"/>
      <c r="K15" s="78" t="s">
        <v>305</v>
      </c>
      <c r="L15" s="16"/>
      <c r="M15" s="16"/>
      <c r="N15" s="16"/>
      <c r="O15" s="16"/>
      <c r="P15" s="80"/>
      <c r="Q15" s="80"/>
      <c r="R15" s="17"/>
      <c r="S15" s="17"/>
      <c r="T15" s="17"/>
      <c r="U15" s="17"/>
      <c r="V15" s="218"/>
      <c r="W15" s="218"/>
      <c r="X15" s="82"/>
      <c r="Y15" s="82"/>
      <c r="Z15" s="82"/>
      <c r="AA15" s="82"/>
      <c r="AB15" s="18"/>
      <c r="AC15" s="18"/>
      <c r="AD15" s="86"/>
      <c r="AE15" s="86"/>
      <c r="AF15" s="84"/>
      <c r="AG15" s="84"/>
      <c r="AH15" s="41"/>
      <c r="AI15" s="41"/>
      <c r="AJ15" s="41"/>
      <c r="AK15" s="41"/>
      <c r="AL15" s="185"/>
      <c r="AM15" s="185"/>
      <c r="AN15" s="187"/>
      <c r="AO15" s="187"/>
      <c r="AP15" s="187"/>
      <c r="AQ15" s="187"/>
      <c r="AR15" s="89"/>
      <c r="AS15" s="90"/>
      <c r="AT15" s="219"/>
      <c r="AU15" s="219"/>
      <c r="AV15" s="219"/>
      <c r="AW15" s="219"/>
      <c r="AX15" s="33"/>
      <c r="AY15" s="33"/>
      <c r="AZ15" s="82"/>
      <c r="BA15" s="82"/>
      <c r="BB15" s="82"/>
      <c r="BC15" s="691"/>
    </row>
    <row r="16" spans="1:57" x14ac:dyDescent="0.25">
      <c r="A16" s="358">
        <v>43248</v>
      </c>
      <c r="B16" s="460" t="s">
        <v>431</v>
      </c>
      <c r="C16" s="91" t="s">
        <v>95</v>
      </c>
      <c r="D16" s="76"/>
      <c r="E16" s="76"/>
      <c r="F16" s="15"/>
      <c r="G16" s="15"/>
      <c r="H16" s="15"/>
      <c r="I16" s="15"/>
      <c r="J16" s="78"/>
      <c r="K16" s="78"/>
      <c r="L16" s="16"/>
      <c r="M16" s="16" t="s">
        <v>305</v>
      </c>
      <c r="N16" s="16"/>
      <c r="O16" s="16"/>
      <c r="P16" s="80"/>
      <c r="Q16" s="80"/>
      <c r="R16" s="17"/>
      <c r="S16" s="17"/>
      <c r="T16" s="17"/>
      <c r="U16" s="17"/>
      <c r="V16" s="131"/>
      <c r="W16" s="117"/>
      <c r="X16" s="82"/>
      <c r="Y16" s="82"/>
      <c r="Z16" s="82"/>
      <c r="AA16" s="82"/>
      <c r="AB16" s="18"/>
      <c r="AC16" s="18"/>
      <c r="AD16" s="86"/>
      <c r="AE16" s="86"/>
      <c r="AF16" s="84"/>
      <c r="AG16" s="84"/>
      <c r="AH16" s="41"/>
      <c r="AI16" s="41"/>
      <c r="AJ16" s="41"/>
      <c r="AK16" s="41"/>
      <c r="AL16" s="185"/>
      <c r="AM16" s="185"/>
      <c r="AN16" s="187"/>
      <c r="AO16" s="187"/>
      <c r="AP16" s="187"/>
      <c r="AQ16" s="187"/>
      <c r="AR16" s="89"/>
      <c r="AS16" s="90"/>
      <c r="AT16" s="118"/>
      <c r="AU16" s="118"/>
      <c r="AV16" s="118"/>
      <c r="AW16" s="118"/>
      <c r="AX16" s="33"/>
      <c r="AY16" s="33"/>
      <c r="AZ16" s="82"/>
      <c r="BA16" s="82"/>
      <c r="BB16" s="82"/>
      <c r="BC16" s="691"/>
    </row>
    <row r="17" spans="1:55" x14ac:dyDescent="0.25">
      <c r="A17" s="358">
        <v>43248</v>
      </c>
      <c r="B17" s="138" t="s">
        <v>433</v>
      </c>
      <c r="C17" s="91" t="s">
        <v>95</v>
      </c>
      <c r="D17" s="76"/>
      <c r="E17" s="76"/>
      <c r="F17" s="15"/>
      <c r="G17" s="15"/>
      <c r="H17" s="15"/>
      <c r="I17" s="15"/>
      <c r="J17" s="78"/>
      <c r="K17" s="78"/>
      <c r="L17" s="16"/>
      <c r="M17" s="16"/>
      <c r="N17" s="16"/>
      <c r="O17" s="16"/>
      <c r="P17" s="80"/>
      <c r="Q17" s="80"/>
      <c r="R17" s="17"/>
      <c r="S17" s="17"/>
      <c r="T17" s="17"/>
      <c r="U17" s="17"/>
      <c r="V17" s="218"/>
      <c r="W17" s="218"/>
      <c r="X17" s="82"/>
      <c r="Y17" s="82"/>
      <c r="Z17" s="82"/>
      <c r="AA17" s="82" t="s">
        <v>305</v>
      </c>
      <c r="AB17" s="18"/>
      <c r="AC17" s="18"/>
      <c r="AD17" s="86"/>
      <c r="AE17" s="86"/>
      <c r="AF17" s="84"/>
      <c r="AG17" s="84"/>
      <c r="AH17" s="41"/>
      <c r="AI17" s="41"/>
      <c r="AJ17" s="41"/>
      <c r="AK17" s="41"/>
      <c r="AL17" s="185"/>
      <c r="AM17" s="185"/>
      <c r="AN17" s="187"/>
      <c r="AO17" s="187"/>
      <c r="AP17" s="187"/>
      <c r="AQ17" s="187"/>
      <c r="AR17" s="89"/>
      <c r="AS17" s="90"/>
      <c r="AT17" s="219"/>
      <c r="AU17" s="219"/>
      <c r="AV17" s="219"/>
      <c r="AW17" s="219"/>
      <c r="AX17" s="33"/>
      <c r="AY17" s="33"/>
      <c r="AZ17" s="82"/>
      <c r="BA17" s="82"/>
      <c r="BB17" s="82"/>
      <c r="BC17" s="691"/>
    </row>
    <row r="18" spans="1:55" x14ac:dyDescent="0.25">
      <c r="A18" s="358">
        <v>43249</v>
      </c>
      <c r="B18" s="17" t="s">
        <v>444</v>
      </c>
      <c r="C18" s="91" t="s">
        <v>95</v>
      </c>
      <c r="D18" s="76"/>
      <c r="E18" s="76"/>
      <c r="F18" s="15"/>
      <c r="G18" s="15"/>
      <c r="H18" s="15"/>
      <c r="I18" s="15"/>
      <c r="J18" s="78"/>
      <c r="K18" s="78"/>
      <c r="L18" s="16"/>
      <c r="M18" s="16"/>
      <c r="N18" s="16"/>
      <c r="O18" s="16"/>
      <c r="P18" s="80"/>
      <c r="Q18" s="80"/>
      <c r="R18" s="17"/>
      <c r="S18" s="17"/>
      <c r="T18" s="17"/>
      <c r="U18" s="17"/>
      <c r="V18" s="328"/>
      <c r="W18" s="328"/>
      <c r="X18" s="82"/>
      <c r="Y18" s="82"/>
      <c r="Z18" s="82"/>
      <c r="AA18" s="82" t="s">
        <v>305</v>
      </c>
      <c r="AB18" s="18"/>
      <c r="AC18" s="18"/>
      <c r="AD18" s="86"/>
      <c r="AE18" s="86"/>
      <c r="AF18" s="84"/>
      <c r="AG18" s="84"/>
      <c r="AH18" s="41"/>
      <c r="AI18" s="41"/>
      <c r="AJ18" s="41"/>
      <c r="AK18" s="41"/>
      <c r="AL18" s="185"/>
      <c r="AM18" s="185"/>
      <c r="AN18" s="187"/>
      <c r="AO18" s="187"/>
      <c r="AP18" s="187"/>
      <c r="AQ18" s="187"/>
      <c r="AR18" s="89"/>
      <c r="AS18" s="90"/>
      <c r="AT18" s="329"/>
      <c r="AU18" s="329"/>
      <c r="AV18" s="329"/>
      <c r="AW18" s="329"/>
      <c r="AX18" s="33"/>
      <c r="AY18" s="33"/>
      <c r="AZ18" s="82"/>
      <c r="BA18" s="82"/>
      <c r="BB18" s="82"/>
      <c r="BC18" s="691"/>
    </row>
    <row r="19" spans="1:55" x14ac:dyDescent="0.25">
      <c r="A19" s="358">
        <v>43254</v>
      </c>
      <c r="B19" s="813" t="s">
        <v>460</v>
      </c>
      <c r="C19" s="91" t="s">
        <v>91</v>
      </c>
      <c r="D19" s="76" t="s">
        <v>305</v>
      </c>
      <c r="E19" s="76"/>
      <c r="F19" s="15"/>
      <c r="G19" s="15"/>
      <c r="H19" s="15"/>
      <c r="I19" s="15"/>
      <c r="J19" s="78"/>
      <c r="K19" s="78"/>
      <c r="L19" s="16"/>
      <c r="M19" s="16"/>
      <c r="N19" s="16"/>
      <c r="O19" s="16"/>
      <c r="P19" s="80"/>
      <c r="Q19" s="80"/>
      <c r="R19" s="17"/>
      <c r="S19" s="17"/>
      <c r="T19" s="17"/>
      <c r="U19" s="17"/>
      <c r="V19" s="117"/>
      <c r="W19" s="117"/>
      <c r="X19" s="82"/>
      <c r="Y19" s="82"/>
      <c r="Z19" s="82"/>
      <c r="AA19" s="82"/>
      <c r="AB19" s="18"/>
      <c r="AC19" s="18"/>
      <c r="AD19" s="86"/>
      <c r="AE19" s="86"/>
      <c r="AF19" s="84"/>
      <c r="AG19" s="84"/>
      <c r="AH19" s="41"/>
      <c r="AI19" s="41"/>
      <c r="AJ19" s="41"/>
      <c r="AK19" s="41"/>
      <c r="AL19" s="185"/>
      <c r="AM19" s="185"/>
      <c r="AN19" s="187"/>
      <c r="AO19" s="187"/>
      <c r="AP19" s="187"/>
      <c r="AQ19" s="187"/>
      <c r="AR19" s="89"/>
      <c r="AS19" s="90"/>
      <c r="AT19" s="118"/>
      <c r="AU19" s="118"/>
      <c r="AV19" s="118"/>
      <c r="AW19" s="118"/>
      <c r="AX19" s="33"/>
      <c r="AY19" s="33"/>
      <c r="AZ19" s="82"/>
      <c r="BA19" s="82"/>
      <c r="BB19" s="82"/>
      <c r="BC19" s="691"/>
    </row>
    <row r="20" spans="1:55" x14ac:dyDescent="0.25">
      <c r="A20" s="68">
        <v>43255</v>
      </c>
      <c r="B20" s="17" t="s">
        <v>462</v>
      </c>
      <c r="C20" s="91" t="s">
        <v>95</v>
      </c>
      <c r="D20" s="76"/>
      <c r="E20" s="76"/>
      <c r="F20" s="15"/>
      <c r="G20" s="15"/>
      <c r="H20" s="15"/>
      <c r="I20" s="15"/>
      <c r="J20" s="78"/>
      <c r="K20" s="78"/>
      <c r="L20" s="16"/>
      <c r="M20" s="16"/>
      <c r="N20" s="16"/>
      <c r="O20" s="16"/>
      <c r="P20" s="80"/>
      <c r="Q20" s="80"/>
      <c r="R20" s="17"/>
      <c r="S20" s="17"/>
      <c r="T20" s="17"/>
      <c r="U20" s="17"/>
      <c r="V20" s="197"/>
      <c r="W20" s="197"/>
      <c r="X20" s="82"/>
      <c r="Y20" s="82"/>
      <c r="Z20" s="82" t="s">
        <v>305</v>
      </c>
      <c r="AA20" s="82"/>
      <c r="AB20" s="18"/>
      <c r="AC20" s="18"/>
      <c r="AD20" s="86"/>
      <c r="AE20" s="86"/>
      <c r="AF20" s="84"/>
      <c r="AG20" s="84"/>
      <c r="AH20" s="41"/>
      <c r="AI20" s="41"/>
      <c r="AJ20" s="41"/>
      <c r="AK20" s="41"/>
      <c r="AL20" s="185"/>
      <c r="AM20" s="185"/>
      <c r="AN20" s="187"/>
      <c r="AO20" s="187"/>
      <c r="AP20" s="187"/>
      <c r="AQ20" s="187"/>
      <c r="AR20" s="89"/>
      <c r="AS20" s="90"/>
      <c r="AT20" s="198"/>
      <c r="AU20" s="198"/>
      <c r="AV20" s="198"/>
      <c r="AW20" s="198"/>
      <c r="AX20" s="33"/>
      <c r="AY20" s="33"/>
      <c r="AZ20" s="82"/>
      <c r="BA20" s="82"/>
      <c r="BB20" s="82"/>
      <c r="BC20" s="691"/>
    </row>
    <row r="21" spans="1:55" x14ac:dyDescent="0.25">
      <c r="A21" s="68">
        <v>43255</v>
      </c>
      <c r="B21" s="813" t="s">
        <v>470</v>
      </c>
      <c r="C21" s="91" t="s">
        <v>91</v>
      </c>
      <c r="D21" s="76" t="s">
        <v>305</v>
      </c>
      <c r="E21" s="76"/>
      <c r="F21" s="15"/>
      <c r="G21" s="15"/>
      <c r="H21" s="15"/>
      <c r="I21" s="15"/>
      <c r="J21" s="78"/>
      <c r="K21" s="78"/>
      <c r="L21" s="16"/>
      <c r="M21" s="16"/>
      <c r="N21" s="16"/>
      <c r="O21" s="16"/>
      <c r="P21" s="80"/>
      <c r="Q21" s="80"/>
      <c r="R21" s="17"/>
      <c r="S21" s="17"/>
      <c r="T21" s="17"/>
      <c r="U21" s="17"/>
      <c r="V21" s="117"/>
      <c r="W21" s="133"/>
      <c r="X21" s="82"/>
      <c r="Y21" s="82"/>
      <c r="Z21" s="82"/>
      <c r="AA21" s="82"/>
      <c r="AB21" s="18"/>
      <c r="AC21" s="18"/>
      <c r="AD21" s="86"/>
      <c r="AE21" s="86"/>
      <c r="AF21" s="84"/>
      <c r="AG21" s="84"/>
      <c r="AH21" s="41"/>
      <c r="AI21" s="41"/>
      <c r="AJ21" s="41"/>
      <c r="AK21" s="41"/>
      <c r="AL21" s="185"/>
      <c r="AM21" s="185"/>
      <c r="AN21" s="187"/>
      <c r="AO21" s="187"/>
      <c r="AP21" s="187"/>
      <c r="AQ21" s="187"/>
      <c r="AR21" s="89"/>
      <c r="AS21" s="90"/>
      <c r="AT21" s="118"/>
      <c r="AU21" s="118"/>
      <c r="AV21" s="118"/>
      <c r="AW21" s="118"/>
      <c r="AX21" s="33"/>
      <c r="AY21" s="33"/>
      <c r="AZ21" s="82"/>
      <c r="BA21" s="82"/>
      <c r="BB21" s="82"/>
      <c r="BC21" s="691"/>
    </row>
    <row r="22" spans="1:55" x14ac:dyDescent="0.25">
      <c r="A22" s="358">
        <v>43256</v>
      </c>
      <c r="B22" s="813" t="s">
        <v>493</v>
      </c>
      <c r="C22" s="91" t="s">
        <v>91</v>
      </c>
      <c r="D22" s="76" t="s">
        <v>305</v>
      </c>
      <c r="E22" s="76"/>
      <c r="F22" s="15"/>
      <c r="G22" s="15"/>
      <c r="H22" s="15"/>
      <c r="I22" s="15"/>
      <c r="J22" s="78"/>
      <c r="K22" s="78"/>
      <c r="L22" s="16"/>
      <c r="M22" s="16"/>
      <c r="N22" s="16"/>
      <c r="O22" s="16"/>
      <c r="P22" s="80"/>
      <c r="Q22" s="80"/>
      <c r="R22" s="17"/>
      <c r="S22" s="17"/>
      <c r="T22" s="17"/>
      <c r="U22" s="17"/>
      <c r="V22" s="117"/>
      <c r="W22" s="117"/>
      <c r="X22" s="82"/>
      <c r="Y22" s="82"/>
      <c r="Z22" s="82"/>
      <c r="AA22" s="82"/>
      <c r="AB22" s="18"/>
      <c r="AC22" s="18"/>
      <c r="AD22" s="86"/>
      <c r="AE22" s="86"/>
      <c r="AF22" s="84"/>
      <c r="AG22" s="84"/>
      <c r="AH22" s="41"/>
      <c r="AI22" s="41"/>
      <c r="AJ22" s="41"/>
      <c r="AK22" s="41"/>
      <c r="AL22" s="185"/>
      <c r="AM22" s="185"/>
      <c r="AN22" s="187"/>
      <c r="AO22" s="187"/>
      <c r="AP22" s="187"/>
      <c r="AQ22" s="187"/>
      <c r="AR22" s="89"/>
      <c r="AS22" s="90"/>
      <c r="AT22" s="118"/>
      <c r="AU22" s="118"/>
      <c r="AV22" s="118"/>
      <c r="AW22" s="118"/>
      <c r="AX22" s="33"/>
      <c r="AY22" s="33"/>
      <c r="AZ22" s="82"/>
      <c r="BA22" s="82"/>
      <c r="BB22" s="82"/>
      <c r="BC22" s="691"/>
    </row>
    <row r="23" spans="1:55" x14ac:dyDescent="0.25">
      <c r="A23" s="358">
        <v>43256</v>
      </c>
      <c r="B23" s="78" t="s">
        <v>487</v>
      </c>
      <c r="C23" s="515" t="s">
        <v>93</v>
      </c>
      <c r="D23" s="76"/>
      <c r="E23" s="76"/>
      <c r="F23" s="15"/>
      <c r="G23" s="15"/>
      <c r="H23" s="15"/>
      <c r="I23" s="15"/>
      <c r="J23" s="78"/>
      <c r="K23" s="78" t="s">
        <v>305</v>
      </c>
      <c r="L23" s="16"/>
      <c r="M23" s="16"/>
      <c r="N23" s="16"/>
      <c r="O23" s="16"/>
      <c r="P23" s="80"/>
      <c r="Q23" s="80"/>
      <c r="R23" s="17"/>
      <c r="S23" s="17"/>
      <c r="T23" s="17"/>
      <c r="U23" s="17"/>
      <c r="V23" s="511"/>
      <c r="W23" s="511"/>
      <c r="X23" s="82"/>
      <c r="Y23" s="82"/>
      <c r="Z23" s="82"/>
      <c r="AA23" s="82"/>
      <c r="AB23" s="18"/>
      <c r="AC23" s="18"/>
      <c r="AD23" s="86"/>
      <c r="AE23" s="86"/>
      <c r="AF23" s="84"/>
      <c r="AG23" s="84"/>
      <c r="AH23" s="41"/>
      <c r="AI23" s="41"/>
      <c r="AJ23" s="41"/>
      <c r="AK23" s="41"/>
      <c r="AL23" s="185"/>
      <c r="AM23" s="185"/>
      <c r="AN23" s="187"/>
      <c r="AO23" s="187"/>
      <c r="AP23" s="187"/>
      <c r="AQ23" s="187"/>
      <c r="AR23" s="89"/>
      <c r="AS23" s="90"/>
      <c r="AT23" s="513"/>
      <c r="AU23" s="513"/>
      <c r="AV23" s="513"/>
      <c r="AW23" s="513"/>
      <c r="AX23" s="514"/>
      <c r="AY23" s="514"/>
      <c r="AZ23" s="82"/>
      <c r="BA23" s="82"/>
      <c r="BB23" s="82"/>
      <c r="BC23" s="691"/>
    </row>
    <row r="24" spans="1:55" x14ac:dyDescent="0.25">
      <c r="A24" s="358">
        <v>43256</v>
      </c>
      <c r="B24" s="857" t="s">
        <v>471</v>
      </c>
      <c r="C24" s="91" t="s">
        <v>91</v>
      </c>
      <c r="D24" s="76" t="s">
        <v>305</v>
      </c>
      <c r="E24" s="76"/>
      <c r="F24" s="15"/>
      <c r="G24" s="15"/>
      <c r="H24" s="15"/>
      <c r="I24" s="15"/>
      <c r="J24" s="78"/>
      <c r="K24" s="78"/>
      <c r="L24" s="16"/>
      <c r="M24" s="16"/>
      <c r="N24" s="16"/>
      <c r="O24" s="16"/>
      <c r="P24" s="80"/>
      <c r="Q24" s="80"/>
      <c r="R24" s="17"/>
      <c r="S24" s="17"/>
      <c r="T24" s="17"/>
      <c r="U24" s="17"/>
      <c r="V24" s="117"/>
      <c r="W24" s="117"/>
      <c r="X24" s="82"/>
      <c r="Y24" s="82"/>
      <c r="Z24" s="82"/>
      <c r="AA24" s="82"/>
      <c r="AB24" s="18"/>
      <c r="AC24" s="18"/>
      <c r="AD24" s="86"/>
      <c r="AE24" s="86"/>
      <c r="AF24" s="84"/>
      <c r="AG24" s="84"/>
      <c r="AH24" s="41"/>
      <c r="AI24" s="41"/>
      <c r="AJ24" s="41"/>
      <c r="AK24" s="41"/>
      <c r="AL24" s="185"/>
      <c r="AM24" s="185"/>
      <c r="AN24" s="187"/>
      <c r="AO24" s="187"/>
      <c r="AP24" s="187"/>
      <c r="AQ24" s="187"/>
      <c r="AR24" s="89"/>
      <c r="AS24" s="90"/>
      <c r="AT24" s="118"/>
      <c r="AU24" s="118"/>
      <c r="AV24" s="118"/>
      <c r="AW24" s="118"/>
      <c r="AX24" s="33"/>
      <c r="AY24" s="33"/>
      <c r="AZ24" s="82"/>
      <c r="BA24" s="82"/>
      <c r="BB24" s="82"/>
      <c r="BC24" s="691"/>
    </row>
    <row r="25" spans="1:55" x14ac:dyDescent="0.25">
      <c r="A25" s="358">
        <v>43256</v>
      </c>
      <c r="B25" s="857" t="s">
        <v>484</v>
      </c>
      <c r="C25" s="91" t="s">
        <v>91</v>
      </c>
      <c r="D25" s="76" t="s">
        <v>305</v>
      </c>
      <c r="E25" s="76"/>
      <c r="F25" s="15"/>
      <c r="G25" s="15"/>
      <c r="H25" s="15"/>
      <c r="I25" s="15"/>
      <c r="J25" s="78"/>
      <c r="K25" s="78"/>
      <c r="L25" s="16"/>
      <c r="M25" s="16"/>
      <c r="N25" s="16"/>
      <c r="O25" s="16"/>
      <c r="P25" s="80"/>
      <c r="Q25" s="80"/>
      <c r="R25" s="17"/>
      <c r="S25" s="17"/>
      <c r="T25" s="17"/>
      <c r="U25" s="17"/>
      <c r="V25" s="117"/>
      <c r="W25" s="117"/>
      <c r="X25" s="82"/>
      <c r="Y25" s="82"/>
      <c r="Z25" s="82"/>
      <c r="AA25" s="82"/>
      <c r="AB25" s="18"/>
      <c r="AC25" s="18"/>
      <c r="AD25" s="86"/>
      <c r="AE25" s="86"/>
      <c r="AF25" s="84"/>
      <c r="AG25" s="84"/>
      <c r="AH25" s="41"/>
      <c r="AI25" s="41"/>
      <c r="AJ25" s="41"/>
      <c r="AK25" s="41"/>
      <c r="AL25" s="185"/>
      <c r="AM25" s="185"/>
      <c r="AN25" s="187"/>
      <c r="AO25" s="187"/>
      <c r="AP25" s="187"/>
      <c r="AQ25" s="187"/>
      <c r="AR25" s="89"/>
      <c r="AS25" s="90"/>
      <c r="AT25" s="118"/>
      <c r="AU25" s="118"/>
      <c r="AV25" s="118"/>
      <c r="AW25" s="118"/>
      <c r="AX25" s="33"/>
      <c r="AY25" s="33"/>
      <c r="AZ25" s="82"/>
      <c r="BA25" s="82"/>
      <c r="BB25" s="82"/>
      <c r="BC25" s="691"/>
    </row>
    <row r="26" spans="1:55" x14ac:dyDescent="0.25">
      <c r="A26" s="68">
        <v>43256</v>
      </c>
      <c r="B26" s="813" t="s">
        <v>494</v>
      </c>
      <c r="C26" s="91" t="s">
        <v>91</v>
      </c>
      <c r="D26" s="76" t="s">
        <v>305</v>
      </c>
      <c r="E26" s="76"/>
      <c r="F26" s="15"/>
      <c r="G26" s="15"/>
      <c r="H26" s="15"/>
      <c r="I26" s="15"/>
      <c r="J26" s="78"/>
      <c r="K26" s="78"/>
      <c r="L26" s="16"/>
      <c r="M26" s="16"/>
      <c r="N26" s="16"/>
      <c r="O26" s="16"/>
      <c r="P26" s="80"/>
      <c r="Q26" s="80"/>
      <c r="R26" s="17"/>
      <c r="S26" s="17"/>
      <c r="T26" s="17"/>
      <c r="U26" s="17"/>
      <c r="V26" s="221"/>
      <c r="W26" s="221"/>
      <c r="X26" s="82"/>
      <c r="Y26" s="82"/>
      <c r="Z26" s="82"/>
      <c r="AA26" s="82"/>
      <c r="AB26" s="18"/>
      <c r="AC26" s="18"/>
      <c r="AD26" s="86"/>
      <c r="AE26" s="86"/>
      <c r="AF26" s="84"/>
      <c r="AG26" s="84"/>
      <c r="AH26" s="41"/>
      <c r="AI26" s="41"/>
      <c r="AJ26" s="41"/>
      <c r="AK26" s="41"/>
      <c r="AL26" s="185"/>
      <c r="AM26" s="185"/>
      <c r="AN26" s="187"/>
      <c r="AO26" s="187"/>
      <c r="AP26" s="187"/>
      <c r="AQ26" s="187"/>
      <c r="AR26" s="89"/>
      <c r="AS26" s="90"/>
      <c r="AT26" s="222"/>
      <c r="AU26" s="222"/>
      <c r="AV26" s="222"/>
      <c r="AW26" s="222"/>
      <c r="AX26" s="33"/>
      <c r="AY26" s="33"/>
      <c r="AZ26" s="82"/>
      <c r="BA26" s="82"/>
      <c r="BB26" s="82"/>
      <c r="BC26" s="691"/>
    </row>
    <row r="27" spans="1:55" x14ac:dyDescent="0.25">
      <c r="A27" s="68">
        <v>43259</v>
      </c>
      <c r="B27" s="813" t="s">
        <v>521</v>
      </c>
      <c r="C27" s="861" t="s">
        <v>91</v>
      </c>
      <c r="D27" s="76" t="s">
        <v>305</v>
      </c>
      <c r="E27" s="76"/>
      <c r="F27" s="15"/>
      <c r="G27" s="15"/>
      <c r="H27" s="15"/>
      <c r="I27" s="15"/>
      <c r="J27" s="78"/>
      <c r="K27" s="78"/>
      <c r="L27" s="16"/>
      <c r="M27" s="16"/>
      <c r="N27" s="16"/>
      <c r="O27" s="16"/>
      <c r="P27" s="80"/>
      <c r="Q27" s="80"/>
      <c r="R27" s="17"/>
      <c r="S27" s="17"/>
      <c r="T27" s="17"/>
      <c r="U27" s="17"/>
      <c r="V27" s="221"/>
      <c r="W27" s="221"/>
      <c r="X27" s="82"/>
      <c r="Y27" s="82"/>
      <c r="Z27" s="82"/>
      <c r="AA27" s="82"/>
      <c r="AB27" s="18"/>
      <c r="AC27" s="18"/>
      <c r="AD27" s="86"/>
      <c r="AE27" s="86"/>
      <c r="AF27" s="84"/>
      <c r="AG27" s="84"/>
      <c r="AH27" s="41"/>
      <c r="AI27" s="41"/>
      <c r="AJ27" s="41"/>
      <c r="AK27" s="41"/>
      <c r="AL27" s="185"/>
      <c r="AM27" s="185"/>
      <c r="AN27" s="187"/>
      <c r="AO27" s="187"/>
      <c r="AP27" s="187"/>
      <c r="AQ27" s="187"/>
      <c r="AR27" s="89"/>
      <c r="AS27" s="90"/>
      <c r="AT27" s="222"/>
      <c r="AU27" s="222"/>
      <c r="AV27" s="222"/>
      <c r="AW27" s="222"/>
      <c r="AX27" s="33"/>
      <c r="AY27" s="33"/>
      <c r="AZ27" s="82"/>
      <c r="BA27" s="82"/>
      <c r="BB27" s="82"/>
      <c r="BC27" s="691"/>
    </row>
    <row r="28" spans="1:55" x14ac:dyDescent="0.25">
      <c r="A28" s="358">
        <v>43259</v>
      </c>
      <c r="B28" s="813" t="s">
        <v>522</v>
      </c>
      <c r="C28" s="91" t="s">
        <v>91</v>
      </c>
      <c r="D28" s="76"/>
      <c r="E28" s="76"/>
      <c r="F28" s="15"/>
      <c r="G28" s="15"/>
      <c r="H28" s="15"/>
      <c r="I28" s="15"/>
      <c r="J28" s="78"/>
      <c r="K28" s="78"/>
      <c r="L28" s="16"/>
      <c r="M28" s="16"/>
      <c r="N28" s="16"/>
      <c r="O28" s="16"/>
      <c r="P28" s="80"/>
      <c r="Q28" s="80"/>
      <c r="R28" s="17"/>
      <c r="S28" s="17"/>
      <c r="T28" s="17"/>
      <c r="U28" s="17"/>
      <c r="V28" s="117" t="s">
        <v>305</v>
      </c>
      <c r="W28" s="117"/>
      <c r="X28" s="82"/>
      <c r="Y28" s="82"/>
      <c r="Z28" s="82"/>
      <c r="AA28" s="82"/>
      <c r="AB28" s="18"/>
      <c r="AC28" s="18"/>
      <c r="AD28" s="86"/>
      <c r="AE28" s="86"/>
      <c r="AF28" s="84"/>
      <c r="AG28" s="84"/>
      <c r="AH28" s="41"/>
      <c r="AI28" s="41"/>
      <c r="AJ28" s="41"/>
      <c r="AK28" s="41"/>
      <c r="AL28" s="185"/>
      <c r="AM28" s="185"/>
      <c r="AN28" s="187"/>
      <c r="AO28" s="187"/>
      <c r="AP28" s="187"/>
      <c r="AQ28" s="187"/>
      <c r="AR28" s="89"/>
      <c r="AS28" s="90"/>
      <c r="AT28" s="118"/>
      <c r="AU28" s="118"/>
      <c r="AV28" s="118"/>
      <c r="AW28" s="118"/>
      <c r="AX28" s="33"/>
      <c r="AY28" s="33"/>
      <c r="AZ28" s="82"/>
      <c r="BA28" s="82"/>
      <c r="BB28" s="82"/>
      <c r="BC28" s="691"/>
    </row>
    <row r="29" spans="1:55" x14ac:dyDescent="0.25">
      <c r="A29" s="358">
        <v>43259</v>
      </c>
      <c r="B29" s="89" t="s">
        <v>511</v>
      </c>
      <c r="C29" s="861" t="s">
        <v>63</v>
      </c>
      <c r="D29" s="76"/>
      <c r="E29" s="76"/>
      <c r="F29" s="15"/>
      <c r="G29" s="15"/>
      <c r="H29" s="15"/>
      <c r="I29" s="15"/>
      <c r="J29" s="78"/>
      <c r="K29" s="78"/>
      <c r="L29" s="16"/>
      <c r="M29" s="16"/>
      <c r="N29" s="16"/>
      <c r="O29" s="16"/>
      <c r="P29" s="80"/>
      <c r="Q29" s="80"/>
      <c r="R29" s="17"/>
      <c r="S29" s="17"/>
      <c r="T29" s="17"/>
      <c r="U29" s="17"/>
      <c r="V29" s="858"/>
      <c r="W29" s="858"/>
      <c r="X29" s="82"/>
      <c r="Y29" s="82"/>
      <c r="Z29" s="82"/>
      <c r="AA29" s="82"/>
      <c r="AB29" s="18"/>
      <c r="AC29" s="18"/>
      <c r="AD29" s="86"/>
      <c r="AE29" s="86"/>
      <c r="AF29" s="84"/>
      <c r="AG29" s="84"/>
      <c r="AH29" s="41"/>
      <c r="AI29" s="41"/>
      <c r="AJ29" s="41"/>
      <c r="AK29" s="41"/>
      <c r="AL29" s="185"/>
      <c r="AM29" s="185"/>
      <c r="AN29" s="187"/>
      <c r="AO29" s="187"/>
      <c r="AP29" s="187"/>
      <c r="AQ29" s="187"/>
      <c r="AR29" s="89" t="s">
        <v>305</v>
      </c>
      <c r="AS29" s="90"/>
      <c r="AT29" s="859"/>
      <c r="AU29" s="859"/>
      <c r="AV29" s="859"/>
      <c r="AW29" s="859"/>
      <c r="AX29" s="860"/>
      <c r="AY29" s="860"/>
      <c r="AZ29" s="82"/>
      <c r="BA29" s="82"/>
      <c r="BB29" s="82"/>
      <c r="BC29" s="691"/>
    </row>
    <row r="30" spans="1:55" x14ac:dyDescent="0.25">
      <c r="A30" s="358">
        <v>43259</v>
      </c>
      <c r="B30" s="813" t="s">
        <v>512</v>
      </c>
      <c r="C30" s="91" t="s">
        <v>91</v>
      </c>
      <c r="D30" s="76" t="s">
        <v>305</v>
      </c>
      <c r="E30" s="76"/>
      <c r="F30" s="15"/>
      <c r="G30" s="15"/>
      <c r="H30" s="15"/>
      <c r="I30" s="15"/>
      <c r="J30" s="78"/>
      <c r="K30" s="78"/>
      <c r="L30" s="16"/>
      <c r="M30" s="16"/>
      <c r="N30" s="16"/>
      <c r="O30" s="16"/>
      <c r="P30" s="80"/>
      <c r="Q30" s="80"/>
      <c r="R30" s="17"/>
      <c r="S30" s="17"/>
      <c r="T30" s="17"/>
      <c r="U30" s="17"/>
      <c r="V30" s="117"/>
      <c r="W30" s="117"/>
      <c r="X30" s="82"/>
      <c r="Y30" s="82"/>
      <c r="Z30" s="82"/>
      <c r="AA30" s="82"/>
      <c r="AB30" s="18"/>
      <c r="AC30" s="18"/>
      <c r="AD30" s="86"/>
      <c r="AE30" s="86"/>
      <c r="AF30" s="84"/>
      <c r="AG30" s="84"/>
      <c r="AH30" s="41"/>
      <c r="AI30" s="41"/>
      <c r="AJ30" s="41"/>
      <c r="AK30" s="41"/>
      <c r="AL30" s="185"/>
      <c r="AM30" s="185"/>
      <c r="AN30" s="187"/>
      <c r="AO30" s="187"/>
      <c r="AP30" s="187"/>
      <c r="AQ30" s="187"/>
      <c r="AR30" s="89"/>
      <c r="AS30" s="90"/>
      <c r="AT30" s="118"/>
      <c r="AU30" s="118"/>
      <c r="AV30" s="118"/>
      <c r="AW30" s="118"/>
      <c r="AX30" s="33"/>
      <c r="AY30" s="33"/>
      <c r="AZ30" s="82"/>
      <c r="BA30" s="82"/>
      <c r="BB30" s="82"/>
      <c r="BC30" s="691"/>
    </row>
    <row r="31" spans="1:55" x14ac:dyDescent="0.25">
      <c r="A31" s="68">
        <v>43259</v>
      </c>
      <c r="B31" s="813" t="s">
        <v>513</v>
      </c>
      <c r="C31" s="91" t="s">
        <v>91</v>
      </c>
      <c r="D31" s="76" t="s">
        <v>305</v>
      </c>
      <c r="E31" s="76"/>
      <c r="F31" s="15"/>
      <c r="G31" s="15"/>
      <c r="H31" s="15"/>
      <c r="I31" s="15"/>
      <c r="J31" s="78"/>
      <c r="K31" s="78"/>
      <c r="L31" s="16"/>
      <c r="M31" s="16"/>
      <c r="N31" s="16"/>
      <c r="O31" s="16"/>
      <c r="P31" s="80"/>
      <c r="Q31" s="80"/>
      <c r="R31" s="17"/>
      <c r="S31" s="17"/>
      <c r="T31" s="17"/>
      <c r="U31" s="17"/>
      <c r="V31" s="225"/>
      <c r="W31" s="225"/>
      <c r="X31" s="82"/>
      <c r="Y31" s="82"/>
      <c r="Z31" s="82"/>
      <c r="AA31" s="82"/>
      <c r="AB31" s="18"/>
      <c r="AC31" s="18"/>
      <c r="AD31" s="86"/>
      <c r="AE31" s="86"/>
      <c r="AF31" s="84"/>
      <c r="AG31" s="84"/>
      <c r="AH31" s="41"/>
      <c r="AI31" s="41"/>
      <c r="AJ31" s="41"/>
      <c r="AK31" s="41"/>
      <c r="AL31" s="185"/>
      <c r="AM31" s="185"/>
      <c r="AN31" s="187"/>
      <c r="AO31" s="187"/>
      <c r="AP31" s="187"/>
      <c r="AQ31" s="187"/>
      <c r="AR31" s="89"/>
      <c r="AS31" s="90"/>
      <c r="AT31" s="226"/>
      <c r="AU31" s="226"/>
      <c r="AV31" s="226"/>
      <c r="AW31" s="226"/>
      <c r="AX31" s="33"/>
      <c r="AY31" s="33"/>
      <c r="AZ31" s="82"/>
      <c r="BA31" s="82"/>
      <c r="BB31" s="82"/>
      <c r="BC31" s="691"/>
    </row>
    <row r="32" spans="1:55" x14ac:dyDescent="0.25">
      <c r="A32" s="358">
        <v>43263</v>
      </c>
      <c r="B32" s="813" t="s">
        <v>525</v>
      </c>
      <c r="C32" s="91" t="s">
        <v>91</v>
      </c>
      <c r="D32" s="76" t="s">
        <v>305</v>
      </c>
      <c r="E32" s="76"/>
      <c r="F32" s="15"/>
      <c r="G32" s="15"/>
      <c r="H32" s="15"/>
      <c r="I32" s="15"/>
      <c r="J32" s="78"/>
      <c r="K32" s="78"/>
      <c r="L32" s="16"/>
      <c r="M32" s="16"/>
      <c r="N32" s="16"/>
      <c r="O32" s="16"/>
      <c r="P32" s="80"/>
      <c r="Q32" s="80"/>
      <c r="R32" s="17"/>
      <c r="S32" s="17"/>
      <c r="T32" s="17"/>
      <c r="U32" s="17"/>
      <c r="V32" s="223"/>
      <c r="W32" s="223"/>
      <c r="X32" s="82"/>
      <c r="Y32" s="82"/>
      <c r="Z32" s="82"/>
      <c r="AA32" s="82"/>
      <c r="AB32" s="18"/>
      <c r="AC32" s="18"/>
      <c r="AD32" s="86"/>
      <c r="AE32" s="86"/>
      <c r="AF32" s="84"/>
      <c r="AG32" s="84"/>
      <c r="AH32" s="41"/>
      <c r="AI32" s="41"/>
      <c r="AJ32" s="41"/>
      <c r="AK32" s="41"/>
      <c r="AL32" s="185"/>
      <c r="AM32" s="185"/>
      <c r="AN32" s="187"/>
      <c r="AO32" s="187"/>
      <c r="AP32" s="187"/>
      <c r="AQ32" s="187"/>
      <c r="AR32" s="89"/>
      <c r="AS32" s="90"/>
      <c r="AT32" s="224"/>
      <c r="AU32" s="224"/>
      <c r="AV32" s="224"/>
      <c r="AW32" s="224"/>
      <c r="AX32" s="33"/>
      <c r="AY32" s="33"/>
      <c r="AZ32" s="82"/>
      <c r="BA32" s="82"/>
      <c r="BB32" s="82"/>
      <c r="BC32" s="691"/>
    </row>
    <row r="33" spans="1:55" x14ac:dyDescent="0.25">
      <c r="A33" s="358">
        <v>43265</v>
      </c>
      <c r="B33" s="813" t="s">
        <v>539</v>
      </c>
      <c r="C33" s="91" t="s">
        <v>91</v>
      </c>
      <c r="D33" s="76" t="s">
        <v>305</v>
      </c>
      <c r="E33" s="76"/>
      <c r="F33" s="15"/>
      <c r="G33" s="15"/>
      <c r="H33" s="15"/>
      <c r="I33" s="15"/>
      <c r="J33" s="78"/>
      <c r="K33" s="78"/>
      <c r="L33" s="16"/>
      <c r="M33" s="16"/>
      <c r="N33" s="16"/>
      <c r="O33" s="16"/>
      <c r="P33" s="80"/>
      <c r="Q33" s="80"/>
      <c r="R33" s="17"/>
      <c r="S33" s="17"/>
      <c r="T33" s="17"/>
      <c r="U33" s="17"/>
      <c r="V33" s="223"/>
      <c r="W33" s="223"/>
      <c r="X33" s="82"/>
      <c r="Y33" s="82"/>
      <c r="Z33" s="82"/>
      <c r="AA33" s="82"/>
      <c r="AB33" s="18"/>
      <c r="AC33" s="18"/>
      <c r="AD33" s="86"/>
      <c r="AE33" s="86"/>
      <c r="AF33" s="84"/>
      <c r="AG33" s="84"/>
      <c r="AH33" s="41"/>
      <c r="AI33" s="41"/>
      <c r="AJ33" s="41"/>
      <c r="AK33" s="41"/>
      <c r="AL33" s="185"/>
      <c r="AM33" s="185"/>
      <c r="AN33" s="187"/>
      <c r="AO33" s="187"/>
      <c r="AP33" s="187"/>
      <c r="AQ33" s="187"/>
      <c r="AR33" s="89"/>
      <c r="AS33" s="90"/>
      <c r="AT33" s="224"/>
      <c r="AU33" s="224"/>
      <c r="AV33" s="224"/>
      <c r="AW33" s="224"/>
      <c r="AX33" s="33"/>
      <c r="AY33" s="33"/>
      <c r="AZ33" s="82"/>
      <c r="BA33" s="82"/>
      <c r="BB33" s="82"/>
      <c r="BC33" s="691"/>
    </row>
    <row r="34" spans="1:55" x14ac:dyDescent="0.25">
      <c r="A34" s="68">
        <v>43266</v>
      </c>
      <c r="B34" s="78" t="s">
        <v>545</v>
      </c>
      <c r="C34" s="91" t="s">
        <v>93</v>
      </c>
      <c r="D34" s="76"/>
      <c r="E34" s="76"/>
      <c r="F34" s="15"/>
      <c r="G34" s="15"/>
      <c r="H34" s="15"/>
      <c r="I34" s="15"/>
      <c r="J34" s="78" t="s">
        <v>305</v>
      </c>
      <c r="K34" s="78"/>
      <c r="L34" s="16"/>
      <c r="M34" s="16"/>
      <c r="N34" s="16"/>
      <c r="O34" s="16"/>
      <c r="P34" s="80"/>
      <c r="Q34" s="80"/>
      <c r="R34" s="17"/>
      <c r="S34" s="17"/>
      <c r="T34" s="17"/>
      <c r="U34" s="17"/>
      <c r="V34" s="117"/>
      <c r="W34" s="117"/>
      <c r="X34" s="82"/>
      <c r="Y34" s="82"/>
      <c r="Z34" s="82"/>
      <c r="AA34" s="82"/>
      <c r="AB34" s="18"/>
      <c r="AC34" s="18"/>
      <c r="AD34" s="86"/>
      <c r="AE34" s="86"/>
      <c r="AF34" s="84"/>
      <c r="AG34" s="84"/>
      <c r="AH34" s="41"/>
      <c r="AI34" s="41"/>
      <c r="AJ34" s="41"/>
      <c r="AK34" s="41"/>
      <c r="AL34" s="185"/>
      <c r="AM34" s="185"/>
      <c r="AN34" s="187"/>
      <c r="AO34" s="187"/>
      <c r="AP34" s="187"/>
      <c r="AQ34" s="187"/>
      <c r="AR34" s="89"/>
      <c r="AS34" s="90"/>
      <c r="AT34" s="118"/>
      <c r="AU34" s="118"/>
      <c r="AV34" s="118"/>
      <c r="AW34" s="118"/>
      <c r="AX34" s="33"/>
      <c r="AY34" s="33"/>
      <c r="AZ34" s="82"/>
      <c r="BA34" s="82"/>
      <c r="BB34" s="82"/>
      <c r="BC34" s="691"/>
    </row>
    <row r="35" spans="1:55" x14ac:dyDescent="0.25">
      <c r="A35" s="68">
        <v>43267</v>
      </c>
      <c r="B35" s="17" t="s">
        <v>564</v>
      </c>
      <c r="C35" s="91" t="s">
        <v>95</v>
      </c>
      <c r="D35" s="76"/>
      <c r="E35" s="76"/>
      <c r="F35" s="15"/>
      <c r="G35" s="15"/>
      <c r="H35" s="15"/>
      <c r="I35" s="15"/>
      <c r="J35" s="78"/>
      <c r="K35" s="78"/>
      <c r="L35" s="16"/>
      <c r="M35" s="16"/>
      <c r="N35" s="16"/>
      <c r="O35" s="16"/>
      <c r="P35" s="80"/>
      <c r="Q35" s="80"/>
      <c r="R35" s="17"/>
      <c r="S35" s="17"/>
      <c r="T35" s="17"/>
      <c r="U35" s="17"/>
      <c r="V35" s="389"/>
      <c r="W35" s="389"/>
      <c r="X35" s="82"/>
      <c r="Y35" s="82"/>
      <c r="Z35" s="82" t="s">
        <v>305</v>
      </c>
      <c r="AA35" s="82"/>
      <c r="AB35" s="18"/>
      <c r="AC35" s="18"/>
      <c r="AD35" s="86"/>
      <c r="AE35" s="86"/>
      <c r="AF35" s="84"/>
      <c r="AG35" s="84"/>
      <c r="AH35" s="41"/>
      <c r="AI35" s="41"/>
      <c r="AJ35" s="41"/>
      <c r="AK35" s="41"/>
      <c r="AL35" s="185"/>
      <c r="AM35" s="185"/>
      <c r="AN35" s="187"/>
      <c r="AO35" s="187"/>
      <c r="AP35" s="187"/>
      <c r="AQ35" s="187"/>
      <c r="AR35" s="89"/>
      <c r="AS35" s="90"/>
      <c r="AT35" s="390"/>
      <c r="AU35" s="390"/>
      <c r="AV35" s="390"/>
      <c r="AW35" s="390"/>
      <c r="AX35" s="391"/>
      <c r="AY35" s="391"/>
      <c r="AZ35" s="82"/>
      <c r="BA35" s="82"/>
      <c r="BB35" s="82"/>
      <c r="BC35" s="691"/>
    </row>
    <row r="36" spans="1:55" x14ac:dyDescent="0.25">
      <c r="A36" s="68">
        <v>43268</v>
      </c>
      <c r="B36" s="78" t="s">
        <v>569</v>
      </c>
      <c r="C36" s="91" t="s">
        <v>93</v>
      </c>
      <c r="D36" s="76"/>
      <c r="E36" s="76"/>
      <c r="F36" s="15"/>
      <c r="G36" s="15"/>
      <c r="H36" s="15"/>
      <c r="I36" s="15"/>
      <c r="J36" s="78" t="s">
        <v>305</v>
      </c>
      <c r="K36" s="78"/>
      <c r="L36" s="16"/>
      <c r="M36" s="16"/>
      <c r="N36" s="16"/>
      <c r="O36" s="16"/>
      <c r="P36" s="80"/>
      <c r="Q36" s="80"/>
      <c r="R36" s="17"/>
      <c r="S36" s="17"/>
      <c r="T36" s="17"/>
      <c r="U36" s="17"/>
      <c r="V36" s="377"/>
      <c r="W36" s="377"/>
      <c r="X36" s="82"/>
      <c r="Y36" s="82"/>
      <c r="Z36" s="82"/>
      <c r="AA36" s="82"/>
      <c r="AB36" s="18"/>
      <c r="AC36" s="18"/>
      <c r="AD36" s="86"/>
      <c r="AE36" s="86"/>
      <c r="AF36" s="84"/>
      <c r="AG36" s="84"/>
      <c r="AH36" s="41"/>
      <c r="AI36" s="41"/>
      <c r="AJ36" s="41"/>
      <c r="AK36" s="41"/>
      <c r="AL36" s="185"/>
      <c r="AM36" s="185"/>
      <c r="AN36" s="187"/>
      <c r="AO36" s="187"/>
      <c r="AP36" s="187"/>
      <c r="AQ36" s="187"/>
      <c r="AR36" s="89"/>
      <c r="AS36" s="90"/>
      <c r="AT36" s="378"/>
      <c r="AU36" s="378"/>
      <c r="AV36" s="378"/>
      <c r="AW36" s="378"/>
      <c r="AX36" s="379"/>
      <c r="AY36" s="379"/>
      <c r="AZ36" s="82"/>
      <c r="BA36" s="82"/>
      <c r="BB36" s="82"/>
      <c r="BC36" s="691"/>
    </row>
    <row r="37" spans="1:55" x14ac:dyDescent="0.25">
      <c r="A37" s="68">
        <v>43271</v>
      </c>
      <c r="B37" s="89" t="s">
        <v>578</v>
      </c>
      <c r="C37" s="91" t="s">
        <v>63</v>
      </c>
      <c r="D37" s="76"/>
      <c r="E37" s="76"/>
      <c r="F37" s="15"/>
      <c r="G37" s="15"/>
      <c r="H37" s="15"/>
      <c r="I37" s="15"/>
      <c r="J37" s="78"/>
      <c r="K37" s="78"/>
      <c r="L37" s="16"/>
      <c r="M37" s="16"/>
      <c r="N37" s="16"/>
      <c r="O37" s="16"/>
      <c r="P37" s="80"/>
      <c r="Q37" s="80"/>
      <c r="R37" s="17"/>
      <c r="S37" s="17"/>
      <c r="T37" s="17"/>
      <c r="U37" s="17"/>
      <c r="V37" s="117"/>
      <c r="X37" s="82"/>
      <c r="Y37" s="82"/>
      <c r="Z37" s="82"/>
      <c r="AA37" s="82"/>
      <c r="AB37" s="18"/>
      <c r="AC37" s="18"/>
      <c r="AD37" s="86"/>
      <c r="AE37" s="86"/>
      <c r="AF37" s="84"/>
      <c r="AG37" s="84"/>
      <c r="AH37" s="41"/>
      <c r="AI37" s="41"/>
      <c r="AJ37" s="41"/>
      <c r="AK37" s="41"/>
      <c r="AL37" s="185"/>
      <c r="AM37" s="185"/>
      <c r="AN37" s="187"/>
      <c r="AO37" s="187"/>
      <c r="AP37" s="187"/>
      <c r="AQ37" s="187"/>
      <c r="AR37" s="89" t="s">
        <v>305</v>
      </c>
      <c r="AS37" s="90"/>
      <c r="AT37" s="118"/>
      <c r="AU37" s="118"/>
      <c r="AV37" s="118"/>
      <c r="AW37" s="118"/>
      <c r="AX37" s="33"/>
      <c r="AY37" s="33"/>
      <c r="AZ37" s="82"/>
      <c r="BA37" s="82"/>
      <c r="BB37" s="82"/>
      <c r="BC37" s="691"/>
    </row>
    <row r="38" spans="1:55" x14ac:dyDescent="0.25">
      <c r="A38" s="68">
        <v>43271</v>
      </c>
      <c r="B38" s="813" t="s">
        <v>579</v>
      </c>
      <c r="C38" s="91" t="s">
        <v>91</v>
      </c>
      <c r="D38" s="76"/>
      <c r="E38" s="76"/>
      <c r="F38" s="15"/>
      <c r="G38" s="15"/>
      <c r="H38" s="15"/>
      <c r="I38" s="15"/>
      <c r="J38" s="78"/>
      <c r="K38" s="78"/>
      <c r="L38" s="16"/>
      <c r="M38" s="16"/>
      <c r="N38" s="16"/>
      <c r="O38" s="16"/>
      <c r="P38" s="80"/>
      <c r="Q38" s="80"/>
      <c r="R38" s="17"/>
      <c r="S38" s="17"/>
      <c r="T38" s="17"/>
      <c r="U38" s="17"/>
      <c r="V38" s="117"/>
      <c r="W38" s="117" t="s">
        <v>305</v>
      </c>
      <c r="X38" s="82"/>
      <c r="Y38" s="82"/>
      <c r="Z38" s="82"/>
      <c r="AA38" s="82"/>
      <c r="AB38" s="18"/>
      <c r="AC38" s="18"/>
      <c r="AD38" s="86"/>
      <c r="AE38" s="86"/>
      <c r="AF38" s="84"/>
      <c r="AG38" s="84"/>
      <c r="AH38" s="41"/>
      <c r="AI38" s="41"/>
      <c r="AJ38" s="41"/>
      <c r="AK38" s="41"/>
      <c r="AL38" s="185"/>
      <c r="AM38" s="185"/>
      <c r="AN38" s="187"/>
      <c r="AO38" s="187"/>
      <c r="AP38" s="187"/>
      <c r="AQ38" s="187"/>
      <c r="AR38" s="89"/>
      <c r="AS38" s="90"/>
      <c r="AT38" s="118"/>
      <c r="AU38" s="118"/>
      <c r="AV38" s="118"/>
      <c r="AW38" s="118"/>
      <c r="AX38" s="33"/>
      <c r="AY38" s="33"/>
      <c r="AZ38" s="82"/>
      <c r="BA38" s="82"/>
      <c r="BB38" s="82"/>
      <c r="BC38" s="691"/>
    </row>
    <row r="39" spans="1:55" x14ac:dyDescent="0.25">
      <c r="A39" s="68">
        <v>43275</v>
      </c>
      <c r="B39" s="78" t="s">
        <v>593</v>
      </c>
      <c r="C39" s="91" t="s">
        <v>93</v>
      </c>
      <c r="D39" s="76"/>
      <c r="E39" s="76"/>
      <c r="F39" s="15"/>
      <c r="G39" s="15"/>
      <c r="H39" s="15"/>
      <c r="I39" s="15"/>
      <c r="J39" s="78" t="s">
        <v>305</v>
      </c>
      <c r="K39" s="78"/>
      <c r="L39" s="16"/>
      <c r="M39" s="16"/>
      <c r="N39" s="16"/>
      <c r="O39" s="16"/>
      <c r="P39" s="80"/>
      <c r="Q39" s="80"/>
      <c r="R39" s="17"/>
      <c r="S39" s="17"/>
      <c r="T39" s="17"/>
      <c r="U39" s="17"/>
      <c r="V39" s="117"/>
      <c r="W39" s="117"/>
      <c r="X39" s="82"/>
      <c r="Y39" s="82"/>
      <c r="Z39" s="82"/>
      <c r="AA39" s="82"/>
      <c r="AB39" s="18"/>
      <c r="AC39" s="18"/>
      <c r="AD39" s="86"/>
      <c r="AE39" s="86"/>
      <c r="AF39" s="84"/>
      <c r="AG39" s="84"/>
      <c r="AH39" s="41"/>
      <c r="AI39" s="41"/>
      <c r="AJ39" s="41"/>
      <c r="AK39" s="41"/>
      <c r="AL39" s="185"/>
      <c r="AM39" s="185"/>
      <c r="AN39" s="187"/>
      <c r="AO39" s="187"/>
      <c r="AP39" s="187"/>
      <c r="AQ39" s="187"/>
      <c r="AR39" s="89"/>
      <c r="AS39" s="90"/>
      <c r="AT39" s="118"/>
      <c r="AU39" s="118"/>
      <c r="AV39" s="118"/>
      <c r="AW39" s="118"/>
      <c r="AX39" s="33"/>
      <c r="AY39" s="33"/>
      <c r="AZ39" s="82"/>
      <c r="BA39" s="82"/>
      <c r="BB39" s="82"/>
      <c r="BC39" s="691"/>
    </row>
    <row r="40" spans="1:55" x14ac:dyDescent="0.25">
      <c r="A40" s="358">
        <v>43280</v>
      </c>
      <c r="B40" s="89" t="s">
        <v>612</v>
      </c>
      <c r="C40" s="91" t="s">
        <v>63</v>
      </c>
      <c r="D40" s="76"/>
      <c r="E40" s="76"/>
      <c r="F40" s="15"/>
      <c r="G40" s="15"/>
      <c r="H40" s="15"/>
      <c r="I40" s="15"/>
      <c r="J40" s="78"/>
      <c r="K40" s="78"/>
      <c r="L40" s="16"/>
      <c r="M40" s="16"/>
      <c r="N40" s="16"/>
      <c r="O40" s="16"/>
      <c r="P40" s="80"/>
      <c r="Q40" s="80"/>
      <c r="R40" s="17"/>
      <c r="S40" s="17"/>
      <c r="T40" s="17"/>
      <c r="U40" s="17"/>
      <c r="V40" s="117"/>
      <c r="W40" s="117"/>
      <c r="X40" s="82"/>
      <c r="Y40" s="82"/>
      <c r="Z40" s="82"/>
      <c r="AA40" s="82"/>
      <c r="AB40" s="18"/>
      <c r="AC40" s="18"/>
      <c r="AD40" s="86"/>
      <c r="AE40" s="86"/>
      <c r="AF40" s="84"/>
      <c r="AG40" s="84"/>
      <c r="AH40" s="41"/>
      <c r="AI40" s="41"/>
      <c r="AJ40" s="41"/>
      <c r="AK40" s="41"/>
      <c r="AL40" s="185"/>
      <c r="AM40" s="185"/>
      <c r="AN40" s="187"/>
      <c r="AO40" s="187"/>
      <c r="AP40" s="187"/>
      <c r="AQ40" s="187"/>
      <c r="AR40" s="89" t="s">
        <v>305</v>
      </c>
      <c r="AS40" s="90"/>
      <c r="AT40" s="118"/>
      <c r="AU40" s="118"/>
      <c r="AV40" s="118"/>
      <c r="AW40" s="118"/>
      <c r="AX40" s="33"/>
      <c r="AY40" s="33"/>
      <c r="AZ40" s="82"/>
      <c r="BA40" s="82"/>
      <c r="BB40" s="82"/>
      <c r="BC40" s="691"/>
    </row>
    <row r="41" spans="1:55" x14ac:dyDescent="0.25">
      <c r="A41" s="358">
        <v>43280</v>
      </c>
      <c r="B41" s="813" t="s">
        <v>616</v>
      </c>
      <c r="C41" s="91" t="s">
        <v>91</v>
      </c>
      <c r="D41" s="76" t="s">
        <v>305</v>
      </c>
      <c r="E41" s="76"/>
      <c r="F41" s="15"/>
      <c r="G41" s="15"/>
      <c r="H41" s="15"/>
      <c r="I41" s="15"/>
      <c r="J41" s="78"/>
      <c r="K41" s="78"/>
      <c r="L41" s="16"/>
      <c r="M41" s="16"/>
      <c r="N41" s="16"/>
      <c r="O41" s="16"/>
      <c r="P41" s="80"/>
      <c r="Q41" s="80"/>
      <c r="R41" s="17"/>
      <c r="S41" s="17"/>
      <c r="T41" s="17"/>
      <c r="U41" s="17"/>
      <c r="V41" s="136"/>
      <c r="W41" s="117"/>
      <c r="X41" s="82"/>
      <c r="Y41" s="82"/>
      <c r="Z41" s="82"/>
      <c r="AA41" s="82"/>
      <c r="AB41" s="18"/>
      <c r="AC41" s="18"/>
      <c r="AD41" s="86"/>
      <c r="AE41" s="86"/>
      <c r="AF41" s="84"/>
      <c r="AG41" s="84"/>
      <c r="AH41" s="41"/>
      <c r="AI41" s="41"/>
      <c r="AJ41" s="41"/>
      <c r="AK41" s="41"/>
      <c r="AL41" s="185"/>
      <c r="AM41" s="185"/>
      <c r="AN41" s="187"/>
      <c r="AO41" s="187"/>
      <c r="AP41" s="187"/>
      <c r="AQ41" s="187"/>
      <c r="AR41" s="89"/>
      <c r="AS41" s="90"/>
      <c r="AT41" s="118"/>
      <c r="AU41" s="118"/>
      <c r="AV41" s="118"/>
      <c r="AW41" s="118"/>
      <c r="AX41" s="33"/>
      <c r="AY41" s="33"/>
      <c r="AZ41" s="82"/>
      <c r="BA41" s="82"/>
      <c r="BB41" s="82"/>
      <c r="BC41" s="691"/>
    </row>
    <row r="42" spans="1:55" x14ac:dyDescent="0.25">
      <c r="A42" s="68">
        <v>43281</v>
      </c>
      <c r="B42" s="813" t="s">
        <v>620</v>
      </c>
      <c r="C42" s="91" t="s">
        <v>91</v>
      </c>
      <c r="D42" s="76" t="s">
        <v>305</v>
      </c>
      <c r="E42" s="76"/>
      <c r="F42" s="15"/>
      <c r="G42" s="15"/>
      <c r="H42" s="15"/>
      <c r="I42" s="15"/>
      <c r="J42" s="78"/>
      <c r="K42" s="78"/>
      <c r="L42" s="16"/>
      <c r="M42" s="16"/>
      <c r="N42" s="16"/>
      <c r="O42" s="16"/>
      <c r="P42" s="80"/>
      <c r="Q42" s="80"/>
      <c r="R42" s="17"/>
      <c r="S42" s="17"/>
      <c r="T42" s="17"/>
      <c r="U42" s="17"/>
      <c r="V42" s="283"/>
      <c r="W42" s="283"/>
      <c r="X42" s="82"/>
      <c r="Y42" s="82"/>
      <c r="Z42" s="82"/>
      <c r="AA42" s="82"/>
      <c r="AB42" s="18"/>
      <c r="AC42" s="18"/>
      <c r="AD42" s="86"/>
      <c r="AE42" s="86"/>
      <c r="AF42" s="84"/>
      <c r="AG42" s="84"/>
      <c r="AH42" s="41"/>
      <c r="AI42" s="41"/>
      <c r="AJ42" s="41"/>
      <c r="AK42" s="41"/>
      <c r="AL42" s="185"/>
      <c r="AM42" s="185"/>
      <c r="AN42" s="187"/>
      <c r="AO42" s="187"/>
      <c r="AP42" s="187"/>
      <c r="AQ42" s="187"/>
      <c r="AR42" s="89"/>
      <c r="AS42" s="90"/>
      <c r="AT42" s="284"/>
      <c r="AU42" s="284"/>
      <c r="AV42" s="284"/>
      <c r="AW42" s="284"/>
      <c r="AX42" s="33"/>
      <c r="AY42" s="33"/>
      <c r="AZ42" s="82"/>
      <c r="BA42" s="82"/>
      <c r="BB42" s="82"/>
      <c r="BC42" s="691"/>
    </row>
    <row r="43" spans="1:55" x14ac:dyDescent="0.25">
      <c r="A43" s="358">
        <v>43281</v>
      </c>
      <c r="B43" s="813" t="s">
        <v>621</v>
      </c>
      <c r="C43" s="91" t="s">
        <v>91</v>
      </c>
      <c r="D43" s="76" t="s">
        <v>305</v>
      </c>
      <c r="E43" s="76"/>
      <c r="F43" s="15"/>
      <c r="G43" s="15"/>
      <c r="H43" s="15"/>
      <c r="I43" s="15"/>
      <c r="J43" s="78"/>
      <c r="K43" s="78"/>
      <c r="L43" s="16"/>
      <c r="M43" s="16"/>
      <c r="N43" s="16"/>
      <c r="O43" s="16"/>
      <c r="P43" s="80"/>
      <c r="Q43" s="80"/>
      <c r="R43" s="17"/>
      <c r="S43" s="17"/>
      <c r="T43" s="17"/>
      <c r="U43" s="17"/>
      <c r="V43" s="283"/>
      <c r="W43" s="283"/>
      <c r="X43" s="82"/>
      <c r="Y43" s="82"/>
      <c r="Z43" s="82"/>
      <c r="AA43" s="82"/>
      <c r="AB43" s="18"/>
      <c r="AC43" s="18"/>
      <c r="AD43" s="86"/>
      <c r="AE43" s="86"/>
      <c r="AF43" s="84"/>
      <c r="AG43" s="84"/>
      <c r="AH43" s="41"/>
      <c r="AI43" s="41"/>
      <c r="AJ43" s="41"/>
      <c r="AK43" s="41"/>
      <c r="AL43" s="185"/>
      <c r="AM43" s="185"/>
      <c r="AN43" s="187"/>
      <c r="AO43" s="187"/>
      <c r="AP43" s="187"/>
      <c r="AQ43" s="187"/>
      <c r="AR43" s="89"/>
      <c r="AS43" s="90"/>
      <c r="AT43" s="284"/>
      <c r="AU43" s="284"/>
      <c r="AV43" s="284"/>
      <c r="AW43" s="284"/>
      <c r="AX43" s="33"/>
      <c r="AY43" s="33"/>
      <c r="AZ43" s="82"/>
      <c r="BA43" s="82"/>
      <c r="BB43" s="82"/>
      <c r="BC43" s="691"/>
    </row>
    <row r="44" spans="1:55" x14ac:dyDescent="0.25">
      <c r="A44" s="358">
        <v>43281</v>
      </c>
      <c r="B44" s="813" t="s">
        <v>632</v>
      </c>
      <c r="C44" s="91" t="s">
        <v>91</v>
      </c>
      <c r="D44" s="76"/>
      <c r="E44" s="76"/>
      <c r="F44" s="15"/>
      <c r="G44" s="15"/>
      <c r="H44" s="15"/>
      <c r="I44" s="15"/>
      <c r="J44" s="78"/>
      <c r="K44" s="78"/>
      <c r="L44" s="16"/>
      <c r="M44" s="16"/>
      <c r="N44" s="16"/>
      <c r="O44" s="16"/>
      <c r="P44" s="80"/>
      <c r="Q44" s="80"/>
      <c r="R44" s="17"/>
      <c r="S44" s="17"/>
      <c r="T44" s="17"/>
      <c r="U44" s="17"/>
      <c r="V44" s="283" t="s">
        <v>305</v>
      </c>
      <c r="W44" s="283"/>
      <c r="X44" s="82"/>
      <c r="Y44" s="82"/>
      <c r="Z44" s="82"/>
      <c r="AA44" s="82"/>
      <c r="AB44" s="18"/>
      <c r="AC44" s="18"/>
      <c r="AD44" s="86"/>
      <c r="AE44" s="86"/>
      <c r="AF44" s="84"/>
      <c r="AG44" s="84"/>
      <c r="AH44" s="41"/>
      <c r="AI44" s="41"/>
      <c r="AJ44" s="41"/>
      <c r="AK44" s="41"/>
      <c r="AL44" s="185"/>
      <c r="AM44" s="185"/>
      <c r="AN44" s="187"/>
      <c r="AO44" s="187"/>
      <c r="AP44" s="187"/>
      <c r="AQ44" s="187"/>
      <c r="AR44" s="89"/>
      <c r="AS44" s="90"/>
      <c r="AT44" s="284"/>
      <c r="AU44" s="284"/>
      <c r="AV44" s="284"/>
      <c r="AW44" s="284"/>
      <c r="AX44" s="33"/>
      <c r="AY44" s="33"/>
      <c r="AZ44" s="82"/>
      <c r="BA44" s="82"/>
      <c r="BB44" s="82"/>
      <c r="BC44" s="691"/>
    </row>
    <row r="45" spans="1:55" x14ac:dyDescent="0.25">
      <c r="A45" s="358">
        <v>43281</v>
      </c>
      <c r="B45" s="89" t="s">
        <v>633</v>
      </c>
      <c r="C45" s="91" t="s">
        <v>63</v>
      </c>
      <c r="D45" s="76"/>
      <c r="E45" s="76"/>
      <c r="F45" s="15"/>
      <c r="G45" s="15"/>
      <c r="H45" s="15"/>
      <c r="I45" s="15"/>
      <c r="J45" s="78"/>
      <c r="K45" s="78"/>
      <c r="L45" s="16"/>
      <c r="M45" s="16"/>
      <c r="N45" s="16"/>
      <c r="O45" s="16"/>
      <c r="P45" s="80"/>
      <c r="Q45" s="80"/>
      <c r="R45" s="17"/>
      <c r="S45" s="17"/>
      <c r="T45" s="17"/>
      <c r="U45" s="17"/>
      <c r="V45" s="136"/>
      <c r="W45" s="117"/>
      <c r="X45" s="82"/>
      <c r="Y45" s="82"/>
      <c r="Z45" s="82"/>
      <c r="AA45" s="82"/>
      <c r="AB45" s="18"/>
      <c r="AC45" s="18"/>
      <c r="AD45" s="86"/>
      <c r="AE45" s="86"/>
      <c r="AF45" s="84"/>
      <c r="AG45" s="84"/>
      <c r="AH45" s="41"/>
      <c r="AI45" s="41"/>
      <c r="AJ45" s="41"/>
      <c r="AK45" s="41"/>
      <c r="AL45" s="185"/>
      <c r="AM45" s="185"/>
      <c r="AN45" s="187"/>
      <c r="AO45" s="187"/>
      <c r="AP45" s="187"/>
      <c r="AQ45" s="187"/>
      <c r="AR45" s="89" t="s">
        <v>305</v>
      </c>
      <c r="AS45" s="90"/>
      <c r="AT45" s="118"/>
      <c r="AU45" s="118"/>
      <c r="AV45" s="118"/>
      <c r="AW45" s="118"/>
      <c r="AX45" s="33"/>
      <c r="AY45" s="33"/>
      <c r="AZ45" s="82"/>
      <c r="BA45" s="82"/>
      <c r="BB45" s="82"/>
      <c r="BC45" s="691"/>
    </row>
    <row r="46" spans="1:55" x14ac:dyDescent="0.25">
      <c r="A46" s="358">
        <v>43282</v>
      </c>
      <c r="B46" s="813" t="s">
        <v>635</v>
      </c>
      <c r="C46" s="91" t="s">
        <v>91</v>
      </c>
      <c r="D46" s="76" t="s">
        <v>305</v>
      </c>
      <c r="E46" s="76"/>
      <c r="F46" s="15"/>
      <c r="G46" s="15"/>
      <c r="H46" s="15"/>
      <c r="I46" s="15"/>
      <c r="J46" s="78"/>
      <c r="K46" s="78"/>
      <c r="L46" s="16"/>
      <c r="M46" s="16"/>
      <c r="N46" s="16"/>
      <c r="O46" s="16"/>
      <c r="P46" s="80"/>
      <c r="Q46" s="80"/>
      <c r="R46" s="17"/>
      <c r="S46" s="17"/>
      <c r="T46" s="17"/>
      <c r="U46" s="17"/>
      <c r="V46" s="137"/>
      <c r="W46" s="137"/>
      <c r="X46" s="82"/>
      <c r="Y46" s="82"/>
      <c r="Z46" s="82"/>
      <c r="AA46" s="82"/>
      <c r="AB46" s="18"/>
      <c r="AC46" s="18"/>
      <c r="AD46" s="86"/>
      <c r="AE46" s="86"/>
      <c r="AF46" s="84"/>
      <c r="AG46" s="84"/>
      <c r="AH46" s="41"/>
      <c r="AI46" s="41"/>
      <c r="AJ46" s="41"/>
      <c r="AK46" s="41"/>
      <c r="AL46" s="185"/>
      <c r="AM46" s="185"/>
      <c r="AN46" s="187"/>
      <c r="AO46" s="187"/>
      <c r="AP46" s="187"/>
      <c r="AQ46" s="187"/>
      <c r="AR46" s="89"/>
      <c r="AS46" s="90"/>
      <c r="AT46" s="118"/>
      <c r="AU46" s="118"/>
      <c r="AV46" s="118"/>
      <c r="AW46" s="118"/>
      <c r="AX46" s="33"/>
      <c r="AY46" s="33"/>
      <c r="AZ46" s="82"/>
      <c r="BA46" s="82"/>
      <c r="BB46" s="82"/>
      <c r="BC46" s="691"/>
    </row>
    <row r="47" spans="1:55" x14ac:dyDescent="0.25">
      <c r="A47" s="358">
        <v>43282</v>
      </c>
      <c r="B47" s="813" t="s">
        <v>637</v>
      </c>
      <c r="C47" s="91" t="s">
        <v>91</v>
      </c>
      <c r="D47" s="76" t="s">
        <v>305</v>
      </c>
      <c r="E47" s="76"/>
      <c r="F47" s="15"/>
      <c r="G47" s="15"/>
      <c r="H47" s="15"/>
      <c r="I47" s="15"/>
      <c r="J47" s="78"/>
      <c r="K47" s="78"/>
      <c r="L47" s="16"/>
      <c r="M47" s="16"/>
      <c r="N47" s="16"/>
      <c r="O47" s="16"/>
      <c r="P47" s="80"/>
      <c r="Q47" s="80"/>
      <c r="R47" s="17"/>
      <c r="S47" s="17"/>
      <c r="T47" s="17"/>
      <c r="U47" s="17"/>
      <c r="V47" s="117"/>
      <c r="W47" s="117"/>
      <c r="X47" s="82"/>
      <c r="Y47" s="82"/>
      <c r="Z47" s="82"/>
      <c r="AA47" s="82"/>
      <c r="AB47" s="18"/>
      <c r="AC47" s="18"/>
      <c r="AD47" s="86"/>
      <c r="AE47" s="86"/>
      <c r="AF47" s="84"/>
      <c r="AG47" s="84"/>
      <c r="AH47" s="41"/>
      <c r="AI47" s="41"/>
      <c r="AJ47" s="41"/>
      <c r="AK47" s="41"/>
      <c r="AL47" s="185"/>
      <c r="AM47" s="185"/>
      <c r="AN47" s="187"/>
      <c r="AO47" s="187"/>
      <c r="AP47" s="187"/>
      <c r="AQ47" s="187"/>
      <c r="AR47" s="89"/>
      <c r="AS47" s="90"/>
      <c r="AT47" s="118"/>
      <c r="AU47" s="118"/>
      <c r="AV47" s="118"/>
      <c r="AW47" s="118"/>
      <c r="AX47" s="33"/>
      <c r="AY47" s="33"/>
      <c r="AZ47" s="82"/>
      <c r="BA47" s="82"/>
      <c r="BB47" s="82"/>
      <c r="BC47" s="691"/>
    </row>
    <row r="48" spans="1:55" x14ac:dyDescent="0.25">
      <c r="A48" s="358">
        <v>43283</v>
      </c>
      <c r="B48" s="840" t="s">
        <v>653</v>
      </c>
      <c r="C48" s="91" t="s">
        <v>91</v>
      </c>
      <c r="D48" s="76" t="s">
        <v>305</v>
      </c>
      <c r="E48" s="76"/>
      <c r="F48" s="15"/>
      <c r="G48" s="15"/>
      <c r="H48" s="15"/>
      <c r="I48" s="15"/>
      <c r="J48" s="78"/>
      <c r="K48" s="78"/>
      <c r="L48" s="16"/>
      <c r="M48" s="16"/>
      <c r="N48" s="16"/>
      <c r="O48" s="16"/>
      <c r="P48" s="80"/>
      <c r="Q48" s="80"/>
      <c r="R48" s="17"/>
      <c r="S48" s="17"/>
      <c r="T48" s="17"/>
      <c r="U48" s="17"/>
      <c r="V48" s="139"/>
      <c r="W48" s="117"/>
      <c r="X48" s="82"/>
      <c r="Y48" s="82"/>
      <c r="Z48" s="82"/>
      <c r="AA48" s="82"/>
      <c r="AB48" s="18"/>
      <c r="AC48" s="18"/>
      <c r="AD48" s="86"/>
      <c r="AE48" s="86"/>
      <c r="AF48" s="84"/>
      <c r="AG48" s="84"/>
      <c r="AH48" s="41"/>
      <c r="AI48" s="41"/>
      <c r="AJ48" s="41"/>
      <c r="AK48" s="41"/>
      <c r="AL48" s="185"/>
      <c r="AM48" s="185"/>
      <c r="AN48" s="187"/>
      <c r="AO48" s="187"/>
      <c r="AP48" s="187"/>
      <c r="AQ48" s="187"/>
      <c r="AR48" s="89"/>
      <c r="AS48" s="90"/>
      <c r="AT48" s="118"/>
      <c r="AU48" s="118"/>
      <c r="AV48" s="118"/>
      <c r="AW48" s="118"/>
      <c r="AX48" s="33"/>
      <c r="AY48" s="33"/>
      <c r="AZ48" s="82"/>
      <c r="BA48" s="82"/>
      <c r="BB48" s="82"/>
      <c r="BC48" s="691"/>
    </row>
    <row r="49" spans="1:55" x14ac:dyDescent="0.25">
      <c r="A49" s="358">
        <v>43283</v>
      </c>
      <c r="B49" s="89" t="s">
        <v>657</v>
      </c>
      <c r="C49" s="91" t="s">
        <v>63</v>
      </c>
      <c r="D49" s="76"/>
      <c r="E49" s="76"/>
      <c r="F49" s="15"/>
      <c r="G49" s="15"/>
      <c r="H49" s="15"/>
      <c r="I49" s="15"/>
      <c r="J49" s="78"/>
      <c r="K49" s="78"/>
      <c r="L49" s="16"/>
      <c r="M49" s="16"/>
      <c r="N49" s="16"/>
      <c r="O49" s="16"/>
      <c r="P49" s="80"/>
      <c r="Q49" s="80"/>
      <c r="R49" s="17"/>
      <c r="S49" s="17"/>
      <c r="T49" s="17"/>
      <c r="U49" s="17"/>
      <c r="V49" s="117"/>
      <c r="W49" s="117"/>
      <c r="X49" s="82"/>
      <c r="Y49" s="82"/>
      <c r="Z49" s="82"/>
      <c r="AA49" s="82"/>
      <c r="AB49" s="18"/>
      <c r="AC49" s="18"/>
      <c r="AD49" s="86"/>
      <c r="AE49" s="86"/>
      <c r="AF49" s="84"/>
      <c r="AG49" s="84"/>
      <c r="AH49" s="41"/>
      <c r="AI49" s="41"/>
      <c r="AJ49" s="41"/>
      <c r="AK49" s="41"/>
      <c r="AL49" s="185"/>
      <c r="AM49" s="185"/>
      <c r="AN49" s="187"/>
      <c r="AO49" s="187"/>
      <c r="AP49" s="187"/>
      <c r="AQ49" s="187"/>
      <c r="AR49" s="89" t="s">
        <v>305</v>
      </c>
      <c r="AS49" s="90"/>
      <c r="AT49" s="118"/>
      <c r="AU49" s="118"/>
      <c r="AV49" s="118"/>
      <c r="AW49" s="118"/>
      <c r="AX49" s="33"/>
      <c r="AY49" s="33"/>
      <c r="AZ49" s="82"/>
      <c r="BA49" s="82"/>
      <c r="BB49" s="82"/>
      <c r="BC49" s="691"/>
    </row>
    <row r="50" spans="1:55" x14ac:dyDescent="0.25">
      <c r="A50" s="358">
        <v>43283</v>
      </c>
      <c r="B50" s="813" t="s">
        <v>658</v>
      </c>
      <c r="C50" s="91" t="s">
        <v>91</v>
      </c>
      <c r="D50" s="76"/>
      <c r="E50" s="76"/>
      <c r="F50" s="15"/>
      <c r="G50" s="15"/>
      <c r="H50" s="15"/>
      <c r="I50" s="15"/>
      <c r="J50" s="78"/>
      <c r="K50" s="78"/>
      <c r="L50" s="16"/>
      <c r="M50" s="16"/>
      <c r="N50" s="16"/>
      <c r="O50" s="16"/>
      <c r="P50" s="80"/>
      <c r="Q50" s="80"/>
      <c r="R50" s="17"/>
      <c r="S50" s="17"/>
      <c r="T50" s="17" t="s">
        <v>305</v>
      </c>
      <c r="U50" s="17"/>
      <c r="V50" s="117"/>
      <c r="W50" s="117"/>
      <c r="X50" s="82"/>
      <c r="Y50" s="82"/>
      <c r="Z50" s="82"/>
      <c r="AA50" s="82"/>
      <c r="AB50" s="18"/>
      <c r="AC50" s="18"/>
      <c r="AD50" s="86"/>
      <c r="AE50" s="86"/>
      <c r="AF50" s="84"/>
      <c r="AG50" s="84"/>
      <c r="AH50" s="41"/>
      <c r="AI50" s="41"/>
      <c r="AJ50" s="41"/>
      <c r="AK50" s="41"/>
      <c r="AL50" s="185"/>
      <c r="AM50" s="185"/>
      <c r="AN50" s="187"/>
      <c r="AO50" s="187"/>
      <c r="AP50" s="187"/>
      <c r="AQ50" s="187"/>
      <c r="AR50" s="89"/>
      <c r="AS50" s="90"/>
      <c r="AT50" s="118"/>
      <c r="AU50" s="118"/>
      <c r="AV50" s="118"/>
      <c r="AW50" s="118"/>
      <c r="AX50" s="33"/>
      <c r="AY50" s="33"/>
      <c r="AZ50" s="82"/>
      <c r="BA50" s="82"/>
      <c r="BB50" s="82"/>
      <c r="BC50" s="691"/>
    </row>
    <row r="51" spans="1:55" x14ac:dyDescent="0.25">
      <c r="A51" s="358">
        <v>43284</v>
      </c>
      <c r="B51" s="78" t="s">
        <v>661</v>
      </c>
      <c r="C51" s="91" t="s">
        <v>93</v>
      </c>
      <c r="D51" s="76"/>
      <c r="E51" s="76"/>
      <c r="F51" s="15"/>
      <c r="G51" s="15"/>
      <c r="H51" s="15"/>
      <c r="I51" s="15"/>
      <c r="J51" s="78"/>
      <c r="K51" s="78"/>
      <c r="L51" s="16"/>
      <c r="M51" s="16"/>
      <c r="N51" s="16"/>
      <c r="O51" s="16"/>
      <c r="P51" s="80"/>
      <c r="Q51" s="80"/>
      <c r="R51" s="17"/>
      <c r="S51" s="17"/>
      <c r="T51" s="17"/>
      <c r="U51" s="17"/>
      <c r="V51" s="117"/>
      <c r="W51" s="117"/>
      <c r="X51" s="82"/>
      <c r="Y51" s="82"/>
      <c r="Z51" s="82"/>
      <c r="AA51" s="82"/>
      <c r="AB51" s="18"/>
      <c r="AC51" s="18"/>
      <c r="AD51" s="86"/>
      <c r="AE51" s="86"/>
      <c r="AF51" s="84"/>
      <c r="AG51" s="84"/>
      <c r="AH51" s="41"/>
      <c r="AI51" s="41"/>
      <c r="AJ51" s="41"/>
      <c r="AK51" s="41"/>
      <c r="AL51" s="185"/>
      <c r="AM51" s="185"/>
      <c r="AN51" s="187" t="s">
        <v>305</v>
      </c>
      <c r="AO51" s="187"/>
      <c r="AP51" s="187"/>
      <c r="AQ51" s="187"/>
      <c r="AR51" s="89"/>
      <c r="AS51" s="90"/>
      <c r="AT51" s="118"/>
      <c r="AU51" s="118"/>
      <c r="AV51" s="118"/>
      <c r="AW51" s="118"/>
      <c r="AX51" s="33"/>
      <c r="AY51" s="33"/>
      <c r="AZ51" s="82"/>
      <c r="BA51" s="82"/>
      <c r="BB51" s="82"/>
      <c r="BC51" s="691"/>
    </row>
    <row r="52" spans="1:55" x14ac:dyDescent="0.25">
      <c r="A52" s="358">
        <v>43285</v>
      </c>
      <c r="B52" s="813" t="s">
        <v>662</v>
      </c>
      <c r="C52" s="91" t="s">
        <v>91</v>
      </c>
      <c r="D52" s="76"/>
      <c r="E52" s="76"/>
      <c r="F52" s="15"/>
      <c r="G52" s="15"/>
      <c r="H52" s="15"/>
      <c r="I52" s="15"/>
      <c r="J52" s="78"/>
      <c r="K52" s="78"/>
      <c r="L52" s="16"/>
      <c r="M52" s="16"/>
      <c r="N52" s="16"/>
      <c r="O52" s="16"/>
      <c r="P52" s="80"/>
      <c r="Q52" s="80"/>
      <c r="R52" s="17"/>
      <c r="S52" s="17"/>
      <c r="T52" s="17"/>
      <c r="U52" s="17"/>
      <c r="V52" s="117" t="s">
        <v>305</v>
      </c>
      <c r="W52" s="169"/>
      <c r="X52" s="82"/>
      <c r="Y52" s="82"/>
      <c r="Z52" s="82"/>
      <c r="AA52" s="82"/>
      <c r="AB52" s="18"/>
      <c r="AC52" s="18"/>
      <c r="AD52" s="86"/>
      <c r="AE52" s="86"/>
      <c r="AF52" s="84"/>
      <c r="AG52" s="84"/>
      <c r="AH52" s="41"/>
      <c r="AI52" s="41"/>
      <c r="AJ52" s="41"/>
      <c r="AK52" s="41"/>
      <c r="AL52" s="185"/>
      <c r="AM52" s="185"/>
      <c r="AN52" s="187"/>
      <c r="AO52" s="187"/>
      <c r="AP52" s="187"/>
      <c r="AQ52" s="187"/>
      <c r="AR52" s="89"/>
      <c r="AS52" s="90"/>
      <c r="AT52" s="118"/>
      <c r="AU52" s="118"/>
      <c r="AV52" s="118"/>
      <c r="AW52" s="118"/>
      <c r="AX52" s="33"/>
      <c r="AY52" s="33"/>
      <c r="AZ52" s="82"/>
      <c r="BA52" s="82"/>
      <c r="BB52" s="82"/>
      <c r="BC52" s="691"/>
    </row>
    <row r="53" spans="1:55" x14ac:dyDescent="0.25">
      <c r="A53" s="358">
        <v>43285</v>
      </c>
      <c r="B53" s="813" t="s">
        <v>663</v>
      </c>
      <c r="C53" s="91" t="s">
        <v>91</v>
      </c>
      <c r="D53" s="76" t="s">
        <v>305</v>
      </c>
      <c r="E53" s="76"/>
      <c r="F53" s="15"/>
      <c r="G53" s="15"/>
      <c r="H53" s="15"/>
      <c r="I53" s="15"/>
      <c r="J53" s="78"/>
      <c r="K53" s="78"/>
      <c r="L53" s="16"/>
      <c r="M53" s="16"/>
      <c r="N53" s="16"/>
      <c r="O53" s="16"/>
      <c r="P53" s="80"/>
      <c r="Q53" s="80"/>
      <c r="R53" s="17"/>
      <c r="S53" s="17"/>
      <c r="T53" s="17"/>
      <c r="U53" s="17"/>
      <c r="V53" s="117"/>
      <c r="W53" s="169"/>
      <c r="X53" s="82"/>
      <c r="Y53" s="82"/>
      <c r="Z53" s="82"/>
      <c r="AA53" s="82"/>
      <c r="AB53" s="18"/>
      <c r="AC53" s="18"/>
      <c r="AD53" s="86"/>
      <c r="AE53" s="86"/>
      <c r="AF53" s="84"/>
      <c r="AG53" s="84"/>
      <c r="AH53" s="41"/>
      <c r="AI53" s="41"/>
      <c r="AJ53" s="41"/>
      <c r="AK53" s="41"/>
      <c r="AL53" s="185"/>
      <c r="AM53" s="185"/>
      <c r="AN53" s="187"/>
      <c r="AO53" s="187"/>
      <c r="AP53" s="187"/>
      <c r="AQ53" s="187"/>
      <c r="AR53" s="89"/>
      <c r="AS53" s="90"/>
      <c r="AT53" s="118"/>
      <c r="AU53" s="118"/>
      <c r="AV53" s="118"/>
      <c r="AW53" s="118"/>
      <c r="AX53" s="33"/>
      <c r="AY53" s="33"/>
      <c r="AZ53" s="82"/>
      <c r="BA53" s="82"/>
      <c r="BB53" s="82"/>
      <c r="BC53" s="691"/>
    </row>
    <row r="54" spans="1:55" x14ac:dyDescent="0.25">
      <c r="A54" s="358">
        <v>43285</v>
      </c>
      <c r="B54" s="813" t="s">
        <v>664</v>
      </c>
      <c r="C54" s="91" t="s">
        <v>91</v>
      </c>
      <c r="D54" s="76" t="s">
        <v>305</v>
      </c>
      <c r="E54" s="76"/>
      <c r="F54" s="15"/>
      <c r="G54" s="15"/>
      <c r="H54" s="15"/>
      <c r="I54" s="15"/>
      <c r="J54" s="78"/>
      <c r="K54" s="78"/>
      <c r="L54" s="16"/>
      <c r="M54" s="16"/>
      <c r="N54" s="16"/>
      <c r="O54" s="16"/>
      <c r="P54" s="80"/>
      <c r="Q54" s="80"/>
      <c r="R54" s="17"/>
      <c r="S54" s="17"/>
      <c r="T54" s="17"/>
      <c r="U54" s="17"/>
      <c r="V54" s="117"/>
      <c r="W54" s="117"/>
      <c r="X54" s="82"/>
      <c r="Y54" s="82"/>
      <c r="Z54" s="82"/>
      <c r="AA54" s="82"/>
      <c r="AB54" s="18"/>
      <c r="AC54" s="18"/>
      <c r="AD54" s="86"/>
      <c r="AE54" s="86"/>
      <c r="AF54" s="84"/>
      <c r="AG54" s="84"/>
      <c r="AH54" s="41"/>
      <c r="AI54" s="41"/>
      <c r="AJ54" s="41"/>
      <c r="AK54" s="41"/>
      <c r="AL54" s="185"/>
      <c r="AM54" s="185"/>
      <c r="AN54" s="187"/>
      <c r="AO54" s="187"/>
      <c r="AP54" s="187"/>
      <c r="AQ54" s="187"/>
      <c r="AR54" s="89"/>
      <c r="AS54" s="90"/>
      <c r="AT54" s="118"/>
      <c r="AU54" s="118"/>
      <c r="AV54" s="118"/>
      <c r="AW54" s="118"/>
      <c r="AX54" s="33"/>
      <c r="AY54" s="33"/>
      <c r="AZ54" s="82"/>
      <c r="BA54" s="82"/>
      <c r="BB54" s="82"/>
      <c r="BC54" s="691"/>
    </row>
    <row r="55" spans="1:55" x14ac:dyDescent="0.25">
      <c r="A55" s="358">
        <v>43285</v>
      </c>
      <c r="B55" s="813" t="s">
        <v>671</v>
      </c>
      <c r="C55" s="91" t="s">
        <v>91</v>
      </c>
      <c r="D55" s="76"/>
      <c r="E55" s="76"/>
      <c r="F55" s="15"/>
      <c r="G55" s="15"/>
      <c r="H55" s="15"/>
      <c r="I55" s="15"/>
      <c r="J55" s="78"/>
      <c r="K55" s="78"/>
      <c r="L55" s="16"/>
      <c r="M55" s="16"/>
      <c r="N55" s="16"/>
      <c r="O55" s="16"/>
      <c r="P55" s="80"/>
      <c r="Q55" s="80"/>
      <c r="R55" s="17"/>
      <c r="S55" s="17"/>
      <c r="T55" s="17"/>
      <c r="U55" s="17"/>
      <c r="V55" s="117"/>
      <c r="W55" s="117"/>
      <c r="X55" s="82"/>
      <c r="Y55" s="82"/>
      <c r="Z55" s="82"/>
      <c r="AA55" s="82"/>
      <c r="AB55" s="18"/>
      <c r="AC55" s="18"/>
      <c r="AD55" s="86"/>
      <c r="AE55" s="86"/>
      <c r="AF55" s="84" t="s">
        <v>305</v>
      </c>
      <c r="AG55" s="84"/>
      <c r="AH55" s="41"/>
      <c r="AI55" s="41"/>
      <c r="AJ55" s="41"/>
      <c r="AK55" s="41"/>
      <c r="AL55" s="185"/>
      <c r="AM55" s="185"/>
      <c r="AN55" s="187"/>
      <c r="AO55" s="187"/>
      <c r="AP55" s="187"/>
      <c r="AQ55" s="187"/>
      <c r="AR55" s="89"/>
      <c r="AS55" s="89"/>
      <c r="AT55" s="118"/>
      <c r="AU55" s="118"/>
      <c r="AV55" s="118"/>
      <c r="AW55" s="118"/>
      <c r="AX55" s="33"/>
      <c r="AY55" s="33"/>
      <c r="AZ55" s="82"/>
      <c r="BA55" s="82"/>
      <c r="BB55" s="82"/>
      <c r="BC55" s="691"/>
    </row>
    <row r="56" spans="1:55" x14ac:dyDescent="0.25">
      <c r="A56" s="358">
        <v>43285</v>
      </c>
      <c r="B56" s="813" t="s">
        <v>673</v>
      </c>
      <c r="C56" s="91" t="s">
        <v>91</v>
      </c>
      <c r="D56" s="76" t="s">
        <v>305</v>
      </c>
      <c r="E56" s="76"/>
      <c r="F56" s="15"/>
      <c r="G56" s="15"/>
      <c r="H56" s="15"/>
      <c r="I56" s="15"/>
      <c r="J56" s="78"/>
      <c r="K56" s="78"/>
      <c r="L56" s="16"/>
      <c r="M56" s="16"/>
      <c r="N56" s="16"/>
      <c r="O56" s="16"/>
      <c r="P56" s="80"/>
      <c r="Q56" s="80"/>
      <c r="R56" s="17"/>
      <c r="S56" s="17"/>
      <c r="T56" s="17"/>
      <c r="U56" s="17"/>
      <c r="V56" s="117"/>
      <c r="W56" s="117"/>
      <c r="X56" s="82"/>
      <c r="Y56" s="82"/>
      <c r="Z56" s="82"/>
      <c r="AA56" s="82"/>
      <c r="AB56" s="18"/>
      <c r="AC56" s="18"/>
      <c r="AD56" s="86"/>
      <c r="AE56" s="86"/>
      <c r="AF56" s="84"/>
      <c r="AG56" s="84"/>
      <c r="AH56" s="41"/>
      <c r="AI56" s="41"/>
      <c r="AJ56" s="41"/>
      <c r="AK56" s="41"/>
      <c r="AL56" s="185"/>
      <c r="AM56" s="185"/>
      <c r="AN56" s="187"/>
      <c r="AO56" s="187"/>
      <c r="AP56" s="187"/>
      <c r="AQ56" s="187"/>
      <c r="AR56" s="89"/>
      <c r="AS56" s="90"/>
      <c r="AT56" s="118"/>
      <c r="AU56" s="118"/>
      <c r="AV56" s="118"/>
      <c r="AW56" s="118"/>
      <c r="AX56" s="33"/>
      <c r="AY56" s="33"/>
      <c r="AZ56" s="82"/>
      <c r="BA56" s="82"/>
      <c r="BB56" s="82"/>
      <c r="BC56" s="691"/>
    </row>
    <row r="57" spans="1:55" x14ac:dyDescent="0.25">
      <c r="A57" s="358">
        <v>43285</v>
      </c>
      <c r="B57" s="813" t="s">
        <v>691</v>
      </c>
      <c r="C57" s="91" t="s">
        <v>91</v>
      </c>
      <c r="D57" s="76" t="s">
        <v>305</v>
      </c>
      <c r="E57" s="76"/>
      <c r="F57" s="15"/>
      <c r="G57" s="15"/>
      <c r="H57" s="15"/>
      <c r="I57" s="15"/>
      <c r="J57" s="78"/>
      <c r="K57" s="78"/>
      <c r="L57" s="16"/>
      <c r="M57" s="16"/>
      <c r="N57" s="16"/>
      <c r="O57" s="16"/>
      <c r="P57" s="80"/>
      <c r="Q57" s="80"/>
      <c r="R57" s="17"/>
      <c r="S57" s="17"/>
      <c r="T57" s="17"/>
      <c r="U57" s="17"/>
      <c r="V57" s="169"/>
      <c r="W57" s="117"/>
      <c r="X57" s="82"/>
      <c r="Y57" s="82"/>
      <c r="Z57" s="82"/>
      <c r="AA57" s="82"/>
      <c r="AB57" s="18"/>
      <c r="AC57" s="18"/>
      <c r="AD57" s="86"/>
      <c r="AE57" s="86"/>
      <c r="AF57" s="84"/>
      <c r="AG57" s="84"/>
      <c r="AH57" s="41"/>
      <c r="AI57" s="41"/>
      <c r="AJ57" s="41"/>
      <c r="AK57" s="41"/>
      <c r="AL57" s="185"/>
      <c r="AM57" s="185"/>
      <c r="AN57" s="187"/>
      <c r="AO57" s="187"/>
      <c r="AP57" s="187"/>
      <c r="AQ57" s="187"/>
      <c r="AR57" s="89"/>
      <c r="AS57" s="90"/>
      <c r="AT57" s="118"/>
      <c r="AU57" s="118"/>
      <c r="AV57" s="118"/>
      <c r="AW57" s="118"/>
      <c r="AX57" s="33"/>
      <c r="AY57" s="33"/>
      <c r="AZ57" s="82"/>
      <c r="BA57" s="82"/>
      <c r="BB57" s="82"/>
      <c r="BC57" s="691"/>
    </row>
    <row r="58" spans="1:55" x14ac:dyDescent="0.25">
      <c r="A58" s="358">
        <v>43286</v>
      </c>
      <c r="B58" s="78" t="s">
        <v>720</v>
      </c>
      <c r="C58" s="91" t="s">
        <v>93</v>
      </c>
      <c r="D58" s="76"/>
      <c r="E58" s="76"/>
      <c r="F58" s="15"/>
      <c r="G58" s="15"/>
      <c r="H58" s="15"/>
      <c r="I58" s="15"/>
      <c r="J58" s="78" t="s">
        <v>305</v>
      </c>
      <c r="K58" s="78"/>
      <c r="L58" s="16"/>
      <c r="M58" s="16"/>
      <c r="N58" s="16"/>
      <c r="O58" s="16"/>
      <c r="P58" s="80"/>
      <c r="Q58" s="80"/>
      <c r="R58" s="17"/>
      <c r="S58" s="17"/>
      <c r="T58" s="17"/>
      <c r="U58" s="17"/>
      <c r="V58" s="117"/>
      <c r="W58" s="117"/>
      <c r="X58" s="82"/>
      <c r="Y58" s="82"/>
      <c r="Z58" s="82"/>
      <c r="AA58" s="82"/>
      <c r="AB58" s="18"/>
      <c r="AC58" s="18"/>
      <c r="AD58" s="86"/>
      <c r="AE58" s="86"/>
      <c r="AF58" s="84"/>
      <c r="AG58" s="84"/>
      <c r="AH58" s="41"/>
      <c r="AI58" s="41"/>
      <c r="AJ58" s="41"/>
      <c r="AK58" s="41"/>
      <c r="AL58" s="185"/>
      <c r="AM58" s="185"/>
      <c r="AN58" s="187"/>
      <c r="AO58" s="187"/>
      <c r="AP58" s="187"/>
      <c r="AQ58" s="187"/>
      <c r="AR58" s="89"/>
      <c r="AS58" s="90"/>
      <c r="AT58" s="118"/>
      <c r="AU58" s="118"/>
      <c r="AV58" s="118"/>
      <c r="AW58" s="118"/>
      <c r="AX58" s="33"/>
      <c r="AY58" s="33"/>
      <c r="AZ58" s="82"/>
      <c r="BA58" s="82"/>
      <c r="BB58" s="82"/>
      <c r="BC58" s="691"/>
    </row>
    <row r="59" spans="1:55" x14ac:dyDescent="0.25">
      <c r="A59" s="358">
        <v>43286</v>
      </c>
      <c r="B59" s="89" t="s">
        <v>701</v>
      </c>
      <c r="C59" s="91" t="s">
        <v>63</v>
      </c>
      <c r="D59" s="76"/>
      <c r="E59" s="76"/>
      <c r="F59" s="15"/>
      <c r="G59" s="15"/>
      <c r="H59" s="15"/>
      <c r="I59" s="15"/>
      <c r="J59" s="78"/>
      <c r="K59" s="78"/>
      <c r="L59" s="16"/>
      <c r="M59" s="16"/>
      <c r="N59" s="16"/>
      <c r="O59" s="16"/>
      <c r="P59" s="80"/>
      <c r="Q59" s="80"/>
      <c r="R59" s="17"/>
      <c r="S59" s="17"/>
      <c r="T59" s="17"/>
      <c r="U59" s="17"/>
      <c r="V59" s="117"/>
      <c r="W59" s="117"/>
      <c r="X59" s="82"/>
      <c r="Y59" s="82"/>
      <c r="Z59" s="82"/>
      <c r="AA59" s="82"/>
      <c r="AB59" s="18"/>
      <c r="AC59" s="18"/>
      <c r="AD59" s="86"/>
      <c r="AE59" s="86"/>
      <c r="AF59" s="84"/>
      <c r="AG59" s="84"/>
      <c r="AH59" s="41"/>
      <c r="AI59" s="41"/>
      <c r="AJ59" s="41"/>
      <c r="AK59" s="41"/>
      <c r="AL59" s="185"/>
      <c r="AM59" s="185"/>
      <c r="AN59" s="187"/>
      <c r="AO59" s="187"/>
      <c r="AP59" s="187"/>
      <c r="AQ59" s="187"/>
      <c r="AR59" s="89" t="s">
        <v>305</v>
      </c>
      <c r="AS59" s="90"/>
      <c r="AT59" s="118"/>
      <c r="AU59" s="118"/>
      <c r="AV59" s="118"/>
      <c r="AW59" s="118"/>
      <c r="AX59" s="33"/>
      <c r="AY59" s="33"/>
      <c r="AZ59" s="82"/>
      <c r="BA59" s="82"/>
      <c r="BB59" s="82"/>
      <c r="BC59" s="691"/>
    </row>
    <row r="60" spans="1:55" x14ac:dyDescent="0.25">
      <c r="A60" s="890">
        <v>43288</v>
      </c>
      <c r="B60" s="889" t="s">
        <v>706</v>
      </c>
      <c r="C60" s="91" t="s">
        <v>91</v>
      </c>
      <c r="D60" s="76"/>
      <c r="E60" s="76"/>
      <c r="F60" s="15"/>
      <c r="G60" s="15"/>
      <c r="H60" s="15"/>
      <c r="I60" s="15"/>
      <c r="J60" s="78"/>
      <c r="K60" s="78"/>
      <c r="L60" s="16"/>
      <c r="M60" s="16"/>
      <c r="N60" s="16"/>
      <c r="O60" s="16"/>
      <c r="P60" s="80"/>
      <c r="Q60" s="80"/>
      <c r="R60" s="17"/>
      <c r="S60" s="17"/>
      <c r="T60" s="17"/>
      <c r="U60" s="17"/>
      <c r="V60" s="279" t="s">
        <v>305</v>
      </c>
      <c r="W60" s="279"/>
      <c r="X60" s="82"/>
      <c r="Y60" s="82"/>
      <c r="Z60" s="82"/>
      <c r="AA60" s="82"/>
      <c r="AB60" s="18"/>
      <c r="AC60" s="18"/>
      <c r="AD60" s="86"/>
      <c r="AE60" s="86"/>
      <c r="AF60" s="84"/>
      <c r="AG60" s="84"/>
      <c r="AH60" s="41"/>
      <c r="AI60" s="41"/>
      <c r="AJ60" s="41"/>
      <c r="AK60" s="41"/>
      <c r="AL60" s="185"/>
      <c r="AM60" s="185"/>
      <c r="AN60" s="187"/>
      <c r="AO60" s="187"/>
      <c r="AP60" s="187"/>
      <c r="AQ60" s="187"/>
      <c r="AR60" s="89"/>
      <c r="AS60" s="90"/>
      <c r="AT60" s="280"/>
      <c r="AU60" s="280"/>
      <c r="AV60" s="280"/>
      <c r="AW60" s="280"/>
      <c r="AX60" s="33"/>
      <c r="AY60" s="33"/>
      <c r="AZ60" s="82"/>
      <c r="BA60" s="82"/>
      <c r="BB60" s="82"/>
      <c r="BC60" s="691"/>
    </row>
    <row r="61" spans="1:55" x14ac:dyDescent="0.25">
      <c r="A61" s="358">
        <v>43289</v>
      </c>
      <c r="B61" s="813" t="s">
        <v>712</v>
      </c>
      <c r="C61" s="91" t="s">
        <v>91</v>
      </c>
      <c r="D61" s="76" t="s">
        <v>305</v>
      </c>
      <c r="E61" s="76"/>
      <c r="F61" s="15"/>
      <c r="G61" s="15"/>
      <c r="H61" s="15"/>
      <c r="I61" s="15"/>
      <c r="J61" s="78"/>
      <c r="K61" s="78"/>
      <c r="L61" s="16"/>
      <c r="M61" s="16"/>
      <c r="N61" s="16"/>
      <c r="O61" s="16"/>
      <c r="P61" s="80"/>
      <c r="Q61" s="80"/>
      <c r="R61" s="17"/>
      <c r="S61" s="17"/>
      <c r="T61" s="17"/>
      <c r="U61" s="17"/>
      <c r="V61" s="117"/>
      <c r="W61" s="117"/>
      <c r="X61" s="82"/>
      <c r="Y61" s="82"/>
      <c r="Z61" s="82"/>
      <c r="AA61" s="82"/>
      <c r="AB61" s="18"/>
      <c r="AC61" s="18"/>
      <c r="AD61" s="86"/>
      <c r="AE61" s="86"/>
      <c r="AF61" s="84"/>
      <c r="AG61" s="84"/>
      <c r="AH61" s="41"/>
      <c r="AI61" s="41"/>
      <c r="AJ61" s="41"/>
      <c r="AK61" s="41"/>
      <c r="AL61" s="185"/>
      <c r="AM61" s="185"/>
      <c r="AN61" s="187"/>
      <c r="AO61" s="187"/>
      <c r="AP61" s="187"/>
      <c r="AQ61" s="187"/>
      <c r="AR61" s="89"/>
      <c r="AS61" s="90"/>
      <c r="AT61" s="118"/>
      <c r="AU61" s="118"/>
      <c r="AV61" s="118"/>
      <c r="AW61" s="118"/>
      <c r="AX61" s="33"/>
      <c r="AY61" s="33"/>
      <c r="AZ61" s="82"/>
      <c r="BA61" s="82"/>
      <c r="BB61" s="82"/>
      <c r="BC61" s="691"/>
    </row>
    <row r="62" spans="1:55" x14ac:dyDescent="0.25">
      <c r="A62" s="358">
        <v>43289</v>
      </c>
      <c r="B62" s="89" t="s">
        <v>722</v>
      </c>
      <c r="C62" s="91" t="s">
        <v>63</v>
      </c>
      <c r="D62" s="76"/>
      <c r="E62" s="76"/>
      <c r="F62" s="15"/>
      <c r="G62" s="15"/>
      <c r="H62" s="15"/>
      <c r="I62" s="15"/>
      <c r="J62" s="78"/>
      <c r="K62" s="78"/>
      <c r="L62" s="16"/>
      <c r="M62" s="16"/>
      <c r="N62" s="16"/>
      <c r="O62" s="16"/>
      <c r="P62" s="80"/>
      <c r="Q62" s="80"/>
      <c r="R62" s="17"/>
      <c r="S62" s="17"/>
      <c r="T62" s="17"/>
      <c r="U62" s="17"/>
      <c r="V62" s="117"/>
      <c r="W62" s="117"/>
      <c r="X62" s="82"/>
      <c r="Y62" s="82"/>
      <c r="Z62" s="82"/>
      <c r="AA62" s="82"/>
      <c r="AB62" s="18"/>
      <c r="AC62" s="18"/>
      <c r="AD62" s="86"/>
      <c r="AE62" s="86"/>
      <c r="AF62" s="84"/>
      <c r="AG62" s="84"/>
      <c r="AH62" s="41"/>
      <c r="AI62" s="41"/>
      <c r="AJ62" s="41"/>
      <c r="AK62" s="41"/>
      <c r="AL62" s="185"/>
      <c r="AM62" s="185"/>
      <c r="AN62" s="187"/>
      <c r="AO62" s="187"/>
      <c r="AP62" s="187"/>
      <c r="AQ62" s="187"/>
      <c r="AR62" s="89" t="s">
        <v>305</v>
      </c>
      <c r="AS62" s="90"/>
      <c r="AT62" s="118"/>
      <c r="AU62" s="118"/>
      <c r="AV62" s="118"/>
      <c r="AW62" s="118"/>
      <c r="AX62" s="33"/>
      <c r="AY62" s="33"/>
      <c r="AZ62" s="82"/>
      <c r="BA62" s="82"/>
      <c r="BB62" s="82"/>
      <c r="BC62" s="691"/>
    </row>
    <row r="63" spans="1:55" x14ac:dyDescent="0.25">
      <c r="A63" s="358">
        <v>43291</v>
      </c>
      <c r="B63" s="813" t="s">
        <v>725</v>
      </c>
      <c r="C63" s="91" t="s">
        <v>91</v>
      </c>
      <c r="D63" s="76"/>
      <c r="E63" s="76"/>
      <c r="F63" s="15"/>
      <c r="G63" s="15"/>
      <c r="H63" s="15"/>
      <c r="I63" s="15"/>
      <c r="J63" s="78"/>
      <c r="K63" s="78"/>
      <c r="L63" s="16"/>
      <c r="M63" s="16"/>
      <c r="N63" s="16"/>
      <c r="O63" s="16"/>
      <c r="P63" s="80"/>
      <c r="Q63" s="80"/>
      <c r="R63" s="17"/>
      <c r="S63" s="17"/>
      <c r="T63" s="17"/>
      <c r="U63" s="17"/>
      <c r="V63" s="141" t="s">
        <v>305</v>
      </c>
      <c r="W63" s="117"/>
      <c r="X63" s="82"/>
      <c r="Y63" s="82"/>
      <c r="Z63" s="82"/>
      <c r="AA63" s="82"/>
      <c r="AB63" s="18"/>
      <c r="AC63" s="18"/>
      <c r="AD63" s="86"/>
      <c r="AE63" s="86"/>
      <c r="AF63" s="84"/>
      <c r="AG63" s="84"/>
      <c r="AH63" s="41"/>
      <c r="AI63" s="41"/>
      <c r="AJ63" s="41"/>
      <c r="AK63" s="41"/>
      <c r="AL63" s="185"/>
      <c r="AM63" s="185"/>
      <c r="AN63" s="187"/>
      <c r="AO63" s="187"/>
      <c r="AP63" s="187"/>
      <c r="AQ63" s="187"/>
      <c r="AR63" s="89"/>
      <c r="AS63" s="90"/>
      <c r="AT63" s="118"/>
      <c r="AU63" s="118"/>
      <c r="AV63" s="118"/>
      <c r="AW63" s="118"/>
      <c r="AX63" s="33"/>
      <c r="AY63" s="33"/>
      <c r="AZ63" s="82"/>
      <c r="BA63" s="82"/>
      <c r="BB63" s="82"/>
      <c r="BC63" s="691"/>
    </row>
    <row r="64" spans="1:55" x14ac:dyDescent="0.25">
      <c r="A64" s="358">
        <v>43291</v>
      </c>
      <c r="B64" s="813" t="s">
        <v>728</v>
      </c>
      <c r="C64" s="91" t="s">
        <v>91</v>
      </c>
      <c r="D64" s="76" t="s">
        <v>305</v>
      </c>
      <c r="E64" s="76"/>
      <c r="F64" s="15"/>
      <c r="G64" s="15"/>
      <c r="H64" s="15"/>
      <c r="I64" s="15"/>
      <c r="J64" s="78"/>
      <c r="K64" s="78"/>
      <c r="L64" s="16"/>
      <c r="M64" s="16"/>
      <c r="N64" s="16"/>
      <c r="O64" s="16"/>
      <c r="P64" s="80"/>
      <c r="Q64" s="80"/>
      <c r="R64" s="17"/>
      <c r="S64" s="17"/>
      <c r="T64" s="17"/>
      <c r="U64" s="17"/>
      <c r="V64" s="141"/>
      <c r="W64" s="117"/>
      <c r="X64" s="82"/>
      <c r="Y64" s="82"/>
      <c r="Z64" s="82"/>
      <c r="AA64" s="82"/>
      <c r="AB64" s="18"/>
      <c r="AC64" s="18"/>
      <c r="AD64" s="86"/>
      <c r="AE64" s="86"/>
      <c r="AF64" s="84"/>
      <c r="AG64" s="84"/>
      <c r="AH64" s="41"/>
      <c r="AI64" s="41"/>
      <c r="AJ64" s="41"/>
      <c r="AK64" s="41"/>
      <c r="AL64" s="185"/>
      <c r="AM64" s="185"/>
      <c r="AN64" s="187"/>
      <c r="AO64" s="187"/>
      <c r="AP64" s="187"/>
      <c r="AQ64" s="187"/>
      <c r="AR64" s="89"/>
      <c r="AS64" s="90"/>
      <c r="AT64" s="118"/>
      <c r="AU64" s="118"/>
      <c r="AV64" s="118"/>
      <c r="AW64" s="118"/>
      <c r="AX64" s="33"/>
      <c r="AY64" s="33"/>
      <c r="AZ64" s="82"/>
      <c r="BA64" s="82"/>
      <c r="BB64" s="82"/>
      <c r="BC64" s="691"/>
    </row>
    <row r="65" spans="1:55" x14ac:dyDescent="0.25">
      <c r="A65" s="358">
        <v>43292</v>
      </c>
      <c r="B65" s="89" t="s">
        <v>734</v>
      </c>
      <c r="C65" s="91" t="s">
        <v>63</v>
      </c>
      <c r="D65" s="76"/>
      <c r="E65" s="76"/>
      <c r="F65" s="15"/>
      <c r="G65" s="15"/>
      <c r="H65" s="15"/>
      <c r="I65" s="15"/>
      <c r="J65" s="78"/>
      <c r="K65" s="78"/>
      <c r="L65" s="16"/>
      <c r="M65" s="16"/>
      <c r="N65" s="16"/>
      <c r="O65" s="16"/>
      <c r="P65" s="80"/>
      <c r="Q65" s="80"/>
      <c r="R65" s="17"/>
      <c r="S65" s="17"/>
      <c r="T65" s="17"/>
      <c r="U65" s="17"/>
      <c r="V65" s="117"/>
      <c r="W65" s="117"/>
      <c r="X65" s="82"/>
      <c r="Y65" s="82"/>
      <c r="Z65" s="82"/>
      <c r="AA65" s="82"/>
      <c r="AB65" s="18"/>
      <c r="AC65" s="18"/>
      <c r="AD65" s="86"/>
      <c r="AE65" s="86"/>
      <c r="AF65" s="84"/>
      <c r="AG65" s="84"/>
      <c r="AH65" s="41"/>
      <c r="AI65" s="41"/>
      <c r="AJ65" s="41"/>
      <c r="AK65" s="41"/>
      <c r="AL65" s="185"/>
      <c r="AM65" s="185"/>
      <c r="AN65" s="187"/>
      <c r="AO65" s="187"/>
      <c r="AP65" s="187"/>
      <c r="AQ65" s="187"/>
      <c r="AR65" s="89" t="s">
        <v>305</v>
      </c>
      <c r="AS65" s="90"/>
      <c r="AT65" s="118"/>
      <c r="AU65" s="118"/>
      <c r="AV65" s="118"/>
      <c r="AW65" s="118"/>
      <c r="AX65" s="33"/>
      <c r="AY65" s="33"/>
      <c r="AZ65" s="82"/>
      <c r="BA65" s="82"/>
      <c r="BB65" s="82"/>
      <c r="BC65" s="691"/>
    </row>
    <row r="66" spans="1:55" x14ac:dyDescent="0.25">
      <c r="A66" s="358">
        <v>43295</v>
      </c>
      <c r="B66" s="78" t="s">
        <v>748</v>
      </c>
      <c r="C66" s="91" t="s">
        <v>93</v>
      </c>
      <c r="D66" s="76"/>
      <c r="E66" s="76"/>
      <c r="F66" s="15"/>
      <c r="G66" s="15"/>
      <c r="H66" s="15"/>
      <c r="I66" s="15"/>
      <c r="J66" s="78" t="s">
        <v>305</v>
      </c>
      <c r="K66" s="78"/>
      <c r="L66" s="16"/>
      <c r="M66" s="16"/>
      <c r="N66" s="16"/>
      <c r="O66" s="16"/>
      <c r="P66" s="80"/>
      <c r="Q66" s="80"/>
      <c r="R66" s="17"/>
      <c r="S66" s="17"/>
      <c r="T66" s="17"/>
      <c r="U66" s="17"/>
      <c r="V66" s="117"/>
      <c r="W66" s="117"/>
      <c r="X66" s="82"/>
      <c r="Y66" s="82"/>
      <c r="Z66" s="82"/>
      <c r="AA66" s="82"/>
      <c r="AB66" s="18"/>
      <c r="AC66" s="18"/>
      <c r="AD66" s="86"/>
      <c r="AE66" s="86"/>
      <c r="AF66" s="84"/>
      <c r="AG66" s="84"/>
      <c r="AH66" s="41"/>
      <c r="AI66" s="41"/>
      <c r="AJ66" s="41"/>
      <c r="AK66" s="41"/>
      <c r="AL66" s="185"/>
      <c r="AM66" s="185"/>
      <c r="AN66" s="187"/>
      <c r="AO66" s="187"/>
      <c r="AP66" s="187"/>
      <c r="AQ66" s="187"/>
      <c r="AR66" s="89"/>
      <c r="AS66" s="89"/>
      <c r="AT66" s="282"/>
      <c r="AU66" s="282"/>
      <c r="AV66" s="282"/>
      <c r="AW66" s="118"/>
      <c r="AX66" s="33"/>
      <c r="AY66" s="33"/>
      <c r="AZ66" s="82"/>
      <c r="BA66" s="82"/>
      <c r="BB66" s="82"/>
      <c r="BC66" s="691"/>
    </row>
    <row r="67" spans="1:55" x14ac:dyDescent="0.25">
      <c r="A67" s="358">
        <v>43295</v>
      </c>
      <c r="B67" s="813" t="s">
        <v>754</v>
      </c>
      <c r="C67" s="91" t="s">
        <v>91</v>
      </c>
      <c r="D67" s="76" t="s">
        <v>305</v>
      </c>
      <c r="E67" s="76"/>
      <c r="F67" s="15"/>
      <c r="G67" s="15"/>
      <c r="H67" s="15"/>
      <c r="I67" s="15"/>
      <c r="J67" s="78"/>
      <c r="K67" s="78"/>
      <c r="L67" s="16"/>
      <c r="M67" s="16"/>
      <c r="N67" s="16"/>
      <c r="O67" s="16"/>
      <c r="P67" s="80"/>
      <c r="Q67" s="80"/>
      <c r="R67" s="17"/>
      <c r="S67" s="17"/>
      <c r="T67" s="17"/>
      <c r="U67" s="17"/>
      <c r="V67" s="117"/>
      <c r="W67" s="117"/>
      <c r="X67" s="82"/>
      <c r="Y67" s="82"/>
      <c r="Z67" s="82"/>
      <c r="AA67" s="82"/>
      <c r="AB67" s="18"/>
      <c r="AC67" s="18"/>
      <c r="AD67" s="86"/>
      <c r="AE67" s="86"/>
      <c r="AF67" s="84"/>
      <c r="AG67" s="84"/>
      <c r="AH67" s="41"/>
      <c r="AI67" s="41"/>
      <c r="AJ67" s="41"/>
      <c r="AK67" s="41"/>
      <c r="AL67" s="185"/>
      <c r="AM67" s="185"/>
      <c r="AN67" s="187"/>
      <c r="AO67" s="187"/>
      <c r="AP67" s="187"/>
      <c r="AQ67" s="187"/>
      <c r="AR67" s="89"/>
      <c r="AS67" s="89"/>
      <c r="AT67" s="282"/>
      <c r="AU67" s="282"/>
      <c r="AV67" s="282"/>
      <c r="AW67" s="118"/>
      <c r="AX67" s="33"/>
      <c r="AY67" s="33"/>
      <c r="AZ67" s="82"/>
      <c r="BA67" s="82"/>
      <c r="BB67" s="82"/>
      <c r="BC67" s="691"/>
    </row>
    <row r="68" spans="1:55" x14ac:dyDescent="0.25">
      <c r="A68" s="358">
        <v>43295</v>
      </c>
      <c r="B68" s="813" t="s">
        <v>755</v>
      </c>
      <c r="C68" s="91" t="s">
        <v>91</v>
      </c>
      <c r="D68" s="76"/>
      <c r="E68" s="76"/>
      <c r="F68" s="15"/>
      <c r="G68" s="15"/>
      <c r="H68" s="15"/>
      <c r="I68" s="15"/>
      <c r="J68" s="78"/>
      <c r="K68" s="78"/>
      <c r="L68" s="16"/>
      <c r="M68" s="16"/>
      <c r="N68" s="16"/>
      <c r="O68" s="16"/>
      <c r="P68" s="80"/>
      <c r="Q68" s="80"/>
      <c r="R68" s="17"/>
      <c r="S68" s="17"/>
      <c r="T68" s="17"/>
      <c r="U68" s="17"/>
      <c r="V68" s="117"/>
      <c r="W68" s="117"/>
      <c r="X68" s="82"/>
      <c r="Y68" s="82"/>
      <c r="Z68" s="82"/>
      <c r="AA68" s="82"/>
      <c r="AB68" s="18"/>
      <c r="AC68" s="18"/>
      <c r="AD68" s="86"/>
      <c r="AE68" s="86"/>
      <c r="AF68" s="84"/>
      <c r="AG68" s="84"/>
      <c r="AH68" s="41"/>
      <c r="AI68" s="41"/>
      <c r="AJ68" s="41"/>
      <c r="AK68" s="41"/>
      <c r="AL68" s="185" t="s">
        <v>305</v>
      </c>
      <c r="AM68" s="185"/>
      <c r="AN68" s="187"/>
      <c r="AO68" s="187"/>
      <c r="AP68" s="187"/>
      <c r="AQ68" s="187"/>
      <c r="AR68" s="89"/>
      <c r="AS68" s="89"/>
      <c r="AT68" s="282"/>
      <c r="AU68" s="282"/>
      <c r="AV68" s="282"/>
      <c r="AW68" s="118"/>
      <c r="AX68" s="33"/>
      <c r="AY68" s="33"/>
      <c r="AZ68" s="82"/>
      <c r="BA68" s="82"/>
      <c r="BB68" s="82"/>
      <c r="BC68" s="691"/>
    </row>
    <row r="69" spans="1:55" x14ac:dyDescent="0.25">
      <c r="A69" s="358">
        <v>43296</v>
      </c>
      <c r="B69" s="17" t="s">
        <v>771</v>
      </c>
      <c r="C69" s="91" t="s">
        <v>95</v>
      </c>
      <c r="D69" s="76"/>
      <c r="E69" s="76"/>
      <c r="F69" s="15"/>
      <c r="G69" s="15"/>
      <c r="H69" s="15"/>
      <c r="I69" s="15"/>
      <c r="J69" s="78"/>
      <c r="K69" s="78"/>
      <c r="L69" s="16"/>
      <c r="M69" s="16"/>
      <c r="N69" s="16"/>
      <c r="O69" s="16"/>
      <c r="P69" s="80"/>
      <c r="Q69" s="80"/>
      <c r="R69" s="17"/>
      <c r="S69" s="17"/>
      <c r="T69" s="17"/>
      <c r="U69" s="17"/>
      <c r="V69" s="117"/>
      <c r="W69" s="117"/>
      <c r="X69" s="82"/>
      <c r="Y69" s="82"/>
      <c r="Z69" s="82" t="s">
        <v>305</v>
      </c>
      <c r="AA69" s="82"/>
      <c r="AB69" s="18"/>
      <c r="AC69" s="18"/>
      <c r="AD69" s="86"/>
      <c r="AE69" s="86"/>
      <c r="AF69" s="84"/>
      <c r="AG69" s="84"/>
      <c r="AH69" s="41"/>
      <c r="AI69" s="41"/>
      <c r="AJ69" s="41"/>
      <c r="AK69" s="41"/>
      <c r="AL69" s="185"/>
      <c r="AM69" s="185"/>
      <c r="AN69" s="187"/>
      <c r="AO69" s="187"/>
      <c r="AP69" s="187"/>
      <c r="AQ69" s="187"/>
      <c r="AR69" s="89"/>
      <c r="AS69" s="89"/>
      <c r="AT69" s="282"/>
      <c r="AU69" s="282"/>
      <c r="AV69" s="282"/>
      <c r="AW69" s="118"/>
      <c r="AX69" s="33"/>
      <c r="AY69" s="33"/>
      <c r="AZ69" s="82"/>
      <c r="BA69" s="82"/>
      <c r="BB69" s="82"/>
      <c r="BC69" s="691"/>
    </row>
    <row r="70" spans="1:55" x14ac:dyDescent="0.25">
      <c r="A70" s="358">
        <v>43296</v>
      </c>
      <c r="B70" s="813" t="s">
        <v>772</v>
      </c>
      <c r="C70" s="91" t="s">
        <v>91</v>
      </c>
      <c r="D70" s="76" t="s">
        <v>305</v>
      </c>
      <c r="E70" s="76"/>
      <c r="F70" s="15"/>
      <c r="G70" s="15"/>
      <c r="H70" s="15"/>
      <c r="I70" s="15"/>
      <c r="J70" s="78"/>
      <c r="K70" s="78"/>
      <c r="L70" s="16"/>
      <c r="M70" s="16"/>
      <c r="N70" s="16"/>
      <c r="O70" s="16"/>
      <c r="P70" s="80"/>
      <c r="Q70" s="80"/>
      <c r="R70" s="17"/>
      <c r="S70" s="17"/>
      <c r="T70" s="17"/>
      <c r="U70" s="17"/>
      <c r="V70" s="117"/>
      <c r="W70" s="117"/>
      <c r="X70" s="82"/>
      <c r="Y70" s="82"/>
      <c r="Z70" s="82"/>
      <c r="AA70" s="82"/>
      <c r="AB70" s="18"/>
      <c r="AC70" s="18"/>
      <c r="AD70" s="86"/>
      <c r="AE70" s="86"/>
      <c r="AF70" s="84"/>
      <c r="AG70" s="84"/>
      <c r="AH70" s="41"/>
      <c r="AI70" s="41"/>
      <c r="AJ70" s="41"/>
      <c r="AK70" s="41"/>
      <c r="AL70" s="185"/>
      <c r="AM70" s="185"/>
      <c r="AN70" s="187"/>
      <c r="AO70" s="187"/>
      <c r="AP70" s="187"/>
      <c r="AQ70" s="187"/>
      <c r="AR70" s="89"/>
      <c r="AS70" s="89"/>
      <c r="AT70" s="282"/>
      <c r="AU70" s="282"/>
      <c r="AV70" s="282"/>
      <c r="AW70" s="118"/>
      <c r="AX70" s="33"/>
      <c r="AY70" s="33"/>
      <c r="AZ70" s="82"/>
      <c r="BA70" s="82"/>
      <c r="BB70" s="82"/>
      <c r="BC70" s="691"/>
    </row>
    <row r="71" spans="1:55" x14ac:dyDescent="0.25">
      <c r="A71" s="358">
        <v>43297</v>
      </c>
      <c r="B71" s="813" t="s">
        <v>777</v>
      </c>
      <c r="C71" s="91" t="s">
        <v>91</v>
      </c>
      <c r="D71" s="76"/>
      <c r="E71" s="76" t="s">
        <v>305</v>
      </c>
      <c r="F71" s="15"/>
      <c r="G71" s="15"/>
      <c r="H71" s="15"/>
      <c r="I71" s="15"/>
      <c r="J71" s="78"/>
      <c r="K71" s="78"/>
      <c r="L71" s="16"/>
      <c r="M71" s="16"/>
      <c r="N71" s="16"/>
      <c r="O71" s="16"/>
      <c r="P71" s="80"/>
      <c r="Q71" s="80"/>
      <c r="R71" s="17"/>
      <c r="S71" s="17"/>
      <c r="T71" s="17"/>
      <c r="U71" s="17"/>
      <c r="V71" s="117"/>
      <c r="W71" s="117"/>
      <c r="X71" s="82"/>
      <c r="Y71" s="82"/>
      <c r="Z71" s="82"/>
      <c r="AA71" s="82"/>
      <c r="AB71" s="18"/>
      <c r="AC71" s="18"/>
      <c r="AD71" s="86"/>
      <c r="AE71" s="86"/>
      <c r="AF71" s="84"/>
      <c r="AG71" s="84"/>
      <c r="AH71" s="41"/>
      <c r="AI71" s="41"/>
      <c r="AJ71" s="41"/>
      <c r="AK71" s="41"/>
      <c r="AL71" s="185"/>
      <c r="AM71" s="185"/>
      <c r="AN71" s="187"/>
      <c r="AO71" s="187"/>
      <c r="AP71" s="187"/>
      <c r="AQ71" s="187"/>
      <c r="AR71" s="89"/>
      <c r="AS71" s="89"/>
      <c r="AT71" s="282"/>
      <c r="AU71" s="282"/>
      <c r="AV71" s="282"/>
      <c r="AW71" s="118"/>
      <c r="AX71" s="33"/>
      <c r="AY71" s="33"/>
      <c r="AZ71" s="82"/>
      <c r="BA71" s="82"/>
      <c r="BB71" s="82"/>
      <c r="BC71" s="691"/>
    </row>
    <row r="72" spans="1:55" x14ac:dyDescent="0.25">
      <c r="A72" s="358">
        <v>43297</v>
      </c>
      <c r="B72" s="813" t="s">
        <v>785</v>
      </c>
      <c r="C72" s="91" t="s">
        <v>91</v>
      </c>
      <c r="D72" s="76"/>
      <c r="E72" s="76" t="s">
        <v>305</v>
      </c>
      <c r="F72" s="15"/>
      <c r="G72" s="15"/>
      <c r="H72" s="15"/>
      <c r="I72" s="15"/>
      <c r="J72" s="78"/>
      <c r="K72" s="387"/>
      <c r="L72" s="16"/>
      <c r="M72" s="16"/>
      <c r="N72" s="16"/>
      <c r="O72" s="16"/>
      <c r="P72" s="80"/>
      <c r="Q72" s="80"/>
      <c r="R72" s="17"/>
      <c r="S72" s="17"/>
      <c r="T72" s="17"/>
      <c r="U72" s="17"/>
      <c r="V72" s="199"/>
      <c r="W72" s="199"/>
      <c r="X72" s="82"/>
      <c r="Y72" s="82"/>
      <c r="Z72" s="82"/>
      <c r="AA72" s="82"/>
      <c r="AB72" s="18"/>
      <c r="AC72" s="18"/>
      <c r="AD72" s="86"/>
      <c r="AE72" s="86"/>
      <c r="AF72" s="84"/>
      <c r="AG72" s="84"/>
      <c r="AH72" s="41"/>
      <c r="AI72" s="41"/>
      <c r="AJ72" s="41"/>
      <c r="AK72" s="41"/>
      <c r="AL72" s="185"/>
      <c r="AM72" s="185"/>
      <c r="AN72" s="187"/>
      <c r="AO72" s="187"/>
      <c r="AP72" s="187"/>
      <c r="AQ72" s="187"/>
      <c r="AR72" s="89"/>
      <c r="AS72" s="89"/>
      <c r="AT72" s="282"/>
      <c r="AU72" s="282"/>
      <c r="AV72" s="282"/>
      <c r="AW72" s="200"/>
      <c r="AX72" s="33"/>
      <c r="AY72" s="33"/>
      <c r="AZ72" s="82"/>
      <c r="BA72" s="82"/>
      <c r="BB72" s="82"/>
      <c r="BC72" s="691"/>
    </row>
    <row r="73" spans="1:55" x14ac:dyDescent="0.25">
      <c r="A73" s="358">
        <v>43297</v>
      </c>
      <c r="B73" s="813" t="s">
        <v>778</v>
      </c>
      <c r="C73" s="91" t="s">
        <v>91</v>
      </c>
      <c r="D73" s="76"/>
      <c r="E73" s="76" t="s">
        <v>305</v>
      </c>
      <c r="F73" s="15"/>
      <c r="G73" s="15"/>
      <c r="H73" s="15"/>
      <c r="I73" s="15"/>
      <c r="J73" s="78"/>
      <c r="K73" s="78"/>
      <c r="L73" s="16"/>
      <c r="M73" s="16"/>
      <c r="N73" s="16"/>
      <c r="O73" s="16"/>
      <c r="P73" s="80"/>
      <c r="Q73" s="80"/>
      <c r="R73" s="17"/>
      <c r="S73" s="17"/>
      <c r="T73" s="17"/>
      <c r="U73" s="17"/>
      <c r="V73" s="117"/>
      <c r="W73" s="117"/>
      <c r="X73" s="82"/>
      <c r="Y73" s="82"/>
      <c r="Z73" s="82"/>
      <c r="AA73" s="82"/>
      <c r="AB73" s="18"/>
      <c r="AC73" s="18"/>
      <c r="AD73" s="86"/>
      <c r="AE73" s="86"/>
      <c r="AF73" s="84"/>
      <c r="AG73" s="84"/>
      <c r="AH73" s="41"/>
      <c r="AI73" s="41"/>
      <c r="AJ73" s="41"/>
      <c r="AK73" s="41"/>
      <c r="AL73" s="185"/>
      <c r="AM73" s="185"/>
      <c r="AN73" s="187"/>
      <c r="AO73" s="187"/>
      <c r="AP73" s="187"/>
      <c r="AQ73" s="187"/>
      <c r="AR73" s="89"/>
      <c r="AS73" s="90"/>
      <c r="AT73" s="118"/>
      <c r="AU73" s="118"/>
      <c r="AV73" s="118"/>
      <c r="AW73" s="118"/>
      <c r="AX73" s="33"/>
      <c r="AY73" s="33"/>
      <c r="AZ73" s="82"/>
      <c r="BA73" s="82"/>
      <c r="BB73" s="82"/>
      <c r="BC73" s="691"/>
    </row>
    <row r="74" spans="1:55" x14ac:dyDescent="0.25">
      <c r="A74" s="358">
        <v>43297</v>
      </c>
      <c r="B74" s="813" t="s">
        <v>780</v>
      </c>
      <c r="C74" s="91" t="s">
        <v>91</v>
      </c>
      <c r="D74" s="76"/>
      <c r="E74" s="76" t="s">
        <v>305</v>
      </c>
      <c r="F74" s="15"/>
      <c r="G74" s="15"/>
      <c r="H74" s="15"/>
      <c r="I74" s="15"/>
      <c r="J74" s="78"/>
      <c r="K74" s="78"/>
      <c r="L74" s="16"/>
      <c r="M74" s="16"/>
      <c r="N74" s="16"/>
      <c r="O74" s="16"/>
      <c r="P74" s="80"/>
      <c r="Q74" s="80"/>
      <c r="R74" s="17"/>
      <c r="S74" s="17"/>
      <c r="T74" s="17"/>
      <c r="U74" s="17"/>
      <c r="V74" s="117"/>
      <c r="W74" s="117"/>
      <c r="X74" s="82"/>
      <c r="Y74" s="82"/>
      <c r="Z74" s="82"/>
      <c r="AA74" s="82"/>
      <c r="AB74" s="18"/>
      <c r="AC74" s="18"/>
      <c r="AD74" s="86"/>
      <c r="AE74" s="86"/>
      <c r="AF74" s="84"/>
      <c r="AG74" s="84"/>
      <c r="AH74" s="41"/>
      <c r="AI74" s="41"/>
      <c r="AJ74" s="41"/>
      <c r="AK74" s="41"/>
      <c r="AL74" s="185"/>
      <c r="AM74" s="185"/>
      <c r="AN74" s="187"/>
      <c r="AO74" s="187"/>
      <c r="AP74" s="187"/>
      <c r="AQ74" s="187"/>
      <c r="AR74" s="89"/>
      <c r="AS74" s="90"/>
      <c r="AT74" s="118"/>
      <c r="AU74" s="118"/>
      <c r="AV74" s="118"/>
      <c r="AW74" s="118"/>
      <c r="AX74" s="33"/>
      <c r="AY74" s="33"/>
      <c r="AZ74" s="82"/>
      <c r="BA74" s="82"/>
      <c r="BB74" s="82"/>
      <c r="BC74" s="691"/>
    </row>
    <row r="75" spans="1:55" x14ac:dyDescent="0.25">
      <c r="A75" s="358">
        <v>43297</v>
      </c>
      <c r="B75" s="813" t="s">
        <v>781</v>
      </c>
      <c r="C75" s="91" t="s">
        <v>91</v>
      </c>
      <c r="D75" s="76"/>
      <c r="E75" s="76" t="s">
        <v>305</v>
      </c>
      <c r="F75" s="15"/>
      <c r="G75" s="15"/>
      <c r="H75" s="15"/>
      <c r="I75" s="15"/>
      <c r="J75" s="78"/>
      <c r="K75" s="78"/>
      <c r="L75" s="16"/>
      <c r="M75" s="16"/>
      <c r="N75" s="16"/>
      <c r="O75" s="16"/>
      <c r="P75" s="80"/>
      <c r="Q75" s="80"/>
      <c r="R75" s="17"/>
      <c r="S75" s="17"/>
      <c r="T75" s="17"/>
      <c r="U75" s="17"/>
      <c r="V75" s="237"/>
      <c r="W75" s="237"/>
      <c r="X75" s="82"/>
      <c r="Y75" s="82"/>
      <c r="Z75" s="82"/>
      <c r="AA75" s="82"/>
      <c r="AB75" s="18"/>
      <c r="AC75" s="18"/>
      <c r="AD75" s="86"/>
      <c r="AE75" s="86"/>
      <c r="AF75" s="84"/>
      <c r="AG75" s="84"/>
      <c r="AH75" s="41"/>
      <c r="AI75" s="41"/>
      <c r="AJ75" s="41"/>
      <c r="AK75" s="41"/>
      <c r="AL75" s="185"/>
      <c r="AM75" s="185"/>
      <c r="AN75" s="187"/>
      <c r="AO75" s="187"/>
      <c r="AP75" s="187"/>
      <c r="AQ75" s="187"/>
      <c r="AR75" s="89"/>
      <c r="AS75" s="90"/>
      <c r="AT75" s="238"/>
      <c r="AU75" s="238"/>
      <c r="AV75" s="238"/>
      <c r="AW75" s="238"/>
      <c r="AX75" s="33"/>
      <c r="AY75" s="33"/>
      <c r="AZ75" s="82"/>
      <c r="BA75" s="82"/>
      <c r="BB75" s="82"/>
      <c r="BC75" s="691"/>
    </row>
    <row r="76" spans="1:55" x14ac:dyDescent="0.25">
      <c r="A76" s="358">
        <v>43297</v>
      </c>
      <c r="B76" s="813" t="s">
        <v>783</v>
      </c>
      <c r="C76" s="91" t="s">
        <v>91</v>
      </c>
      <c r="D76" s="76"/>
      <c r="E76" s="76" t="s">
        <v>305</v>
      </c>
      <c r="F76" s="15"/>
      <c r="G76" s="15"/>
      <c r="H76" s="15"/>
      <c r="I76" s="15"/>
      <c r="J76" s="78"/>
      <c r="K76" s="78"/>
      <c r="L76" s="16"/>
      <c r="M76" s="16"/>
      <c r="N76" s="16"/>
      <c r="O76" s="16"/>
      <c r="P76" s="80"/>
      <c r="Q76" s="80"/>
      <c r="R76" s="17"/>
      <c r="S76" s="17"/>
      <c r="T76" s="17"/>
      <c r="U76" s="17"/>
      <c r="V76" s="117"/>
      <c r="W76" s="117"/>
      <c r="X76" s="82"/>
      <c r="Y76" s="82"/>
      <c r="Z76" s="82"/>
      <c r="AA76" s="82"/>
      <c r="AB76" s="18"/>
      <c r="AC76" s="18"/>
      <c r="AD76" s="86"/>
      <c r="AE76" s="86"/>
      <c r="AF76" s="84"/>
      <c r="AG76" s="84"/>
      <c r="AH76" s="41"/>
      <c r="AI76" s="41"/>
      <c r="AJ76" s="41"/>
      <c r="AK76" s="41"/>
      <c r="AL76" s="185"/>
      <c r="AM76" s="185"/>
      <c r="AN76" s="187"/>
      <c r="AO76" s="187"/>
      <c r="AP76" s="187"/>
      <c r="AQ76" s="187"/>
      <c r="AR76" s="89"/>
      <c r="AS76" s="90"/>
      <c r="AT76" s="118"/>
      <c r="AU76" s="118"/>
      <c r="AV76" s="118"/>
      <c r="AW76" s="118"/>
      <c r="AX76" s="33"/>
      <c r="AY76" s="33"/>
      <c r="AZ76" s="82"/>
      <c r="BA76" s="82"/>
      <c r="BB76" s="82"/>
      <c r="BC76" s="691"/>
    </row>
    <row r="77" spans="1:55" x14ac:dyDescent="0.25">
      <c r="A77" s="358">
        <v>43297</v>
      </c>
      <c r="B77" s="813" t="s">
        <v>791</v>
      </c>
      <c r="C77" s="91" t="s">
        <v>91</v>
      </c>
      <c r="D77" s="76"/>
      <c r="E77" s="76" t="s">
        <v>305</v>
      </c>
      <c r="F77" s="15"/>
      <c r="G77" s="15"/>
      <c r="H77" s="15"/>
      <c r="I77" s="15"/>
      <c r="J77" s="78"/>
      <c r="K77" s="78"/>
      <c r="L77" s="16"/>
      <c r="M77" s="16"/>
      <c r="N77" s="16"/>
      <c r="O77" s="16"/>
      <c r="P77" s="80"/>
      <c r="Q77" s="80"/>
      <c r="R77" s="17"/>
      <c r="S77" s="17"/>
      <c r="T77" s="17"/>
      <c r="U77" s="17"/>
      <c r="V77" s="199"/>
      <c r="W77" s="199"/>
      <c r="X77" s="82"/>
      <c r="Y77" s="82"/>
      <c r="Z77" s="82"/>
      <c r="AA77" s="82"/>
      <c r="AB77" s="18"/>
      <c r="AC77" s="18"/>
      <c r="AD77" s="86"/>
      <c r="AE77" s="86"/>
      <c r="AF77" s="84"/>
      <c r="AG77" s="84"/>
      <c r="AH77" s="41"/>
      <c r="AI77" s="41"/>
      <c r="AJ77" s="41"/>
      <c r="AK77" s="41"/>
      <c r="AL77" s="185"/>
      <c r="AM77" s="185"/>
      <c r="AN77" s="187"/>
      <c r="AO77" s="187"/>
      <c r="AP77" s="187"/>
      <c r="AQ77" s="187"/>
      <c r="AR77" s="89"/>
      <c r="AS77" s="90"/>
      <c r="AT77" s="200"/>
      <c r="AU77" s="200"/>
      <c r="AV77" s="200"/>
      <c r="AW77" s="200"/>
      <c r="AX77" s="33"/>
      <c r="AY77" s="33"/>
      <c r="AZ77" s="82"/>
      <c r="BA77" s="82"/>
      <c r="BB77" s="82"/>
      <c r="BC77" s="691"/>
    </row>
    <row r="78" spans="1:55" x14ac:dyDescent="0.25">
      <c r="A78" s="358">
        <v>43297</v>
      </c>
      <c r="B78" s="813" t="s">
        <v>792</v>
      </c>
      <c r="C78" s="91" t="s">
        <v>91</v>
      </c>
      <c r="D78" s="76"/>
      <c r="E78" s="76" t="s">
        <v>305</v>
      </c>
      <c r="F78" s="15"/>
      <c r="G78" s="15"/>
      <c r="H78" s="15"/>
      <c r="I78" s="15"/>
      <c r="J78" s="78"/>
      <c r="K78" s="78"/>
      <c r="L78" s="16"/>
      <c r="M78" s="16"/>
      <c r="N78" s="16"/>
      <c r="O78" s="16"/>
      <c r="P78" s="80"/>
      <c r="Q78" s="80"/>
      <c r="R78" s="17"/>
      <c r="S78" s="17"/>
      <c r="T78" s="17"/>
      <c r="U78" s="17"/>
      <c r="V78" s="117"/>
      <c r="W78" s="117"/>
      <c r="X78" s="82"/>
      <c r="Y78" s="82"/>
      <c r="Z78" s="82"/>
      <c r="AA78" s="82"/>
      <c r="AB78" s="18"/>
      <c r="AC78" s="18"/>
      <c r="AD78" s="86"/>
      <c r="AE78" s="86"/>
      <c r="AF78" s="84"/>
      <c r="AG78" s="84"/>
      <c r="AH78" s="41"/>
      <c r="AI78" s="41"/>
      <c r="AJ78" s="41"/>
      <c r="AK78" s="41"/>
      <c r="AL78" s="185"/>
      <c r="AM78" s="185"/>
      <c r="AN78" s="187"/>
      <c r="AO78" s="187"/>
      <c r="AP78" s="187"/>
      <c r="AQ78" s="187"/>
      <c r="AR78" s="89"/>
      <c r="AS78" s="90"/>
      <c r="AT78" s="118"/>
      <c r="AU78" s="118"/>
      <c r="AV78" s="118"/>
      <c r="AW78" s="118"/>
      <c r="AX78" s="33"/>
      <c r="AY78" s="33"/>
      <c r="AZ78" s="82"/>
      <c r="BA78" s="82"/>
      <c r="BB78" s="82"/>
      <c r="BC78" s="691"/>
    </row>
    <row r="79" spans="1:55" x14ac:dyDescent="0.25">
      <c r="A79" s="358">
        <v>43297</v>
      </c>
      <c r="B79" s="813" t="s">
        <v>793</v>
      </c>
      <c r="C79" s="922" t="s">
        <v>91</v>
      </c>
      <c r="D79" s="76"/>
      <c r="E79" s="76"/>
      <c r="F79" s="15"/>
      <c r="G79" s="15"/>
      <c r="H79" s="15"/>
      <c r="I79" s="15"/>
      <c r="J79" s="78"/>
      <c r="K79" s="78"/>
      <c r="L79" s="16"/>
      <c r="M79" s="16"/>
      <c r="N79" s="16"/>
      <c r="O79" s="16"/>
      <c r="P79" s="80"/>
      <c r="Q79" s="80"/>
      <c r="R79" s="17"/>
      <c r="S79" s="17"/>
      <c r="T79" s="17"/>
      <c r="U79" s="17"/>
      <c r="V79" s="919"/>
      <c r="W79" s="919" t="s">
        <v>305</v>
      </c>
      <c r="X79" s="82"/>
      <c r="Y79" s="82"/>
      <c r="Z79" s="82"/>
      <c r="AA79" s="82"/>
      <c r="AB79" s="18"/>
      <c r="AC79" s="18"/>
      <c r="AD79" s="86"/>
      <c r="AE79" s="86"/>
      <c r="AF79" s="84"/>
      <c r="AG79" s="84"/>
      <c r="AH79" s="41"/>
      <c r="AI79" s="41"/>
      <c r="AJ79" s="41"/>
      <c r="AK79" s="41"/>
      <c r="AL79" s="185"/>
      <c r="AM79" s="185"/>
      <c r="AN79" s="187"/>
      <c r="AO79" s="187"/>
      <c r="AP79" s="187"/>
      <c r="AQ79" s="187"/>
      <c r="AR79" s="89"/>
      <c r="AS79" s="90"/>
      <c r="AT79" s="920"/>
      <c r="AU79" s="920"/>
      <c r="AV79" s="920"/>
      <c r="AW79" s="920"/>
      <c r="AX79" s="921"/>
      <c r="AY79" s="921"/>
      <c r="AZ79" s="82"/>
      <c r="BA79" s="82"/>
      <c r="BB79" s="82"/>
      <c r="BC79" s="691"/>
    </row>
    <row r="80" spans="1:55" x14ac:dyDescent="0.25">
      <c r="A80" s="358">
        <v>43298</v>
      </c>
      <c r="B80" s="78" t="s">
        <v>799</v>
      </c>
      <c r="C80" s="91" t="s">
        <v>93</v>
      </c>
      <c r="D80" s="76"/>
      <c r="E80" s="76"/>
      <c r="F80" s="15"/>
      <c r="G80" s="15"/>
      <c r="H80" s="15"/>
      <c r="I80" s="15"/>
      <c r="J80" s="78"/>
      <c r="K80" s="78" t="s">
        <v>305</v>
      </c>
      <c r="L80" s="16"/>
      <c r="M80" s="16"/>
      <c r="N80" s="16"/>
      <c r="O80" s="16"/>
      <c r="P80" s="80"/>
      <c r="Q80" s="80"/>
      <c r="R80" s="17"/>
      <c r="S80" s="17"/>
      <c r="T80" s="17"/>
      <c r="U80" s="17"/>
      <c r="V80" s="143"/>
      <c r="W80" s="117"/>
      <c r="X80" s="82"/>
      <c r="Y80" s="82"/>
      <c r="Z80" s="82"/>
      <c r="AA80" s="82"/>
      <c r="AB80" s="18"/>
      <c r="AC80" s="18"/>
      <c r="AD80" s="86"/>
      <c r="AE80" s="86"/>
      <c r="AF80" s="84"/>
      <c r="AG80" s="84"/>
      <c r="AH80" s="41"/>
      <c r="AI80" s="41"/>
      <c r="AJ80" s="41"/>
      <c r="AK80" s="41"/>
      <c r="AL80" s="185"/>
      <c r="AM80" s="185"/>
      <c r="AN80" s="187"/>
      <c r="AO80" s="187"/>
      <c r="AP80" s="187"/>
      <c r="AQ80" s="187"/>
      <c r="AR80" s="89"/>
      <c r="AS80" s="90"/>
      <c r="AT80" s="118"/>
      <c r="AU80" s="118"/>
      <c r="AV80" s="118"/>
      <c r="AW80" s="118"/>
      <c r="AX80" s="33"/>
      <c r="AY80" s="33"/>
      <c r="AZ80" s="82"/>
      <c r="BA80" s="82"/>
      <c r="BB80" s="82"/>
      <c r="BC80" s="691"/>
    </row>
    <row r="81" spans="1:55" x14ac:dyDescent="0.25">
      <c r="A81" s="358">
        <v>43299</v>
      </c>
      <c r="B81" s="813" t="s">
        <v>816</v>
      </c>
      <c r="C81" s="91" t="s">
        <v>91</v>
      </c>
      <c r="D81" s="76"/>
      <c r="E81" s="76"/>
      <c r="F81" s="15"/>
      <c r="G81" s="15"/>
      <c r="H81" s="15"/>
      <c r="I81" s="15"/>
      <c r="J81" s="78"/>
      <c r="K81" s="78"/>
      <c r="L81" s="16"/>
      <c r="M81" s="16"/>
      <c r="N81" s="16"/>
      <c r="O81" s="16"/>
      <c r="P81" s="80"/>
      <c r="Q81" s="80"/>
      <c r="R81" s="17"/>
      <c r="S81" s="17"/>
      <c r="T81" s="17"/>
      <c r="U81" s="17"/>
      <c r="V81" s="117" t="s">
        <v>305</v>
      </c>
      <c r="W81" s="117"/>
      <c r="X81" s="82"/>
      <c r="Y81" s="82"/>
      <c r="Z81" s="82"/>
      <c r="AA81" s="82"/>
      <c r="AB81" s="18"/>
      <c r="AC81" s="18"/>
      <c r="AD81" s="86"/>
      <c r="AE81" s="86"/>
      <c r="AF81" s="84"/>
      <c r="AG81" s="84"/>
      <c r="AH81" s="41"/>
      <c r="AI81" s="41"/>
      <c r="AJ81" s="41"/>
      <c r="AK81" s="41"/>
      <c r="AL81" s="185"/>
      <c r="AM81" s="185"/>
      <c r="AN81" s="187"/>
      <c r="AO81" s="187"/>
      <c r="AP81" s="187"/>
      <c r="AQ81" s="187"/>
      <c r="AR81" s="89"/>
      <c r="AS81" s="90"/>
      <c r="AT81" s="118"/>
      <c r="AU81" s="118"/>
      <c r="AV81" s="118"/>
      <c r="AW81" s="118"/>
      <c r="AX81" s="33"/>
      <c r="AY81" s="33"/>
      <c r="AZ81" s="82"/>
      <c r="BA81" s="82"/>
      <c r="BB81" s="82"/>
      <c r="BC81" s="691"/>
    </row>
    <row r="82" spans="1:55" x14ac:dyDescent="0.25">
      <c r="A82" s="358">
        <v>43301</v>
      </c>
      <c r="B82" s="813" t="s">
        <v>822</v>
      </c>
      <c r="C82" s="91" t="s">
        <v>91</v>
      </c>
      <c r="D82" s="76" t="s">
        <v>305</v>
      </c>
      <c r="E82" s="76"/>
      <c r="F82" s="15"/>
      <c r="G82" s="15"/>
      <c r="H82" s="15"/>
      <c r="I82" s="15"/>
      <c r="J82" s="78"/>
      <c r="K82" s="78"/>
      <c r="L82" s="16"/>
      <c r="M82" s="16"/>
      <c r="N82" s="16"/>
      <c r="O82" s="16"/>
      <c r="P82" s="80"/>
      <c r="Q82" s="80"/>
      <c r="R82" s="17"/>
      <c r="S82" s="17"/>
      <c r="T82" s="17"/>
      <c r="U82" s="17"/>
      <c r="V82" s="199"/>
      <c r="W82" s="199"/>
      <c r="X82" s="82"/>
      <c r="Y82" s="82"/>
      <c r="Z82" s="82"/>
      <c r="AA82" s="82"/>
      <c r="AB82" s="18"/>
      <c r="AC82" s="18"/>
      <c r="AD82" s="86"/>
      <c r="AE82" s="86"/>
      <c r="AF82" s="84"/>
      <c r="AG82" s="84"/>
      <c r="AH82" s="41"/>
      <c r="AI82" s="41"/>
      <c r="AJ82" s="41"/>
      <c r="AK82" s="41"/>
      <c r="AL82" s="185"/>
      <c r="AM82" s="185"/>
      <c r="AN82" s="187"/>
      <c r="AO82" s="187"/>
      <c r="AP82" s="187"/>
      <c r="AQ82" s="187"/>
      <c r="AR82" s="89"/>
      <c r="AS82" s="90"/>
      <c r="AT82" s="200"/>
      <c r="AU82" s="200"/>
      <c r="AV82" s="200"/>
      <c r="AW82" s="200"/>
      <c r="AX82" s="33"/>
      <c r="AY82" s="33"/>
      <c r="AZ82" s="82"/>
      <c r="BA82" s="82"/>
      <c r="BB82" s="82"/>
      <c r="BC82" s="691"/>
    </row>
    <row r="83" spans="1:55" x14ac:dyDescent="0.25">
      <c r="A83" s="358">
        <v>43301</v>
      </c>
      <c r="B83" s="89" t="s">
        <v>827</v>
      </c>
      <c r="C83" s="91" t="s">
        <v>63</v>
      </c>
      <c r="D83" s="76"/>
      <c r="E83" s="76"/>
      <c r="F83" s="15"/>
      <c r="G83" s="15"/>
      <c r="H83" s="15"/>
      <c r="I83" s="15"/>
      <c r="J83" s="78"/>
      <c r="K83" s="78"/>
      <c r="L83" s="16"/>
      <c r="M83" s="16"/>
      <c r="N83" s="16"/>
      <c r="O83" s="16"/>
      <c r="P83" s="80"/>
      <c r="Q83" s="80"/>
      <c r="R83" s="17"/>
      <c r="S83" s="17"/>
      <c r="T83" s="17"/>
      <c r="U83" s="17"/>
      <c r="V83" s="227"/>
      <c r="W83" s="227"/>
      <c r="X83" s="82"/>
      <c r="Y83" s="82"/>
      <c r="Z83" s="82"/>
      <c r="AA83" s="82"/>
      <c r="AB83" s="18"/>
      <c r="AC83" s="18"/>
      <c r="AD83" s="86"/>
      <c r="AE83" s="86"/>
      <c r="AF83" s="84"/>
      <c r="AG83" s="84"/>
      <c r="AH83" s="41"/>
      <c r="AI83" s="41"/>
      <c r="AJ83" s="41"/>
      <c r="AK83" s="41"/>
      <c r="AL83" s="185"/>
      <c r="AM83" s="185"/>
      <c r="AN83" s="187"/>
      <c r="AO83" s="187"/>
      <c r="AP83" s="187"/>
      <c r="AQ83" s="187"/>
      <c r="AR83" s="89" t="s">
        <v>305</v>
      </c>
      <c r="AS83" s="90"/>
      <c r="AT83" s="228"/>
      <c r="AU83" s="228"/>
      <c r="AV83" s="228"/>
      <c r="AW83" s="228"/>
      <c r="AX83" s="33"/>
      <c r="AY83" s="33"/>
      <c r="AZ83" s="82"/>
      <c r="BA83" s="82"/>
      <c r="BB83" s="82"/>
      <c r="BC83" s="691"/>
    </row>
    <row r="84" spans="1:55" x14ac:dyDescent="0.25">
      <c r="A84" s="358">
        <v>43301</v>
      </c>
      <c r="B84" s="17" t="s">
        <v>829</v>
      </c>
      <c r="C84" s="91" t="s">
        <v>95</v>
      </c>
      <c r="D84" s="76"/>
      <c r="E84" s="76"/>
      <c r="F84" s="15"/>
      <c r="G84" s="15"/>
      <c r="H84" s="15"/>
      <c r="I84" s="15"/>
      <c r="J84" s="78"/>
      <c r="K84" s="78"/>
      <c r="L84" s="16"/>
      <c r="M84" s="16"/>
      <c r="N84" s="16"/>
      <c r="O84" s="16"/>
      <c r="P84" s="80"/>
      <c r="Q84" s="80"/>
      <c r="R84" s="17"/>
      <c r="S84" s="17"/>
      <c r="T84" s="17"/>
      <c r="U84" s="17"/>
      <c r="V84" s="143"/>
      <c r="W84" s="117"/>
      <c r="X84" s="82"/>
      <c r="Y84" s="82"/>
      <c r="Z84" s="82" t="s">
        <v>305</v>
      </c>
      <c r="AA84" s="82"/>
      <c r="AB84" s="18"/>
      <c r="AC84" s="18"/>
      <c r="AD84" s="86"/>
      <c r="AE84" s="86"/>
      <c r="AF84" s="84"/>
      <c r="AG84" s="84"/>
      <c r="AH84" s="41"/>
      <c r="AI84" s="41"/>
      <c r="AJ84" s="41"/>
      <c r="AK84" s="41"/>
      <c r="AL84" s="185"/>
      <c r="AM84" s="185"/>
      <c r="AN84" s="187"/>
      <c r="AO84" s="187"/>
      <c r="AP84" s="187"/>
      <c r="AQ84" s="187"/>
      <c r="AR84" s="89"/>
      <c r="AS84" s="90"/>
      <c r="AT84" s="118"/>
      <c r="AU84" s="118"/>
      <c r="AV84" s="118"/>
      <c r="AW84" s="118"/>
      <c r="AX84" s="33"/>
      <c r="AY84" s="33"/>
      <c r="AZ84" s="82"/>
      <c r="BA84" s="82"/>
      <c r="BB84" s="82"/>
      <c r="BC84" s="691"/>
    </row>
    <row r="85" spans="1:55" x14ac:dyDescent="0.25">
      <c r="A85" s="358">
        <v>43302</v>
      </c>
      <c r="B85" s="813" t="s">
        <v>830</v>
      </c>
      <c r="C85" s="91" t="s">
        <v>91</v>
      </c>
      <c r="D85" s="76" t="s">
        <v>305</v>
      </c>
      <c r="E85" s="76"/>
      <c r="F85" s="15"/>
      <c r="G85" s="15"/>
      <c r="H85" s="15"/>
      <c r="I85" s="15"/>
      <c r="J85" s="78"/>
      <c r="K85" s="78"/>
      <c r="L85" s="16"/>
      <c r="M85" s="16"/>
      <c r="N85" s="16"/>
      <c r="O85" s="16"/>
      <c r="P85" s="80"/>
      <c r="Q85" s="80"/>
      <c r="R85" s="17"/>
      <c r="S85" s="17"/>
      <c r="T85" s="17"/>
      <c r="U85" s="17"/>
      <c r="V85" s="117"/>
      <c r="W85" s="117"/>
      <c r="X85" s="82"/>
      <c r="Y85" s="82"/>
      <c r="Z85" s="82"/>
      <c r="AA85" s="82"/>
      <c r="AB85" s="18"/>
      <c r="AC85" s="18"/>
      <c r="AD85" s="86"/>
      <c r="AE85" s="86"/>
      <c r="AF85" s="84"/>
      <c r="AG85" s="84"/>
      <c r="AH85" s="41"/>
      <c r="AI85" s="41"/>
      <c r="AJ85" s="41"/>
      <c r="AK85" s="41"/>
      <c r="AL85" s="185"/>
      <c r="AM85" s="185"/>
      <c r="AN85" s="187"/>
      <c r="AO85" s="187"/>
      <c r="AP85" s="187"/>
      <c r="AQ85" s="187"/>
      <c r="AR85" s="89"/>
      <c r="AS85" s="90"/>
      <c r="AT85" s="144"/>
      <c r="AU85" s="118"/>
      <c r="AV85" s="118"/>
      <c r="AW85" s="118"/>
      <c r="AX85" s="33"/>
      <c r="AY85" s="33"/>
      <c r="AZ85" s="82"/>
      <c r="BA85" s="82"/>
      <c r="BB85" s="82"/>
      <c r="BC85" s="691"/>
    </row>
    <row r="86" spans="1:55" x14ac:dyDescent="0.25">
      <c r="A86" s="358">
        <v>43302</v>
      </c>
      <c r="B86" s="78" t="s">
        <v>834</v>
      </c>
      <c r="C86" s="91" t="s">
        <v>93</v>
      </c>
      <c r="D86" s="76"/>
      <c r="E86" s="76"/>
      <c r="F86" s="15"/>
      <c r="G86" s="15"/>
      <c r="H86" s="15"/>
      <c r="I86" s="15"/>
      <c r="J86" s="78" t="s">
        <v>305</v>
      </c>
      <c r="K86" s="78"/>
      <c r="L86" s="16"/>
      <c r="M86" s="16"/>
      <c r="N86" s="16"/>
      <c r="O86" s="16"/>
      <c r="P86" s="80"/>
      <c r="Q86" s="80"/>
      <c r="R86" s="17"/>
      <c r="S86" s="17"/>
      <c r="T86" s="17"/>
      <c r="U86" s="17"/>
      <c r="V86" s="117"/>
      <c r="W86" s="117"/>
      <c r="X86" s="82"/>
      <c r="Y86" s="82"/>
      <c r="Z86" s="82"/>
      <c r="AA86" s="82"/>
      <c r="AB86" s="18"/>
      <c r="AC86" s="18"/>
      <c r="AD86" s="86"/>
      <c r="AE86" s="86"/>
      <c r="AF86" s="84"/>
      <c r="AG86" s="84"/>
      <c r="AH86" s="41"/>
      <c r="AI86" s="41"/>
      <c r="AJ86" s="41"/>
      <c r="AK86" s="41"/>
      <c r="AL86" s="185"/>
      <c r="AM86" s="185"/>
      <c r="AN86" s="187"/>
      <c r="AO86" s="187"/>
      <c r="AP86" s="187"/>
      <c r="AQ86" s="187"/>
      <c r="AR86" s="89"/>
      <c r="AS86" s="90"/>
      <c r="AT86" s="118"/>
      <c r="AU86" s="118"/>
      <c r="AV86" s="118"/>
      <c r="AW86" s="118"/>
      <c r="AX86" s="33"/>
      <c r="AY86" s="33"/>
      <c r="AZ86" s="82"/>
      <c r="BA86" s="82"/>
      <c r="BB86" s="82"/>
      <c r="BC86" s="691"/>
    </row>
    <row r="87" spans="1:55" x14ac:dyDescent="0.25">
      <c r="A87" s="358">
        <v>43302</v>
      </c>
      <c r="B87" s="17" t="s">
        <v>847</v>
      </c>
      <c r="C87" s="91" t="s">
        <v>95</v>
      </c>
      <c r="D87" s="76"/>
      <c r="E87" s="76"/>
      <c r="F87" s="15"/>
      <c r="G87" s="15"/>
      <c r="H87" s="15"/>
      <c r="I87" s="15"/>
      <c r="J87" s="78"/>
      <c r="K87" s="78"/>
      <c r="L87" s="16"/>
      <c r="M87" s="16"/>
      <c r="N87" s="16"/>
      <c r="O87" s="16"/>
      <c r="P87" s="80"/>
      <c r="Q87" s="80"/>
      <c r="R87" s="17"/>
      <c r="S87" s="17"/>
      <c r="T87" s="17"/>
      <c r="U87" s="17"/>
      <c r="V87" s="117"/>
      <c r="W87" s="117"/>
      <c r="X87" s="82"/>
      <c r="Y87" s="82"/>
      <c r="Z87" s="82" t="s">
        <v>305</v>
      </c>
      <c r="AA87" s="82"/>
      <c r="AB87" s="18"/>
      <c r="AC87" s="18"/>
      <c r="AD87" s="86"/>
      <c r="AE87" s="86"/>
      <c r="AF87" s="84"/>
      <c r="AG87" s="84"/>
      <c r="AH87" s="41"/>
      <c r="AI87" s="41"/>
      <c r="AJ87" s="41"/>
      <c r="AK87" s="41"/>
      <c r="AL87" s="185"/>
      <c r="AM87" s="185"/>
      <c r="AN87" s="187"/>
      <c r="AO87" s="187"/>
      <c r="AP87" s="187"/>
      <c r="AQ87" s="187"/>
      <c r="AR87" s="89"/>
      <c r="AS87" s="90"/>
      <c r="AT87" s="118"/>
      <c r="AU87" s="118"/>
      <c r="AV87" s="118"/>
      <c r="AW87" s="118"/>
      <c r="AX87" s="33"/>
      <c r="AY87" s="33"/>
      <c r="AZ87" s="82"/>
      <c r="BA87" s="82"/>
      <c r="BB87" s="82"/>
      <c r="BC87" s="691"/>
    </row>
    <row r="88" spans="1:55" x14ac:dyDescent="0.25">
      <c r="A88" s="358">
        <v>43303</v>
      </c>
      <c r="B88" s="813" t="s">
        <v>867</v>
      </c>
      <c r="C88" s="91" t="s">
        <v>91</v>
      </c>
      <c r="D88" s="76" t="s">
        <v>305</v>
      </c>
      <c r="E88" s="76"/>
      <c r="F88" s="15"/>
      <c r="G88" s="15"/>
      <c r="H88" s="15"/>
      <c r="I88" s="15"/>
      <c r="J88" s="78"/>
      <c r="K88" s="78"/>
      <c r="L88" s="16"/>
      <c r="M88" s="16"/>
      <c r="N88" s="16"/>
      <c r="O88" s="16"/>
      <c r="P88" s="80"/>
      <c r="Q88" s="80"/>
      <c r="R88" s="17"/>
      <c r="S88" s="17"/>
      <c r="T88" s="17"/>
      <c r="U88" s="17"/>
      <c r="V88" s="117"/>
      <c r="W88" s="117"/>
      <c r="X88" s="82"/>
      <c r="Y88" s="82"/>
      <c r="Z88" s="82"/>
      <c r="AA88" s="82"/>
      <c r="AB88" s="18"/>
      <c r="AC88" s="18"/>
      <c r="AD88" s="86"/>
      <c r="AE88" s="86"/>
      <c r="AF88" s="84"/>
      <c r="AG88" s="84"/>
      <c r="AH88" s="41"/>
      <c r="AI88" s="41"/>
      <c r="AJ88" s="41"/>
      <c r="AK88" s="41"/>
      <c r="AL88" s="185"/>
      <c r="AM88" s="185"/>
      <c r="AN88" s="187"/>
      <c r="AO88" s="187"/>
      <c r="AP88" s="187"/>
      <c r="AQ88" s="187"/>
      <c r="AR88" s="89"/>
      <c r="AS88" s="90"/>
      <c r="AT88" s="118"/>
      <c r="AU88" s="118"/>
      <c r="AV88" s="118"/>
      <c r="AW88" s="118"/>
      <c r="AX88" s="33"/>
      <c r="AY88" s="33"/>
      <c r="AZ88" s="82"/>
      <c r="BA88" s="82"/>
      <c r="BB88" s="82"/>
      <c r="BC88" s="691"/>
    </row>
    <row r="89" spans="1:55" x14ac:dyDescent="0.25">
      <c r="A89" s="358">
        <v>43305</v>
      </c>
      <c r="B89" s="813" t="s">
        <v>874</v>
      </c>
      <c r="C89" s="91" t="s">
        <v>91</v>
      </c>
      <c r="D89" s="76"/>
      <c r="E89" s="76"/>
      <c r="F89" s="15"/>
      <c r="G89" s="15"/>
      <c r="H89" s="15"/>
      <c r="I89" s="15"/>
      <c r="J89" s="78"/>
      <c r="K89" s="78"/>
      <c r="L89" s="16"/>
      <c r="M89" s="16"/>
      <c r="N89" s="16"/>
      <c r="O89" s="16"/>
      <c r="P89" s="80"/>
      <c r="Q89" s="80"/>
      <c r="R89" s="17"/>
      <c r="S89" s="17"/>
      <c r="T89" s="17"/>
      <c r="U89" s="17"/>
      <c r="V89" s="117" t="s">
        <v>305</v>
      </c>
      <c r="W89" s="117"/>
      <c r="X89" s="82"/>
      <c r="Y89" s="82"/>
      <c r="Z89" s="82"/>
      <c r="AA89" s="82"/>
      <c r="AB89" s="18"/>
      <c r="AC89" s="18"/>
      <c r="AD89" s="86"/>
      <c r="AE89" s="86"/>
      <c r="AF89" s="84"/>
      <c r="AG89" s="84"/>
      <c r="AH89" s="41"/>
      <c r="AI89" s="41"/>
      <c r="AJ89" s="41"/>
      <c r="AK89" s="41"/>
      <c r="AL89" s="185"/>
      <c r="AM89" s="185"/>
      <c r="AN89" s="187"/>
      <c r="AO89" s="187"/>
      <c r="AP89" s="187"/>
      <c r="AQ89" s="187"/>
      <c r="AR89" s="89"/>
      <c r="AS89" s="90"/>
      <c r="AT89" s="118"/>
      <c r="AU89" s="118"/>
      <c r="AV89" s="118"/>
      <c r="AW89" s="118"/>
      <c r="AX89" s="33"/>
      <c r="AY89" s="33"/>
      <c r="AZ89" s="82"/>
      <c r="BA89" s="82"/>
      <c r="BB89" s="82"/>
      <c r="BC89" s="691"/>
    </row>
    <row r="90" spans="1:55" x14ac:dyDescent="0.25">
      <c r="A90" s="358">
        <v>43305</v>
      </c>
      <c r="B90" s="813" t="s">
        <v>881</v>
      </c>
      <c r="C90" s="91" t="s">
        <v>91</v>
      </c>
      <c r="D90" s="76"/>
      <c r="E90" s="76" t="s">
        <v>305</v>
      </c>
      <c r="F90" s="15"/>
      <c r="G90" s="15"/>
      <c r="H90" s="15"/>
      <c r="I90" s="15"/>
      <c r="J90" s="78"/>
      <c r="K90" s="78"/>
      <c r="L90" s="16"/>
      <c r="M90" s="16"/>
      <c r="N90" s="16"/>
      <c r="O90" s="16"/>
      <c r="P90" s="80"/>
      <c r="Q90" s="80"/>
      <c r="R90" s="17"/>
      <c r="S90" s="17"/>
      <c r="T90" s="17"/>
      <c r="U90" s="17"/>
      <c r="V90" s="412"/>
      <c r="W90" s="412"/>
      <c r="X90" s="82"/>
      <c r="Y90" s="82"/>
      <c r="Z90" s="82"/>
      <c r="AA90" s="82"/>
      <c r="AB90" s="18"/>
      <c r="AC90" s="18"/>
      <c r="AD90" s="86"/>
      <c r="AE90" s="86"/>
      <c r="AF90" s="84"/>
      <c r="AG90" s="84"/>
      <c r="AH90" s="41"/>
      <c r="AI90" s="41"/>
      <c r="AJ90" s="41"/>
      <c r="AK90" s="41"/>
      <c r="AL90" s="185"/>
      <c r="AM90" s="185"/>
      <c r="AN90" s="187"/>
      <c r="AO90" s="187"/>
      <c r="AP90" s="187"/>
      <c r="AQ90" s="187"/>
      <c r="AR90" s="89"/>
      <c r="AS90" s="90"/>
      <c r="AT90" s="413"/>
      <c r="AU90" s="413"/>
      <c r="AV90" s="413"/>
      <c r="AW90" s="413"/>
      <c r="AX90" s="414"/>
      <c r="AY90" s="414"/>
      <c r="AZ90" s="82"/>
      <c r="BA90" s="82"/>
      <c r="BB90" s="82"/>
      <c r="BC90" s="691"/>
    </row>
    <row r="91" spans="1:55" x14ac:dyDescent="0.25">
      <c r="A91" s="358">
        <v>43305</v>
      </c>
      <c r="B91" s="813" t="s">
        <v>882</v>
      </c>
      <c r="C91" s="91" t="s">
        <v>91</v>
      </c>
      <c r="D91" s="76"/>
      <c r="E91" s="76"/>
      <c r="F91" s="15"/>
      <c r="G91" s="15"/>
      <c r="H91" s="15"/>
      <c r="I91" s="15"/>
      <c r="J91" s="78"/>
      <c r="K91" s="78"/>
      <c r="L91" s="16"/>
      <c r="M91" s="16"/>
      <c r="N91" s="16"/>
      <c r="O91" s="16"/>
      <c r="P91" s="80"/>
      <c r="Q91" s="80"/>
      <c r="R91" s="17"/>
      <c r="S91" s="17"/>
      <c r="T91" s="17"/>
      <c r="U91" s="17"/>
      <c r="V91" s="117"/>
      <c r="W91" s="117" t="s">
        <v>305</v>
      </c>
      <c r="X91" s="82"/>
      <c r="Y91" s="82"/>
      <c r="Z91" s="82"/>
      <c r="AA91" s="82"/>
      <c r="AB91" s="18"/>
      <c r="AC91" s="18"/>
      <c r="AD91" s="86"/>
      <c r="AE91" s="86"/>
      <c r="AF91" s="84"/>
      <c r="AG91" s="84"/>
      <c r="AH91" s="41"/>
      <c r="AI91" s="41"/>
      <c r="AJ91" s="41"/>
      <c r="AK91" s="41"/>
      <c r="AL91" s="185"/>
      <c r="AM91" s="185"/>
      <c r="AN91" s="187"/>
      <c r="AO91" s="187"/>
      <c r="AP91" s="187"/>
      <c r="AQ91" s="187"/>
      <c r="AR91" s="89"/>
      <c r="AS91" s="90"/>
      <c r="AT91" s="118"/>
      <c r="AU91" s="118"/>
      <c r="AV91" s="118"/>
      <c r="AW91" s="118"/>
      <c r="AX91" s="33"/>
      <c r="AY91" s="33"/>
      <c r="AZ91" s="82"/>
      <c r="BA91" s="82"/>
      <c r="BB91" s="82"/>
      <c r="BC91" s="691"/>
    </row>
    <row r="92" spans="1:55" x14ac:dyDescent="0.25">
      <c r="A92" s="358">
        <v>43305</v>
      </c>
      <c r="B92" s="813" t="s">
        <v>883</v>
      </c>
      <c r="C92" s="91" t="s">
        <v>91</v>
      </c>
      <c r="D92" s="76"/>
      <c r="E92" s="76" t="s">
        <v>305</v>
      </c>
      <c r="F92" s="15"/>
      <c r="G92" s="15"/>
      <c r="H92" s="15"/>
      <c r="I92" s="15"/>
      <c r="J92" s="78"/>
      <c r="K92" s="78"/>
      <c r="L92" s="16"/>
      <c r="M92" s="16"/>
      <c r="N92" s="16"/>
      <c r="O92" s="16"/>
      <c r="P92" s="80"/>
      <c r="Q92" s="80"/>
      <c r="R92" s="17"/>
      <c r="S92" s="17"/>
      <c r="T92" s="17"/>
      <c r="U92" s="17"/>
      <c r="V92" s="117"/>
      <c r="W92" s="117"/>
      <c r="X92" s="82"/>
      <c r="Y92" s="82"/>
      <c r="Z92" s="82"/>
      <c r="AA92" s="82"/>
      <c r="AB92" s="18"/>
      <c r="AC92" s="18"/>
      <c r="AD92" s="86"/>
      <c r="AE92" s="86"/>
      <c r="AF92" s="84"/>
      <c r="AG92" s="84"/>
      <c r="AH92" s="41"/>
      <c r="AI92" s="41"/>
      <c r="AJ92" s="41"/>
      <c r="AK92" s="41"/>
      <c r="AL92" s="185"/>
      <c r="AM92" s="185"/>
      <c r="AN92" s="187"/>
      <c r="AO92" s="187"/>
      <c r="AP92" s="187"/>
      <c r="AQ92" s="187"/>
      <c r="AR92" s="89"/>
      <c r="AS92" s="90"/>
      <c r="AT92" s="118"/>
      <c r="AU92" s="118"/>
      <c r="AV92" s="118"/>
      <c r="AW92" s="118"/>
      <c r="AX92" s="33"/>
      <c r="AY92" s="33"/>
      <c r="AZ92" s="82"/>
      <c r="BA92" s="82"/>
      <c r="BB92" s="82"/>
      <c r="BC92" s="691"/>
    </row>
    <row r="93" spans="1:55" x14ac:dyDescent="0.25">
      <c r="A93" s="358">
        <v>43305</v>
      </c>
      <c r="B93" s="813" t="s">
        <v>888</v>
      </c>
      <c r="C93" s="91" t="s">
        <v>91</v>
      </c>
      <c r="D93" s="76"/>
      <c r="E93" s="76"/>
      <c r="F93" s="15"/>
      <c r="G93" s="15"/>
      <c r="H93" s="15"/>
      <c r="I93" s="15"/>
      <c r="J93" s="78"/>
      <c r="K93" s="78"/>
      <c r="L93" s="16"/>
      <c r="M93" s="16"/>
      <c r="N93" s="16"/>
      <c r="O93" s="16"/>
      <c r="P93" s="80"/>
      <c r="Q93" s="80"/>
      <c r="R93" s="17"/>
      <c r="S93" s="17"/>
      <c r="T93" s="17"/>
      <c r="U93" s="17"/>
      <c r="V93" s="394"/>
      <c r="W93" s="394" t="s">
        <v>305</v>
      </c>
      <c r="X93" s="82"/>
      <c r="Y93" s="82"/>
      <c r="Z93" s="82"/>
      <c r="AA93" s="82"/>
      <c r="AB93" s="18"/>
      <c r="AC93" s="18"/>
      <c r="AD93" s="86"/>
      <c r="AE93" s="86"/>
      <c r="AF93" s="84"/>
      <c r="AG93" s="84"/>
      <c r="AH93" s="41"/>
      <c r="AI93" s="41"/>
      <c r="AJ93" s="41"/>
      <c r="AK93" s="41"/>
      <c r="AL93" s="185"/>
      <c r="AM93" s="185"/>
      <c r="AN93" s="187"/>
      <c r="AO93" s="187"/>
      <c r="AP93" s="187"/>
      <c r="AQ93" s="187"/>
      <c r="AR93" s="89"/>
      <c r="AS93" s="90"/>
      <c r="AT93" s="396"/>
      <c r="AU93" s="396"/>
      <c r="AV93" s="396"/>
      <c r="AW93" s="396"/>
      <c r="AX93" s="397"/>
      <c r="AY93" s="397"/>
      <c r="AZ93" s="82"/>
      <c r="BA93" s="82"/>
      <c r="BB93" s="82"/>
      <c r="BC93" s="691"/>
    </row>
    <row r="94" spans="1:55" x14ac:dyDescent="0.25">
      <c r="A94" s="358">
        <v>43306</v>
      </c>
      <c r="B94" s="17" t="s">
        <v>896</v>
      </c>
      <c r="C94" s="687" t="s">
        <v>95</v>
      </c>
      <c r="D94" s="76"/>
      <c r="E94" s="76"/>
      <c r="F94" s="15"/>
      <c r="G94" s="15"/>
      <c r="H94" s="15"/>
      <c r="I94" s="15"/>
      <c r="J94" s="78"/>
      <c r="K94" s="78"/>
      <c r="L94" s="16"/>
      <c r="M94" s="16"/>
      <c r="N94" s="16"/>
      <c r="O94" s="16"/>
      <c r="P94" s="80"/>
      <c r="Q94" s="80"/>
      <c r="R94" s="17"/>
      <c r="S94" s="17"/>
      <c r="T94" s="17"/>
      <c r="U94" s="17"/>
      <c r="V94" s="685"/>
      <c r="W94" s="685"/>
      <c r="X94" s="82"/>
      <c r="Y94" s="82"/>
      <c r="Z94" s="82" t="s">
        <v>305</v>
      </c>
      <c r="AA94" s="82"/>
      <c r="AB94" s="18"/>
      <c r="AC94" s="18"/>
      <c r="AD94" s="86"/>
      <c r="AE94" s="86"/>
      <c r="AF94" s="84"/>
      <c r="AG94" s="84"/>
      <c r="AH94" s="41"/>
      <c r="AI94" s="41"/>
      <c r="AJ94" s="41"/>
      <c r="AK94" s="41"/>
      <c r="AL94" s="185"/>
      <c r="AM94" s="185"/>
      <c r="AN94" s="187"/>
      <c r="AO94" s="187"/>
      <c r="AP94" s="187"/>
      <c r="AQ94" s="187"/>
      <c r="AR94" s="89"/>
      <c r="AS94" s="90"/>
      <c r="AT94" s="686"/>
      <c r="AU94" s="686"/>
      <c r="AV94" s="686"/>
      <c r="AW94" s="686"/>
      <c r="AX94" s="688"/>
      <c r="AY94" s="688"/>
      <c r="AZ94" s="82"/>
      <c r="BA94" s="82"/>
      <c r="BB94" s="82"/>
      <c r="BC94" s="691"/>
    </row>
    <row r="95" spans="1:55" x14ac:dyDescent="0.25">
      <c r="A95" s="358">
        <v>43306</v>
      </c>
      <c r="B95" s="813" t="s">
        <v>900</v>
      </c>
      <c r="C95" s="91" t="s">
        <v>91</v>
      </c>
      <c r="D95" s="76"/>
      <c r="E95" s="76" t="s">
        <v>305</v>
      </c>
      <c r="F95" s="15"/>
      <c r="G95" s="15"/>
      <c r="H95" s="15"/>
      <c r="I95" s="15"/>
      <c r="J95" s="78"/>
      <c r="K95" s="78"/>
      <c r="L95" s="16"/>
      <c r="M95" s="16"/>
      <c r="N95" s="16"/>
      <c r="O95" s="16"/>
      <c r="P95" s="80"/>
      <c r="Q95" s="80"/>
      <c r="R95" s="17"/>
      <c r="S95" s="17"/>
      <c r="T95" s="17"/>
      <c r="U95" s="17"/>
      <c r="V95" s="117"/>
      <c r="W95" s="117"/>
      <c r="X95" s="82"/>
      <c r="Y95" s="82"/>
      <c r="Z95" s="82"/>
      <c r="AA95" s="82"/>
      <c r="AB95" s="18"/>
      <c r="AC95" s="18"/>
      <c r="AD95" s="86"/>
      <c r="AE95" s="86"/>
      <c r="AF95" s="84"/>
      <c r="AG95" s="84"/>
      <c r="AH95" s="41"/>
      <c r="AI95" s="41"/>
      <c r="AJ95" s="41"/>
      <c r="AK95" s="41"/>
      <c r="AL95" s="185"/>
      <c r="AM95" s="185"/>
      <c r="AN95" s="187"/>
      <c r="AO95" s="187"/>
      <c r="AP95" s="187"/>
      <c r="AQ95" s="187"/>
      <c r="AR95" s="89"/>
      <c r="AS95" s="90"/>
      <c r="AT95" s="118"/>
      <c r="AU95" s="118"/>
      <c r="AV95" s="118"/>
      <c r="AW95" s="118"/>
      <c r="AX95" s="33"/>
      <c r="AY95" s="33"/>
      <c r="AZ95" s="82"/>
      <c r="BA95" s="82"/>
      <c r="BB95" s="82"/>
      <c r="BC95" s="691"/>
    </row>
    <row r="96" spans="1:55" x14ac:dyDescent="0.25">
      <c r="A96" s="358">
        <v>43309</v>
      </c>
      <c r="B96" s="17" t="s">
        <v>968</v>
      </c>
      <c r="C96" s="91" t="s">
        <v>95</v>
      </c>
      <c r="D96" s="76"/>
      <c r="E96" s="76"/>
      <c r="F96" s="15"/>
      <c r="G96" s="15"/>
      <c r="H96" s="15"/>
      <c r="I96" s="15"/>
      <c r="J96" s="78"/>
      <c r="K96" s="78"/>
      <c r="L96" s="16"/>
      <c r="M96" s="16"/>
      <c r="N96" s="16"/>
      <c r="O96" s="16"/>
      <c r="P96" s="80"/>
      <c r="Q96" s="80"/>
      <c r="R96" s="17"/>
      <c r="S96" s="17"/>
      <c r="T96" s="17"/>
      <c r="U96" s="17"/>
      <c r="V96" s="352"/>
      <c r="W96" s="352"/>
      <c r="X96" s="82"/>
      <c r="Y96" s="82"/>
      <c r="Z96" s="82" t="s">
        <v>305</v>
      </c>
      <c r="AA96" s="82"/>
      <c r="AB96" s="18"/>
      <c r="AC96" s="18"/>
      <c r="AD96" s="86"/>
      <c r="AE96" s="86"/>
      <c r="AF96" s="84"/>
      <c r="AG96" s="84"/>
      <c r="AH96" s="41"/>
      <c r="AI96" s="41"/>
      <c r="AJ96" s="41"/>
      <c r="AK96" s="41"/>
      <c r="AL96" s="185"/>
      <c r="AM96" s="185"/>
      <c r="AN96" s="187"/>
      <c r="AO96" s="187"/>
      <c r="AP96" s="187"/>
      <c r="AQ96" s="187"/>
      <c r="AR96" s="89"/>
      <c r="AS96" s="90"/>
      <c r="AT96" s="353"/>
      <c r="AU96" s="353"/>
      <c r="AV96" s="353"/>
      <c r="AW96" s="353"/>
      <c r="AX96" s="354"/>
      <c r="AY96" s="354"/>
      <c r="AZ96" s="82"/>
      <c r="BA96" s="82"/>
      <c r="BB96" s="82"/>
      <c r="BC96" s="691"/>
    </row>
    <row r="97" spans="1:55" x14ac:dyDescent="0.25">
      <c r="A97" s="358">
        <v>43311</v>
      </c>
      <c r="B97" s="78" t="s">
        <v>944</v>
      </c>
      <c r="C97" s="91" t="s">
        <v>93</v>
      </c>
      <c r="D97" s="76"/>
      <c r="E97" s="76"/>
      <c r="F97" s="15"/>
      <c r="G97" s="15"/>
      <c r="H97" s="15"/>
      <c r="I97" s="15"/>
      <c r="J97" s="78" t="s">
        <v>305</v>
      </c>
      <c r="K97" s="78"/>
      <c r="L97" s="16"/>
      <c r="M97" s="16"/>
      <c r="N97" s="16"/>
      <c r="O97" s="16"/>
      <c r="P97" s="80"/>
      <c r="Q97" s="80"/>
      <c r="R97" s="17"/>
      <c r="S97" s="17"/>
      <c r="T97" s="17"/>
      <c r="U97" s="17"/>
      <c r="V97" s="146"/>
      <c r="W97" s="146"/>
      <c r="X97" s="82"/>
      <c r="Y97" s="82"/>
      <c r="Z97" s="82"/>
      <c r="AA97" s="82"/>
      <c r="AB97" s="18"/>
      <c r="AC97" s="18"/>
      <c r="AD97" s="86"/>
      <c r="AE97" s="86"/>
      <c r="AF97" s="84"/>
      <c r="AG97" s="84"/>
      <c r="AH97" s="41"/>
      <c r="AI97" s="41"/>
      <c r="AJ97" s="41"/>
      <c r="AK97" s="41"/>
      <c r="AL97" s="185"/>
      <c r="AM97" s="185"/>
      <c r="AN97" s="187"/>
      <c r="AO97" s="187"/>
      <c r="AP97" s="187"/>
      <c r="AQ97" s="187"/>
      <c r="AR97" s="89"/>
      <c r="AS97" s="90"/>
      <c r="AT97" s="147"/>
      <c r="AU97" s="147"/>
      <c r="AV97" s="147"/>
      <c r="AW97" s="147"/>
      <c r="AX97" s="33"/>
      <c r="AY97" s="33"/>
      <c r="AZ97" s="82"/>
      <c r="BA97" s="82"/>
      <c r="BB97" s="82"/>
      <c r="BC97" s="691"/>
    </row>
    <row r="98" spans="1:55" x14ac:dyDescent="0.25">
      <c r="A98" s="358">
        <v>43317</v>
      </c>
      <c r="B98" s="813" t="s">
        <v>971</v>
      </c>
      <c r="C98" s="91" t="s">
        <v>91</v>
      </c>
      <c r="D98" s="76"/>
      <c r="E98" s="76"/>
      <c r="F98" s="15"/>
      <c r="G98" s="15"/>
      <c r="H98" s="15"/>
      <c r="I98" s="15"/>
      <c r="J98" s="78"/>
      <c r="K98" s="78"/>
      <c r="L98" s="16"/>
      <c r="M98" s="16"/>
      <c r="N98" s="16"/>
      <c r="O98" s="16"/>
      <c r="P98" s="80"/>
      <c r="Q98" s="80"/>
      <c r="R98" s="17"/>
      <c r="S98" s="17"/>
      <c r="T98" s="17" t="s">
        <v>305</v>
      </c>
      <c r="U98" s="17"/>
      <c r="V98" s="117"/>
      <c r="W98" s="117"/>
      <c r="X98" s="82"/>
      <c r="Y98" s="82"/>
      <c r="Z98" s="82"/>
      <c r="AA98" s="82"/>
      <c r="AB98" s="18"/>
      <c r="AC98" s="18"/>
      <c r="AD98" s="86"/>
      <c r="AE98" s="86"/>
      <c r="AF98" s="84"/>
      <c r="AG98" s="84"/>
      <c r="AH98" s="41"/>
      <c r="AI98" s="41"/>
      <c r="AJ98" s="41"/>
      <c r="AK98" s="41"/>
      <c r="AL98" s="185"/>
      <c r="AM98" s="185"/>
      <c r="AN98" s="187"/>
      <c r="AO98" s="187"/>
      <c r="AP98" s="187"/>
      <c r="AQ98" s="187"/>
      <c r="AR98" s="89"/>
      <c r="AS98" s="90"/>
      <c r="AT98" s="118"/>
      <c r="AU98" s="118"/>
      <c r="AV98" s="118"/>
      <c r="AW98" s="118"/>
      <c r="AX98" s="33"/>
      <c r="AY98" s="33"/>
      <c r="AZ98" s="82"/>
      <c r="BA98" s="82"/>
      <c r="BB98" s="82"/>
      <c r="BC98" s="691"/>
    </row>
    <row r="99" spans="1:55" x14ac:dyDescent="0.25">
      <c r="A99" s="358">
        <v>43317</v>
      </c>
      <c r="B99" s="813" t="s">
        <v>975</v>
      </c>
      <c r="C99" s="91" t="s">
        <v>91</v>
      </c>
      <c r="D99" s="76" t="s">
        <v>305</v>
      </c>
      <c r="E99" s="76"/>
      <c r="F99" s="15"/>
      <c r="G99" s="15"/>
      <c r="H99" s="15"/>
      <c r="I99" s="15"/>
      <c r="J99" s="78"/>
      <c r="K99" s="78"/>
      <c r="L99" s="16"/>
      <c r="M99" s="16"/>
      <c r="N99" s="16"/>
      <c r="O99" s="16"/>
      <c r="P99" s="80"/>
      <c r="Q99" s="80"/>
      <c r="R99" s="17"/>
      <c r="S99" s="17"/>
      <c r="T99" s="17"/>
      <c r="U99" s="17"/>
      <c r="V99" s="398"/>
      <c r="W99" s="398"/>
      <c r="X99" s="82"/>
      <c r="Y99" s="82"/>
      <c r="Z99" s="82"/>
      <c r="AA99" s="82"/>
      <c r="AB99" s="18"/>
      <c r="AC99" s="18"/>
      <c r="AD99" s="86"/>
      <c r="AE99" s="86"/>
      <c r="AF99" s="84"/>
      <c r="AG99" s="84"/>
      <c r="AH99" s="41"/>
      <c r="AI99" s="41"/>
      <c r="AJ99" s="41"/>
      <c r="AK99" s="41"/>
      <c r="AL99" s="185"/>
      <c r="AM99" s="185"/>
      <c r="AN99" s="187"/>
      <c r="AO99" s="187"/>
      <c r="AP99" s="187"/>
      <c r="AQ99" s="187"/>
      <c r="AR99" s="89"/>
      <c r="AS99" s="90"/>
      <c r="AT99" s="400"/>
      <c r="AU99" s="400"/>
      <c r="AV99" s="400"/>
      <c r="AW99" s="400"/>
      <c r="AX99" s="401"/>
      <c r="AY99" s="401"/>
      <c r="AZ99" s="82"/>
      <c r="BA99" s="82"/>
      <c r="BB99" s="82"/>
      <c r="BC99" s="691"/>
    </row>
    <row r="100" spans="1:55" x14ac:dyDescent="0.25">
      <c r="A100" s="358">
        <v>43317</v>
      </c>
      <c r="B100" s="17" t="s">
        <v>998</v>
      </c>
      <c r="C100" s="91" t="s">
        <v>95</v>
      </c>
      <c r="D100" s="76"/>
      <c r="E100" s="76"/>
      <c r="F100" s="15"/>
      <c r="G100" s="15"/>
      <c r="H100" s="15"/>
      <c r="I100" s="15"/>
      <c r="J100" s="78"/>
      <c r="K100" s="78"/>
      <c r="L100" s="16" t="s">
        <v>305</v>
      </c>
      <c r="M100" s="16"/>
      <c r="N100" s="16"/>
      <c r="O100" s="16"/>
      <c r="P100" s="80"/>
      <c r="Q100" s="80"/>
      <c r="R100" s="17"/>
      <c r="S100" s="17"/>
      <c r="T100" s="17"/>
      <c r="U100" s="17"/>
      <c r="V100" s="117"/>
      <c r="W100" s="117"/>
      <c r="X100" s="82"/>
      <c r="Y100" s="82"/>
      <c r="Z100" s="82"/>
      <c r="AA100" s="82"/>
      <c r="AB100" s="18"/>
      <c r="AC100" s="18"/>
      <c r="AD100" s="86"/>
      <c r="AE100" s="86"/>
      <c r="AF100" s="84"/>
      <c r="AG100" s="84"/>
      <c r="AH100" s="41"/>
      <c r="AI100" s="41"/>
      <c r="AJ100" s="41"/>
      <c r="AK100" s="41"/>
      <c r="AL100" s="185"/>
      <c r="AM100" s="185"/>
      <c r="AN100" s="187"/>
      <c r="AO100" s="187"/>
      <c r="AP100" s="187"/>
      <c r="AQ100" s="187"/>
      <c r="AR100" s="89"/>
      <c r="AS100" s="90"/>
      <c r="AT100" s="118"/>
      <c r="AU100" s="118"/>
      <c r="AV100" s="118"/>
      <c r="AW100" s="118"/>
      <c r="AX100" s="33"/>
      <c r="AY100" s="33"/>
      <c r="AZ100" s="82"/>
      <c r="BA100" s="82"/>
      <c r="BB100" s="82"/>
      <c r="BC100" s="691"/>
    </row>
    <row r="101" spans="1:55" x14ac:dyDescent="0.25">
      <c r="A101" s="358">
        <v>43317</v>
      </c>
      <c r="B101" s="813" t="s">
        <v>995</v>
      </c>
      <c r="C101" s="91" t="s">
        <v>91</v>
      </c>
      <c r="D101" s="76" t="s">
        <v>305</v>
      </c>
      <c r="E101" s="76"/>
      <c r="F101" s="15"/>
      <c r="G101" s="15"/>
      <c r="H101" s="15"/>
      <c r="I101" s="15"/>
      <c r="J101" s="78"/>
      <c r="K101" s="78"/>
      <c r="L101" s="16"/>
      <c r="M101" s="16"/>
      <c r="N101" s="16"/>
      <c r="O101" s="16"/>
      <c r="P101" s="80"/>
      <c r="Q101" s="80"/>
      <c r="R101" s="17"/>
      <c r="S101" s="17"/>
      <c r="T101" s="17"/>
      <c r="U101" s="17"/>
      <c r="V101" s="145"/>
      <c r="W101" s="117"/>
      <c r="X101" s="82"/>
      <c r="Y101" s="82"/>
      <c r="Z101" s="82"/>
      <c r="AA101" s="82"/>
      <c r="AB101" s="18"/>
      <c r="AC101" s="18"/>
      <c r="AD101" s="86"/>
      <c r="AE101" s="86"/>
      <c r="AF101" s="84"/>
      <c r="AG101" s="84"/>
      <c r="AH101" s="41"/>
      <c r="AI101" s="41"/>
      <c r="AJ101" s="41"/>
      <c r="AK101" s="41"/>
      <c r="AL101" s="185"/>
      <c r="AM101" s="185"/>
      <c r="AN101" s="187"/>
      <c r="AO101" s="187"/>
      <c r="AP101" s="187"/>
      <c r="AQ101" s="187"/>
      <c r="AR101" s="89"/>
      <c r="AS101" s="90"/>
      <c r="AT101" s="118"/>
      <c r="AU101" s="118"/>
      <c r="AV101" s="118"/>
      <c r="AW101" s="118"/>
      <c r="AX101" s="33"/>
      <c r="AY101" s="33"/>
      <c r="AZ101" s="82"/>
      <c r="BA101" s="82"/>
      <c r="BB101" s="82"/>
      <c r="BC101" s="691"/>
    </row>
    <row r="102" spans="1:55" x14ac:dyDescent="0.25">
      <c r="A102" s="358">
        <v>43318</v>
      </c>
      <c r="B102" s="813" t="s">
        <v>1001</v>
      </c>
      <c r="C102" s="91" t="s">
        <v>91</v>
      </c>
      <c r="D102" s="76"/>
      <c r="E102" s="76"/>
      <c r="F102" s="15"/>
      <c r="G102" s="15"/>
      <c r="H102" s="15"/>
      <c r="I102" s="15"/>
      <c r="J102" s="78"/>
      <c r="K102" s="78"/>
      <c r="L102" s="16"/>
      <c r="M102" s="16"/>
      <c r="N102" s="16"/>
      <c r="O102" s="16"/>
      <c r="P102" s="80"/>
      <c r="Q102" s="80"/>
      <c r="R102" s="17"/>
      <c r="S102" s="17"/>
      <c r="T102" s="17"/>
      <c r="U102" s="17"/>
      <c r="V102" s="117" t="s">
        <v>305</v>
      </c>
      <c r="W102" s="117"/>
      <c r="X102" s="82"/>
      <c r="Y102" s="82"/>
      <c r="Z102" s="82"/>
      <c r="AA102" s="82"/>
      <c r="AB102" s="18"/>
      <c r="AC102" s="18"/>
      <c r="AD102" s="86"/>
      <c r="AE102" s="86"/>
      <c r="AF102" s="84"/>
      <c r="AG102" s="84"/>
      <c r="AH102" s="41"/>
      <c r="AI102" s="41"/>
      <c r="AJ102" s="41"/>
      <c r="AK102" s="41"/>
      <c r="AL102" s="185"/>
      <c r="AM102" s="185"/>
      <c r="AN102" s="187"/>
      <c r="AO102" s="187"/>
      <c r="AP102" s="187"/>
      <c r="AQ102" s="187"/>
      <c r="AR102" s="89"/>
      <c r="AS102" s="90"/>
      <c r="AT102" s="118"/>
      <c r="AU102" s="118"/>
      <c r="AV102" s="118"/>
      <c r="AW102" s="118"/>
      <c r="AX102" s="33"/>
      <c r="AY102" s="33"/>
      <c r="AZ102" s="82"/>
      <c r="BA102" s="82"/>
      <c r="BB102" s="82"/>
      <c r="BC102" s="691"/>
    </row>
    <row r="103" spans="1:55" x14ac:dyDescent="0.25">
      <c r="A103" s="358">
        <v>43319</v>
      </c>
      <c r="B103" s="813" t="s">
        <v>1019</v>
      </c>
      <c r="C103" s="91" t="s">
        <v>91</v>
      </c>
      <c r="D103" s="76" t="s">
        <v>305</v>
      </c>
      <c r="E103" s="76"/>
      <c r="F103" s="15"/>
      <c r="G103" s="15"/>
      <c r="H103" s="15"/>
      <c r="I103" s="15"/>
      <c r="J103" s="78"/>
      <c r="K103" s="78"/>
      <c r="L103" s="16"/>
      <c r="M103" s="134"/>
      <c r="N103" s="16"/>
      <c r="O103" s="16"/>
      <c r="P103" s="80"/>
      <c r="Q103" s="80"/>
      <c r="R103" s="17"/>
      <c r="S103" s="17"/>
      <c r="T103" s="17"/>
      <c r="U103" s="17"/>
      <c r="V103" s="117"/>
      <c r="W103" s="117"/>
      <c r="X103" s="82"/>
      <c r="Y103" s="82"/>
      <c r="Z103" s="82"/>
      <c r="AA103" s="82"/>
      <c r="AB103" s="18"/>
      <c r="AC103" s="18"/>
      <c r="AD103" s="86"/>
      <c r="AE103" s="86"/>
      <c r="AF103" s="84"/>
      <c r="AG103" s="84"/>
      <c r="AH103" s="41"/>
      <c r="AI103" s="41"/>
      <c r="AJ103" s="41"/>
      <c r="AK103" s="41"/>
      <c r="AL103" s="185"/>
      <c r="AM103" s="185"/>
      <c r="AN103" s="187"/>
      <c r="AO103" s="187"/>
      <c r="AP103" s="187"/>
      <c r="AQ103" s="187"/>
      <c r="AR103" s="89"/>
      <c r="AS103" s="90"/>
      <c r="AT103" s="118"/>
      <c r="AU103" s="118"/>
      <c r="AV103" s="118"/>
      <c r="AW103" s="118"/>
      <c r="AX103" s="33"/>
      <c r="AY103" s="33"/>
      <c r="AZ103" s="82"/>
      <c r="BA103" s="82"/>
      <c r="BB103" s="82"/>
      <c r="BC103" s="691"/>
    </row>
    <row r="104" spans="1:55" x14ac:dyDescent="0.25">
      <c r="A104" s="358">
        <v>43324</v>
      </c>
      <c r="B104" s="17" t="s">
        <v>1036</v>
      </c>
      <c r="C104" s="91" t="s">
        <v>95</v>
      </c>
      <c r="D104" s="76"/>
      <c r="E104" s="76"/>
      <c r="F104" s="15"/>
      <c r="G104" s="15"/>
      <c r="H104" s="15"/>
      <c r="I104" s="15"/>
      <c r="J104" s="78"/>
      <c r="K104" s="78"/>
      <c r="L104" s="16"/>
      <c r="M104" s="16"/>
      <c r="N104" s="16"/>
      <c r="O104" s="16"/>
      <c r="P104" s="80" t="s">
        <v>305</v>
      </c>
      <c r="Q104" s="80"/>
      <c r="R104" s="17"/>
      <c r="S104" s="17"/>
      <c r="T104" s="17"/>
      <c r="U104" s="17"/>
      <c r="V104" s="117"/>
      <c r="W104" s="146"/>
      <c r="X104" s="82"/>
      <c r="Y104" s="82"/>
      <c r="Z104" s="82"/>
      <c r="AA104" s="82"/>
      <c r="AB104" s="18"/>
      <c r="AC104" s="18"/>
      <c r="AD104" s="86"/>
      <c r="AE104" s="86"/>
      <c r="AF104" s="84"/>
      <c r="AG104" s="84"/>
      <c r="AH104" s="41"/>
      <c r="AI104" s="41"/>
      <c r="AJ104" s="41"/>
      <c r="AK104" s="41"/>
      <c r="AL104" s="185"/>
      <c r="AM104" s="185"/>
      <c r="AN104" s="187"/>
      <c r="AO104" s="187"/>
      <c r="AP104" s="187"/>
      <c r="AQ104" s="187"/>
      <c r="AR104" s="89"/>
      <c r="AS104" s="90"/>
      <c r="AT104" s="118"/>
      <c r="AU104" s="118"/>
      <c r="AV104" s="118"/>
      <c r="AW104" s="118"/>
      <c r="AX104" s="33"/>
      <c r="AY104" s="33"/>
      <c r="AZ104" s="82"/>
      <c r="BA104" s="82"/>
      <c r="BB104" s="82"/>
      <c r="BC104" s="691"/>
    </row>
    <row r="105" spans="1:55" x14ac:dyDescent="0.25">
      <c r="A105" s="358">
        <v>43324</v>
      </c>
      <c r="B105" s="813" t="s">
        <v>1037</v>
      </c>
      <c r="C105" s="91" t="s">
        <v>91</v>
      </c>
      <c r="D105" s="76"/>
      <c r="E105" s="76"/>
      <c r="F105" s="15"/>
      <c r="G105" s="15"/>
      <c r="H105" s="15"/>
      <c r="I105" s="15"/>
      <c r="J105" s="78"/>
      <c r="K105" s="78"/>
      <c r="L105" s="16"/>
      <c r="M105" s="16"/>
      <c r="N105" s="16"/>
      <c r="O105" s="16"/>
      <c r="P105" s="80"/>
      <c r="Q105" s="80"/>
      <c r="R105" s="17"/>
      <c r="S105" s="17"/>
      <c r="T105" s="17"/>
      <c r="U105" s="17"/>
      <c r="V105" s="117"/>
      <c r="W105" s="148"/>
      <c r="X105" s="82"/>
      <c r="Y105" s="82"/>
      <c r="Z105" s="82"/>
      <c r="AA105" s="82"/>
      <c r="AB105" s="18"/>
      <c r="AC105" s="18"/>
      <c r="AD105" s="86"/>
      <c r="AE105" s="86"/>
      <c r="AF105" s="84" t="s">
        <v>305</v>
      </c>
      <c r="AG105" s="84"/>
      <c r="AH105" s="41"/>
      <c r="AI105" s="41"/>
      <c r="AJ105" s="41"/>
      <c r="AK105" s="41"/>
      <c r="AL105" s="185"/>
      <c r="AM105" s="185"/>
      <c r="AN105" s="187"/>
      <c r="AO105" s="187"/>
      <c r="AP105" s="187"/>
      <c r="AQ105" s="187"/>
      <c r="AR105" s="89"/>
      <c r="AS105" s="90"/>
      <c r="AT105" s="118"/>
      <c r="AU105" s="118"/>
      <c r="AV105" s="118"/>
      <c r="AW105" s="118"/>
      <c r="AX105" s="33"/>
      <c r="AY105" s="33"/>
      <c r="AZ105" s="82"/>
      <c r="BA105" s="82"/>
      <c r="BB105" s="82"/>
      <c r="BC105" s="691"/>
    </row>
    <row r="106" spans="1:55" x14ac:dyDescent="0.25">
      <c r="A106" s="358">
        <v>43325</v>
      </c>
      <c r="B106" s="813" t="s">
        <v>1050</v>
      </c>
      <c r="C106" s="91" t="s">
        <v>91</v>
      </c>
      <c r="D106" s="76"/>
      <c r="E106" s="76"/>
      <c r="F106" s="15"/>
      <c r="G106" s="15"/>
      <c r="H106" s="15"/>
      <c r="I106" s="15"/>
      <c r="J106" s="78"/>
      <c r="K106" s="78"/>
      <c r="L106" s="16"/>
      <c r="M106" s="16"/>
      <c r="N106" s="16"/>
      <c r="O106" s="16"/>
      <c r="P106" s="80"/>
      <c r="Q106" s="80"/>
      <c r="R106" s="17"/>
      <c r="S106" s="17"/>
      <c r="T106" s="17"/>
      <c r="U106" s="17"/>
      <c r="V106" s="117" t="s">
        <v>305</v>
      </c>
      <c r="W106" s="117"/>
      <c r="X106" s="82"/>
      <c r="Y106" s="82"/>
      <c r="Z106" s="82"/>
      <c r="AA106" s="82"/>
      <c r="AB106" s="18"/>
      <c r="AC106" s="18"/>
      <c r="AD106" s="86"/>
      <c r="AE106" s="86"/>
      <c r="AF106" s="84"/>
      <c r="AG106" s="84"/>
      <c r="AH106" s="41"/>
      <c r="AI106" s="41"/>
      <c r="AJ106" s="41"/>
      <c r="AK106" s="41"/>
      <c r="AL106" s="185"/>
      <c r="AM106" s="185"/>
      <c r="AN106" s="187"/>
      <c r="AO106" s="187"/>
      <c r="AP106" s="187"/>
      <c r="AQ106" s="187"/>
      <c r="AR106" s="89"/>
      <c r="AS106" s="90"/>
      <c r="AT106" s="118"/>
      <c r="AU106" s="118"/>
      <c r="AV106" s="118"/>
      <c r="AW106" s="118"/>
      <c r="AX106" s="33"/>
      <c r="AY106" s="33"/>
      <c r="AZ106" s="82"/>
      <c r="BA106" s="82"/>
      <c r="BB106" s="82"/>
      <c r="BC106" s="691"/>
    </row>
    <row r="107" spans="1:55" x14ac:dyDescent="0.25">
      <c r="A107" s="358">
        <v>43325</v>
      </c>
      <c r="B107" s="813" t="s">
        <v>1051</v>
      </c>
      <c r="C107" s="91" t="s">
        <v>91</v>
      </c>
      <c r="D107" s="76" t="s">
        <v>305</v>
      </c>
      <c r="E107" s="76"/>
      <c r="F107" s="15"/>
      <c r="G107" s="15"/>
      <c r="H107" s="15"/>
      <c r="I107" s="15"/>
      <c r="J107" s="78"/>
      <c r="K107" s="78"/>
      <c r="L107" s="16"/>
      <c r="M107" s="16"/>
      <c r="N107" s="16"/>
      <c r="O107" s="16"/>
      <c r="P107" s="80"/>
      <c r="Q107" s="80"/>
      <c r="R107" s="17"/>
      <c r="S107" s="17"/>
      <c r="T107" s="17"/>
      <c r="U107" s="17"/>
      <c r="V107" s="117"/>
      <c r="W107" s="117"/>
      <c r="X107" s="82"/>
      <c r="Y107" s="82"/>
      <c r="Z107" s="82"/>
      <c r="AA107" s="82"/>
      <c r="AB107" s="18"/>
      <c r="AC107" s="18"/>
      <c r="AD107" s="86"/>
      <c r="AE107" s="86"/>
      <c r="AF107" s="84"/>
      <c r="AG107" s="84"/>
      <c r="AH107" s="41"/>
      <c r="AI107" s="41"/>
      <c r="AJ107" s="41"/>
      <c r="AK107" s="41"/>
      <c r="AL107" s="185"/>
      <c r="AM107" s="185"/>
      <c r="AN107" s="187"/>
      <c r="AO107" s="187"/>
      <c r="AP107" s="187"/>
      <c r="AQ107" s="187"/>
      <c r="AR107" s="89"/>
      <c r="AS107" s="90"/>
      <c r="AT107" s="118"/>
      <c r="AU107" s="118"/>
      <c r="AV107" s="118"/>
      <c r="AW107" s="118"/>
      <c r="AX107" s="33"/>
      <c r="AY107" s="33"/>
      <c r="AZ107" s="82"/>
      <c r="BA107" s="82"/>
      <c r="BB107" s="82"/>
      <c r="BC107" s="691"/>
    </row>
    <row r="108" spans="1:55" x14ac:dyDescent="0.25">
      <c r="A108" s="358">
        <v>43327</v>
      </c>
      <c r="B108" s="813" t="s">
        <v>1057</v>
      </c>
      <c r="C108" s="91" t="s">
        <v>91</v>
      </c>
      <c r="D108" s="76"/>
      <c r="E108" s="76"/>
      <c r="F108" s="15"/>
      <c r="G108" s="15"/>
      <c r="H108" s="15"/>
      <c r="I108" s="15"/>
      <c r="J108" s="78"/>
      <c r="K108" s="78"/>
      <c r="L108" s="16"/>
      <c r="M108" s="16"/>
      <c r="N108" s="16"/>
      <c r="O108" s="16"/>
      <c r="P108" s="80"/>
      <c r="Q108" s="80"/>
      <c r="R108" s="17"/>
      <c r="S108" s="17"/>
      <c r="T108" s="17"/>
      <c r="U108" s="17"/>
      <c r="V108" s="117" t="s">
        <v>305</v>
      </c>
      <c r="W108" s="117"/>
      <c r="X108" s="82"/>
      <c r="Y108" s="82"/>
      <c r="Z108" s="82"/>
      <c r="AA108" s="82"/>
      <c r="AB108" s="18"/>
      <c r="AC108" s="18"/>
      <c r="AD108" s="86"/>
      <c r="AE108" s="86"/>
      <c r="AF108" s="84"/>
      <c r="AG108" s="84"/>
      <c r="AH108" s="41"/>
      <c r="AI108" s="41"/>
      <c r="AJ108" s="41"/>
      <c r="AK108" s="41"/>
      <c r="AL108" s="185"/>
      <c r="AM108" s="185"/>
      <c r="AN108" s="187"/>
      <c r="AO108" s="187"/>
      <c r="AP108" s="187"/>
      <c r="AQ108" s="187"/>
      <c r="AR108" s="89"/>
      <c r="AS108" s="90"/>
      <c r="AT108" s="118"/>
      <c r="AU108" s="118"/>
      <c r="AV108" s="118"/>
      <c r="AW108" s="118"/>
      <c r="AX108" s="33"/>
      <c r="AY108" s="33"/>
      <c r="AZ108" s="82"/>
      <c r="BA108" s="82"/>
      <c r="BB108" s="82"/>
      <c r="BC108" s="691"/>
    </row>
    <row r="109" spans="1:55" x14ac:dyDescent="0.25">
      <c r="A109" s="358">
        <v>43328</v>
      </c>
      <c r="B109" s="813" t="s">
        <v>1062</v>
      </c>
      <c r="C109" s="629" t="s">
        <v>91</v>
      </c>
      <c r="D109" s="76"/>
      <c r="E109" s="76"/>
      <c r="F109" s="15"/>
      <c r="G109" s="15"/>
      <c r="H109" s="15"/>
      <c r="I109" s="15"/>
      <c r="J109" s="78"/>
      <c r="K109" s="78"/>
      <c r="L109" s="16"/>
      <c r="M109" s="16"/>
      <c r="N109" s="16"/>
      <c r="O109" s="16"/>
      <c r="P109" s="80"/>
      <c r="Q109" s="80"/>
      <c r="R109" s="17"/>
      <c r="S109" s="17"/>
      <c r="T109" s="17"/>
      <c r="U109" s="17"/>
      <c r="V109" s="117" t="s">
        <v>305</v>
      </c>
      <c r="W109" s="117"/>
      <c r="X109" s="82"/>
      <c r="Y109" s="82"/>
      <c r="Z109" s="82"/>
      <c r="AA109" s="82"/>
      <c r="AB109" s="18"/>
      <c r="AC109" s="18"/>
      <c r="AD109" s="86"/>
      <c r="AE109" s="86"/>
      <c r="AF109" s="84"/>
      <c r="AG109" s="84"/>
      <c r="AH109" s="41"/>
      <c r="AI109" s="41"/>
      <c r="AJ109" s="41"/>
      <c r="AK109" s="41"/>
      <c r="AL109" s="185"/>
      <c r="AM109" s="185"/>
      <c r="AN109" s="187"/>
      <c r="AO109" s="187"/>
      <c r="AP109" s="187"/>
      <c r="AQ109" s="187"/>
      <c r="AR109" s="89"/>
      <c r="AS109" s="90"/>
      <c r="AT109" s="118"/>
      <c r="AU109" s="118"/>
      <c r="AV109" s="118"/>
      <c r="AW109" s="118"/>
      <c r="AX109" s="33"/>
      <c r="AY109" s="33"/>
      <c r="AZ109" s="82"/>
      <c r="BA109" s="82"/>
      <c r="BB109" s="82"/>
      <c r="BC109" s="691"/>
    </row>
    <row r="110" spans="1:55" x14ac:dyDescent="0.25">
      <c r="A110" s="358">
        <v>43329</v>
      </c>
      <c r="B110" s="813" t="s">
        <v>1069</v>
      </c>
      <c r="C110" s="91" t="s">
        <v>91</v>
      </c>
      <c r="D110" s="76"/>
      <c r="E110" s="76" t="s">
        <v>305</v>
      </c>
      <c r="F110" s="15"/>
      <c r="G110" s="15"/>
      <c r="H110" s="15"/>
      <c r="I110" s="15"/>
      <c r="J110" s="78"/>
      <c r="K110" s="78"/>
      <c r="L110" s="16"/>
      <c r="M110" s="16"/>
      <c r="N110" s="16"/>
      <c r="O110" s="16"/>
      <c r="P110" s="80"/>
      <c r="Q110" s="80"/>
      <c r="R110" s="17"/>
      <c r="S110" s="17"/>
      <c r="T110" s="17"/>
      <c r="U110" s="17"/>
      <c r="V110" s="117"/>
      <c r="W110" s="117"/>
      <c r="X110" s="82"/>
      <c r="Y110" s="82"/>
      <c r="Z110" s="82"/>
      <c r="AA110" s="82"/>
      <c r="AB110" s="18"/>
      <c r="AC110" s="18"/>
      <c r="AD110" s="86"/>
      <c r="AE110" s="86"/>
      <c r="AF110" s="84"/>
      <c r="AG110" s="84"/>
      <c r="AH110" s="41"/>
      <c r="AI110" s="41"/>
      <c r="AJ110" s="41"/>
      <c r="AK110" s="41"/>
      <c r="AL110" s="185"/>
      <c r="AM110" s="185"/>
      <c r="AN110" s="187"/>
      <c r="AO110" s="187"/>
      <c r="AP110" s="187"/>
      <c r="AQ110" s="187"/>
      <c r="AR110" s="89"/>
      <c r="AS110" s="90"/>
      <c r="AT110" s="118"/>
      <c r="AU110" s="118"/>
      <c r="AV110" s="118"/>
      <c r="AW110" s="118"/>
      <c r="AX110" s="33"/>
      <c r="AY110" s="33"/>
      <c r="AZ110" s="82"/>
      <c r="BA110" s="82"/>
      <c r="BB110" s="82"/>
      <c r="BC110" s="691"/>
    </row>
    <row r="111" spans="1:55" x14ac:dyDescent="0.25">
      <c r="A111" s="358">
        <v>43329</v>
      </c>
      <c r="B111" s="813" t="s">
        <v>1070</v>
      </c>
      <c r="C111" s="91" t="s">
        <v>91</v>
      </c>
      <c r="D111" s="76"/>
      <c r="E111" s="76"/>
      <c r="F111" s="15"/>
      <c r="G111" s="15"/>
      <c r="H111" s="15"/>
      <c r="I111" s="15"/>
      <c r="J111" s="78"/>
      <c r="K111" s="78"/>
      <c r="L111" s="16"/>
      <c r="M111" s="16"/>
      <c r="N111" s="16"/>
      <c r="O111" s="16"/>
      <c r="P111" s="80"/>
      <c r="Q111" s="80"/>
      <c r="R111" s="17"/>
      <c r="S111" s="17"/>
      <c r="T111" s="17"/>
      <c r="U111" s="17" t="s">
        <v>305</v>
      </c>
      <c r="V111" s="117"/>
      <c r="W111" s="117"/>
      <c r="X111" s="82"/>
      <c r="Y111" s="82"/>
      <c r="Z111" s="82"/>
      <c r="AA111" s="82"/>
      <c r="AB111" s="18"/>
      <c r="AC111" s="18"/>
      <c r="AD111" s="86"/>
      <c r="AE111" s="86"/>
      <c r="AF111" s="84"/>
      <c r="AG111" s="84"/>
      <c r="AH111" s="41"/>
      <c r="AI111" s="41"/>
      <c r="AJ111" s="41"/>
      <c r="AK111" s="41"/>
      <c r="AL111" s="185"/>
      <c r="AM111" s="185"/>
      <c r="AN111" s="187"/>
      <c r="AO111" s="187"/>
      <c r="AP111" s="187"/>
      <c r="AQ111" s="187"/>
      <c r="AR111" s="89"/>
      <c r="AS111" s="90"/>
      <c r="AT111" s="118"/>
      <c r="AU111" s="118"/>
      <c r="AV111" s="118"/>
      <c r="AW111" s="118"/>
      <c r="AX111" s="33"/>
      <c r="AY111" s="33"/>
      <c r="AZ111" s="82"/>
      <c r="BA111" s="82"/>
      <c r="BB111" s="82"/>
      <c r="BC111" s="691"/>
    </row>
    <row r="112" spans="1:55" x14ac:dyDescent="0.25">
      <c r="A112" s="358">
        <v>43329</v>
      </c>
      <c r="B112" s="813" t="s">
        <v>1071</v>
      </c>
      <c r="C112" s="91" t="s">
        <v>91</v>
      </c>
      <c r="D112" s="76"/>
      <c r="E112" s="76" t="s">
        <v>305</v>
      </c>
      <c r="F112" s="15"/>
      <c r="G112" s="15"/>
      <c r="H112" s="15"/>
      <c r="I112" s="15"/>
      <c r="J112" s="78"/>
      <c r="K112" s="78"/>
      <c r="L112" s="16"/>
      <c r="M112" s="16"/>
      <c r="N112" s="16"/>
      <c r="O112" s="16"/>
      <c r="P112" s="80"/>
      <c r="Q112" s="80"/>
      <c r="R112" s="17"/>
      <c r="S112" s="17"/>
      <c r="T112" s="17"/>
      <c r="U112" s="17"/>
      <c r="V112" s="117"/>
      <c r="W112" s="148"/>
      <c r="X112" s="82"/>
      <c r="Y112" s="82"/>
      <c r="Z112" s="82"/>
      <c r="AA112" s="82"/>
      <c r="AB112" s="18"/>
      <c r="AC112" s="18"/>
      <c r="AD112" s="86"/>
      <c r="AE112" s="86"/>
      <c r="AF112" s="84"/>
      <c r="AG112" s="84"/>
      <c r="AH112" s="41"/>
      <c r="AI112" s="41"/>
      <c r="AJ112" s="41"/>
      <c r="AK112" s="41"/>
      <c r="AL112" s="185"/>
      <c r="AM112" s="185"/>
      <c r="AN112" s="187"/>
      <c r="AO112" s="187"/>
      <c r="AP112" s="187"/>
      <c r="AQ112" s="187"/>
      <c r="AR112" s="89"/>
      <c r="AS112" s="90"/>
      <c r="AT112" s="118"/>
      <c r="AU112" s="118"/>
      <c r="AV112" s="118"/>
      <c r="AW112" s="118"/>
      <c r="AX112" s="33"/>
      <c r="AY112" s="33"/>
      <c r="AZ112" s="82"/>
      <c r="BA112" s="82"/>
      <c r="BB112" s="82"/>
      <c r="BC112" s="691"/>
    </row>
    <row r="113" spans="1:55" x14ac:dyDescent="0.25">
      <c r="A113" s="358">
        <v>43329</v>
      </c>
      <c r="B113" s="813" t="s">
        <v>1104</v>
      </c>
      <c r="C113" s="91" t="s">
        <v>91</v>
      </c>
      <c r="D113" s="76"/>
      <c r="E113" s="76" t="s">
        <v>305</v>
      </c>
      <c r="F113" s="15"/>
      <c r="G113" s="15"/>
      <c r="H113" s="15"/>
      <c r="I113" s="15"/>
      <c r="J113" s="78"/>
      <c r="K113" s="78"/>
      <c r="L113" s="16"/>
      <c r="M113" s="16"/>
      <c r="N113" s="16"/>
      <c r="O113" s="16"/>
      <c r="P113" s="80"/>
      <c r="Q113" s="80"/>
      <c r="R113" s="17"/>
      <c r="S113" s="17"/>
      <c r="T113" s="17"/>
      <c r="U113" s="17"/>
      <c r="V113" s="117"/>
      <c r="W113" s="117"/>
      <c r="X113" s="82"/>
      <c r="Y113" s="82"/>
      <c r="Z113" s="82"/>
      <c r="AA113" s="82"/>
      <c r="AB113" s="18"/>
      <c r="AC113" s="18"/>
      <c r="AD113" s="86"/>
      <c r="AE113" s="86"/>
      <c r="AF113" s="84"/>
      <c r="AG113" s="84"/>
      <c r="AH113" s="41"/>
      <c r="AI113" s="41"/>
      <c r="AJ113" s="41"/>
      <c r="AK113" s="41"/>
      <c r="AL113" s="185"/>
      <c r="AM113" s="185"/>
      <c r="AN113" s="187"/>
      <c r="AO113" s="187"/>
      <c r="AP113" s="187"/>
      <c r="AQ113" s="187"/>
      <c r="AR113" s="89"/>
      <c r="AS113" s="90"/>
      <c r="AT113" s="118"/>
      <c r="AU113" s="118"/>
      <c r="AV113" s="118"/>
      <c r="AW113" s="118"/>
      <c r="AX113" s="33"/>
      <c r="AY113" s="33"/>
      <c r="AZ113" s="82"/>
      <c r="BA113" s="82"/>
      <c r="BB113" s="82"/>
      <c r="BC113" s="691"/>
    </row>
    <row r="114" spans="1:55" x14ac:dyDescent="0.25">
      <c r="A114" s="358">
        <v>43329</v>
      </c>
      <c r="B114" s="813" t="s">
        <v>1073</v>
      </c>
      <c r="C114" s="91" t="s">
        <v>91</v>
      </c>
      <c r="D114" s="76"/>
      <c r="E114" s="76" t="s">
        <v>305</v>
      </c>
      <c r="F114" s="15"/>
      <c r="G114" s="15"/>
      <c r="H114" s="15"/>
      <c r="I114" s="15"/>
      <c r="J114" s="78"/>
      <c r="K114" s="78"/>
      <c r="L114" s="16"/>
      <c r="M114" s="16"/>
      <c r="N114" s="16"/>
      <c r="O114" s="16"/>
      <c r="P114" s="80"/>
      <c r="Q114" s="80"/>
      <c r="R114" s="17"/>
      <c r="S114" s="17"/>
      <c r="T114" s="17"/>
      <c r="U114" s="17"/>
      <c r="V114" s="398"/>
      <c r="W114" s="398"/>
      <c r="X114" s="82"/>
      <c r="Y114" s="82"/>
      <c r="Z114" s="82"/>
      <c r="AA114" s="82"/>
      <c r="AB114" s="18"/>
      <c r="AC114" s="18"/>
      <c r="AD114" s="86"/>
      <c r="AE114" s="86"/>
      <c r="AF114" s="84"/>
      <c r="AG114" s="84"/>
      <c r="AH114" s="41"/>
      <c r="AI114" s="41"/>
      <c r="AJ114" s="41"/>
      <c r="AK114" s="41"/>
      <c r="AL114" s="185"/>
      <c r="AM114" s="185"/>
      <c r="AN114" s="187"/>
      <c r="AO114" s="187"/>
      <c r="AP114" s="187"/>
      <c r="AQ114" s="187"/>
      <c r="AR114" s="89"/>
      <c r="AS114" s="90"/>
      <c r="AT114" s="400"/>
      <c r="AU114" s="400"/>
      <c r="AV114" s="400"/>
      <c r="AW114" s="400"/>
      <c r="AX114" s="401"/>
      <c r="AY114" s="401"/>
      <c r="AZ114" s="82"/>
      <c r="BA114" s="82"/>
      <c r="BB114" s="82"/>
      <c r="BC114" s="691"/>
    </row>
    <row r="115" spans="1:55" x14ac:dyDescent="0.25">
      <c r="A115" s="358">
        <v>43329</v>
      </c>
      <c r="B115" s="813" t="s">
        <v>1074</v>
      </c>
      <c r="C115" s="91" t="s">
        <v>91</v>
      </c>
      <c r="D115" s="76"/>
      <c r="E115" s="76"/>
      <c r="F115" s="15"/>
      <c r="G115" s="15"/>
      <c r="H115" s="15"/>
      <c r="I115" s="15"/>
      <c r="J115" s="78"/>
      <c r="K115" s="78"/>
      <c r="L115" s="16"/>
      <c r="M115" s="16"/>
      <c r="N115" s="16"/>
      <c r="O115" s="16"/>
      <c r="P115" s="80"/>
      <c r="Q115" s="80"/>
      <c r="R115" s="17"/>
      <c r="S115" s="17"/>
      <c r="T115" s="17"/>
      <c r="U115" s="17" t="s">
        <v>305</v>
      </c>
      <c r="V115" s="398"/>
      <c r="W115" s="398"/>
      <c r="X115" s="82"/>
      <c r="Y115" s="82"/>
      <c r="Z115" s="82"/>
      <c r="AA115" s="82"/>
      <c r="AB115" s="18"/>
      <c r="AC115" s="18"/>
      <c r="AD115" s="86"/>
      <c r="AE115" s="86"/>
      <c r="AF115" s="84"/>
      <c r="AG115" s="84"/>
      <c r="AH115" s="41"/>
      <c r="AI115" s="41"/>
      <c r="AJ115" s="41"/>
      <c r="AK115" s="41"/>
      <c r="AL115" s="185"/>
      <c r="AM115" s="185"/>
      <c r="AN115" s="187"/>
      <c r="AO115" s="187"/>
      <c r="AP115" s="187"/>
      <c r="AQ115" s="187"/>
      <c r="AR115" s="89"/>
      <c r="AS115" s="90"/>
      <c r="AT115" s="400"/>
      <c r="AU115" s="400"/>
      <c r="AV115" s="400"/>
      <c r="AW115" s="400"/>
      <c r="AX115" s="401"/>
      <c r="AY115" s="401"/>
      <c r="AZ115" s="82"/>
      <c r="BA115" s="82"/>
      <c r="BB115" s="82"/>
      <c r="BC115" s="691"/>
    </row>
    <row r="116" spans="1:55" x14ac:dyDescent="0.25">
      <c r="A116" s="358">
        <v>43329</v>
      </c>
      <c r="B116" s="813" t="s">
        <v>1075</v>
      </c>
      <c r="C116" s="91" t="s">
        <v>91</v>
      </c>
      <c r="D116" s="76"/>
      <c r="E116" s="76" t="s">
        <v>305</v>
      </c>
      <c r="F116" s="15"/>
      <c r="G116" s="15"/>
      <c r="H116" s="15"/>
      <c r="I116" s="15"/>
      <c r="J116" s="78"/>
      <c r="K116" s="78"/>
      <c r="L116" s="16"/>
      <c r="M116" s="16"/>
      <c r="N116" s="16"/>
      <c r="O116" s="16"/>
      <c r="P116" s="80"/>
      <c r="Q116" s="80"/>
      <c r="R116" s="17"/>
      <c r="S116" s="17"/>
      <c r="T116" s="17"/>
      <c r="U116" s="17"/>
      <c r="V116" s="117"/>
      <c r="W116" s="117"/>
      <c r="X116" s="82"/>
      <c r="Y116" s="82"/>
      <c r="Z116" s="82"/>
      <c r="AA116" s="82"/>
      <c r="AB116" s="18"/>
      <c r="AC116" s="18"/>
      <c r="AD116" s="86"/>
      <c r="AE116" s="86"/>
      <c r="AF116" s="84"/>
      <c r="AG116" s="84"/>
      <c r="AH116" s="41"/>
      <c r="AI116" s="41"/>
      <c r="AJ116" s="41"/>
      <c r="AK116" s="41"/>
      <c r="AL116" s="185"/>
      <c r="AM116" s="185"/>
      <c r="AN116" s="187"/>
      <c r="AO116" s="187"/>
      <c r="AP116" s="187"/>
      <c r="AQ116" s="187"/>
      <c r="AR116" s="89"/>
      <c r="AS116" s="90"/>
      <c r="AT116" s="118"/>
      <c r="AU116" s="118"/>
      <c r="AV116" s="118"/>
      <c r="AW116" s="118"/>
      <c r="AX116" s="33"/>
      <c r="AY116" s="33"/>
      <c r="AZ116" s="82"/>
      <c r="BA116" s="82"/>
      <c r="BB116" s="82"/>
      <c r="BC116" s="691"/>
    </row>
    <row r="117" spans="1:55" x14ac:dyDescent="0.25">
      <c r="A117" s="358">
        <v>43329</v>
      </c>
      <c r="B117" s="813" t="s">
        <v>1076</v>
      </c>
      <c r="C117" s="91" t="s">
        <v>91</v>
      </c>
      <c r="D117" s="76"/>
      <c r="E117" s="76" t="s">
        <v>305</v>
      </c>
      <c r="F117" s="15"/>
      <c r="G117" s="15"/>
      <c r="H117" s="15"/>
      <c r="I117" s="15"/>
      <c r="J117" s="78"/>
      <c r="K117" s="78"/>
      <c r="L117" s="16"/>
      <c r="M117" s="16"/>
      <c r="N117" s="16"/>
      <c r="O117" s="16"/>
      <c r="P117" s="80"/>
      <c r="Q117" s="80"/>
      <c r="R117" s="17"/>
      <c r="S117" s="17"/>
      <c r="T117" s="17"/>
      <c r="U117" s="17"/>
      <c r="V117" s="229"/>
      <c r="W117" s="229"/>
      <c r="X117" s="82"/>
      <c r="Y117" s="82"/>
      <c r="Z117" s="82"/>
      <c r="AA117" s="82"/>
      <c r="AB117" s="18"/>
      <c r="AC117" s="18"/>
      <c r="AD117" s="86"/>
      <c r="AE117" s="86"/>
      <c r="AF117" s="84"/>
      <c r="AG117" s="84"/>
      <c r="AH117" s="41"/>
      <c r="AI117" s="41"/>
      <c r="AJ117" s="41"/>
      <c r="AK117" s="41"/>
      <c r="AL117" s="185"/>
      <c r="AM117" s="185"/>
      <c r="AN117" s="187"/>
      <c r="AO117" s="187"/>
      <c r="AP117" s="187"/>
      <c r="AQ117" s="187"/>
      <c r="AR117" s="89"/>
      <c r="AS117" s="90"/>
      <c r="AT117" s="230"/>
      <c r="AU117" s="230"/>
      <c r="AV117" s="230"/>
      <c r="AW117" s="230"/>
      <c r="AX117" s="33"/>
      <c r="AY117" s="33"/>
      <c r="AZ117" s="82"/>
      <c r="BA117" s="82"/>
      <c r="BB117" s="82"/>
      <c r="BC117" s="691"/>
    </row>
    <row r="118" spans="1:55" x14ac:dyDescent="0.25">
      <c r="A118" s="358">
        <v>43329</v>
      </c>
      <c r="B118" s="813" t="s">
        <v>1077</v>
      </c>
      <c r="C118" s="91" t="s">
        <v>91</v>
      </c>
      <c r="D118" s="76"/>
      <c r="E118" s="76" t="s">
        <v>305</v>
      </c>
      <c r="F118" s="15"/>
      <c r="G118" s="15"/>
      <c r="H118" s="15"/>
      <c r="I118" s="15"/>
      <c r="J118" s="78"/>
      <c r="K118" s="78"/>
      <c r="L118" s="16"/>
      <c r="M118" s="16"/>
      <c r="N118" s="16"/>
      <c r="O118" s="16"/>
      <c r="P118" s="80"/>
      <c r="Q118" s="80"/>
      <c r="R118" s="17"/>
      <c r="S118" s="17"/>
      <c r="T118" s="17"/>
      <c r="U118" s="17"/>
      <c r="V118" s="229"/>
      <c r="W118" s="229"/>
      <c r="X118" s="82"/>
      <c r="Y118" s="82"/>
      <c r="Z118" s="82"/>
      <c r="AA118" s="82"/>
      <c r="AB118" s="18"/>
      <c r="AC118" s="18"/>
      <c r="AD118" s="86"/>
      <c r="AE118" s="86"/>
      <c r="AF118" s="84"/>
      <c r="AG118" s="84"/>
      <c r="AH118" s="41"/>
      <c r="AI118" s="41"/>
      <c r="AJ118" s="41"/>
      <c r="AK118" s="41"/>
      <c r="AL118" s="185"/>
      <c r="AM118" s="185"/>
      <c r="AN118" s="187"/>
      <c r="AO118" s="187"/>
      <c r="AP118" s="187"/>
      <c r="AQ118" s="187"/>
      <c r="AR118" s="89"/>
      <c r="AS118" s="90"/>
      <c r="AT118" s="230"/>
      <c r="AU118" s="230"/>
      <c r="AV118" s="230"/>
      <c r="AW118" s="230"/>
      <c r="AX118" s="33"/>
      <c r="AY118" s="33"/>
      <c r="AZ118" s="82"/>
      <c r="BA118" s="82"/>
      <c r="BB118" s="82"/>
      <c r="BC118" s="691"/>
    </row>
    <row r="119" spans="1:55" x14ac:dyDescent="0.25">
      <c r="A119" s="358">
        <v>43329</v>
      </c>
      <c r="B119" s="813" t="s">
        <v>1078</v>
      </c>
      <c r="C119" s="91" t="s">
        <v>91</v>
      </c>
      <c r="D119" s="76"/>
      <c r="E119" s="76" t="s">
        <v>305</v>
      </c>
      <c r="F119" s="15"/>
      <c r="G119" s="15"/>
      <c r="H119" s="15"/>
      <c r="I119" s="15"/>
      <c r="J119" s="78"/>
      <c r="K119" s="78"/>
      <c r="L119" s="16"/>
      <c r="M119" s="16"/>
      <c r="N119" s="16"/>
      <c r="O119" s="16"/>
      <c r="P119" s="80"/>
      <c r="Q119" s="80"/>
      <c r="R119" s="17"/>
      <c r="S119" s="17"/>
      <c r="T119" s="17"/>
      <c r="U119" s="17"/>
      <c r="V119" s="117"/>
      <c r="W119" s="117"/>
      <c r="X119" s="82"/>
      <c r="Y119" s="82"/>
      <c r="Z119" s="82"/>
      <c r="AA119" s="82"/>
      <c r="AB119" s="18"/>
      <c r="AC119" s="18"/>
      <c r="AD119" s="86"/>
      <c r="AE119" s="86"/>
      <c r="AF119" s="84"/>
      <c r="AG119" s="84"/>
      <c r="AH119" s="41"/>
      <c r="AI119" s="41"/>
      <c r="AJ119" s="41"/>
      <c r="AK119" s="41"/>
      <c r="AL119" s="185"/>
      <c r="AM119" s="185"/>
      <c r="AN119" s="187"/>
      <c r="AO119" s="187"/>
      <c r="AP119" s="187"/>
      <c r="AQ119" s="187"/>
      <c r="AR119" s="89"/>
      <c r="AS119" s="90"/>
      <c r="AT119" s="118"/>
      <c r="AU119" s="118"/>
      <c r="AV119" s="118"/>
      <c r="AW119" s="118"/>
      <c r="AX119" s="33"/>
      <c r="AY119" s="33"/>
      <c r="AZ119" s="82"/>
      <c r="BA119" s="82"/>
      <c r="BB119" s="82"/>
      <c r="BC119" s="691"/>
    </row>
    <row r="120" spans="1:55" x14ac:dyDescent="0.25">
      <c r="A120" s="358">
        <v>43329</v>
      </c>
      <c r="B120" s="813" t="s">
        <v>1079</v>
      </c>
      <c r="C120" s="91" t="s">
        <v>91</v>
      </c>
      <c r="D120" s="76"/>
      <c r="E120" s="76" t="s">
        <v>305</v>
      </c>
      <c r="F120" s="15"/>
      <c r="G120" s="15"/>
      <c r="H120" s="15"/>
      <c r="I120" s="15"/>
      <c r="J120" s="78"/>
      <c r="K120" s="78"/>
      <c r="L120" s="16"/>
      <c r="M120" s="16"/>
      <c r="N120" s="16"/>
      <c r="O120" s="16"/>
      <c r="P120" s="80"/>
      <c r="Q120" s="80"/>
      <c r="R120" s="17"/>
      <c r="S120" s="17"/>
      <c r="T120" s="17"/>
      <c r="U120" s="17"/>
      <c r="V120" s="117"/>
      <c r="W120" s="117"/>
      <c r="X120" s="82"/>
      <c r="Y120" s="82"/>
      <c r="Z120" s="82"/>
      <c r="AA120" s="82"/>
      <c r="AB120" s="18"/>
      <c r="AC120" s="18"/>
      <c r="AD120" s="86"/>
      <c r="AE120" s="86"/>
      <c r="AF120" s="84"/>
      <c r="AG120" s="84"/>
      <c r="AH120" s="41"/>
      <c r="AI120" s="41"/>
      <c r="AJ120" s="41"/>
      <c r="AK120" s="41"/>
      <c r="AL120" s="185"/>
      <c r="AM120" s="185"/>
      <c r="AN120" s="187"/>
      <c r="AO120" s="187"/>
      <c r="AP120" s="187"/>
      <c r="AQ120" s="187"/>
      <c r="AR120" s="89"/>
      <c r="AS120" s="90"/>
      <c r="AT120" s="118"/>
      <c r="AU120" s="118"/>
      <c r="AV120" s="118"/>
      <c r="AW120" s="118"/>
      <c r="AX120" s="33"/>
      <c r="AY120" s="33"/>
      <c r="AZ120" s="82"/>
      <c r="BA120" s="82"/>
      <c r="BB120" s="82"/>
      <c r="BC120" s="691"/>
    </row>
    <row r="121" spans="1:55" x14ac:dyDescent="0.25">
      <c r="A121" s="358">
        <v>43329</v>
      </c>
      <c r="B121" s="813" t="s">
        <v>1080</v>
      </c>
      <c r="C121" s="91" t="s">
        <v>91</v>
      </c>
      <c r="D121" s="76"/>
      <c r="E121" s="76" t="s">
        <v>305</v>
      </c>
      <c r="F121" s="15"/>
      <c r="G121" s="15"/>
      <c r="H121" s="15"/>
      <c r="I121" s="15"/>
      <c r="J121" s="78"/>
      <c r="K121" s="78"/>
      <c r="L121" s="16"/>
      <c r="M121" s="16"/>
      <c r="N121" s="16"/>
      <c r="O121" s="16"/>
      <c r="P121" s="80"/>
      <c r="Q121" s="80"/>
      <c r="R121" s="17"/>
      <c r="S121" s="17"/>
      <c r="T121" s="17"/>
      <c r="U121" s="17"/>
      <c r="V121" s="117"/>
      <c r="W121" s="117"/>
      <c r="X121" s="82"/>
      <c r="Y121" s="82"/>
      <c r="Z121" s="82"/>
      <c r="AA121" s="82"/>
      <c r="AB121" s="18"/>
      <c r="AC121" s="18"/>
      <c r="AD121" s="86"/>
      <c r="AE121" s="86"/>
      <c r="AF121" s="84"/>
      <c r="AG121" s="84"/>
      <c r="AH121" s="41"/>
      <c r="AI121" s="41"/>
      <c r="AJ121" s="41"/>
      <c r="AK121" s="41"/>
      <c r="AL121" s="185"/>
      <c r="AM121" s="185"/>
      <c r="AN121" s="187"/>
      <c r="AO121" s="187"/>
      <c r="AP121" s="187"/>
      <c r="AQ121" s="187"/>
      <c r="AR121" s="89"/>
      <c r="AS121" s="90"/>
      <c r="AT121" s="118"/>
      <c r="AU121" s="118"/>
      <c r="AV121" s="118"/>
      <c r="AW121" s="118"/>
      <c r="AX121" s="33"/>
      <c r="AY121" s="33"/>
      <c r="AZ121" s="82"/>
      <c r="BA121" s="82"/>
      <c r="BB121" s="82"/>
      <c r="BC121" s="691"/>
    </row>
    <row r="122" spans="1:55" x14ac:dyDescent="0.25">
      <c r="A122" s="358">
        <v>43332</v>
      </c>
      <c r="B122" s="78" t="s">
        <v>1136</v>
      </c>
      <c r="C122" s="91" t="s">
        <v>93</v>
      </c>
      <c r="D122" s="76"/>
      <c r="E122" s="76"/>
      <c r="F122" s="15"/>
      <c r="G122" s="15"/>
      <c r="H122" s="15"/>
      <c r="I122" s="15"/>
      <c r="J122" s="78"/>
      <c r="K122" s="78" t="s">
        <v>305</v>
      </c>
      <c r="L122" s="16"/>
      <c r="M122" s="16"/>
      <c r="N122" s="16"/>
      <c r="O122" s="16"/>
      <c r="P122" s="80"/>
      <c r="Q122" s="80"/>
      <c r="R122" s="17"/>
      <c r="S122" s="17"/>
      <c r="T122" s="17"/>
      <c r="U122" s="17"/>
      <c r="V122" s="117"/>
      <c r="W122" s="117"/>
      <c r="X122" s="82"/>
      <c r="Y122" s="82"/>
      <c r="Z122" s="82"/>
      <c r="AA122" s="82"/>
      <c r="AB122" s="18"/>
      <c r="AC122" s="18"/>
      <c r="AD122" s="86"/>
      <c r="AE122" s="86"/>
      <c r="AF122" s="84"/>
      <c r="AG122" s="84"/>
      <c r="AH122" s="41"/>
      <c r="AI122" s="41"/>
      <c r="AJ122" s="41"/>
      <c r="AK122" s="41"/>
      <c r="AL122" s="185"/>
      <c r="AM122" s="185"/>
      <c r="AN122" s="187"/>
      <c r="AO122" s="187"/>
      <c r="AP122" s="187"/>
      <c r="AQ122" s="187"/>
      <c r="AR122" s="89"/>
      <c r="AS122" s="90"/>
      <c r="AT122" s="118"/>
      <c r="AU122" s="118"/>
      <c r="AV122" s="118"/>
      <c r="AW122" s="118"/>
      <c r="AX122" s="33"/>
      <c r="AY122" s="33"/>
      <c r="AZ122" s="82"/>
      <c r="BA122" s="82"/>
      <c r="BB122" s="82"/>
      <c r="BC122" s="691"/>
    </row>
    <row r="123" spans="1:55" x14ac:dyDescent="0.25">
      <c r="A123" s="358">
        <v>43333</v>
      </c>
      <c r="B123" s="78" t="s">
        <v>1139</v>
      </c>
      <c r="C123" s="91" t="s">
        <v>93</v>
      </c>
      <c r="D123" s="76"/>
      <c r="E123" s="76"/>
      <c r="F123" s="15"/>
      <c r="G123" s="15"/>
      <c r="H123" s="15"/>
      <c r="I123" s="15"/>
      <c r="J123" s="78"/>
      <c r="K123" s="78" t="s">
        <v>305</v>
      </c>
      <c r="L123" s="16"/>
      <c r="M123" s="16"/>
      <c r="N123" s="16"/>
      <c r="O123" s="16"/>
      <c r="P123" s="80"/>
      <c r="Q123" s="80"/>
      <c r="R123" s="17"/>
      <c r="S123" s="17"/>
      <c r="T123" s="17"/>
      <c r="U123" s="17"/>
      <c r="V123" s="117"/>
      <c r="W123" s="117"/>
      <c r="X123" s="82"/>
      <c r="Y123" s="82"/>
      <c r="Z123" s="82"/>
      <c r="AA123" s="82"/>
      <c r="AB123" s="18"/>
      <c r="AC123" s="18"/>
      <c r="AD123" s="86"/>
      <c r="AE123" s="86"/>
      <c r="AF123" s="84"/>
      <c r="AG123" s="84"/>
      <c r="AH123" s="41"/>
      <c r="AI123" s="41"/>
      <c r="AJ123" s="41"/>
      <c r="AK123" s="41"/>
      <c r="AL123" s="185"/>
      <c r="AM123" s="185"/>
      <c r="AN123" s="187"/>
      <c r="AO123" s="187"/>
      <c r="AP123" s="187"/>
      <c r="AQ123" s="187"/>
      <c r="AR123" s="89"/>
      <c r="AS123" s="90"/>
      <c r="AT123" s="118"/>
      <c r="AU123" s="118"/>
      <c r="AV123" s="118"/>
      <c r="AW123" s="118"/>
      <c r="AX123" s="33"/>
      <c r="AY123" s="33"/>
      <c r="AZ123" s="82"/>
      <c r="BA123" s="82"/>
      <c r="BB123" s="82"/>
      <c r="BC123" s="691"/>
    </row>
    <row r="124" spans="1:55" x14ac:dyDescent="0.25">
      <c r="A124" s="358">
        <v>43334</v>
      </c>
      <c r="B124" s="944" t="s">
        <v>1153</v>
      </c>
      <c r="C124" s="91" t="s">
        <v>93</v>
      </c>
      <c r="D124" s="76"/>
      <c r="E124" s="76"/>
      <c r="F124" s="15"/>
      <c r="G124" s="15"/>
      <c r="H124" s="15"/>
      <c r="I124" s="15"/>
      <c r="J124" s="78"/>
      <c r="K124" s="78" t="s">
        <v>305</v>
      </c>
      <c r="L124" s="16"/>
      <c r="M124" s="16"/>
      <c r="N124" s="16"/>
      <c r="O124" s="16"/>
      <c r="P124" s="80"/>
      <c r="Q124" s="80"/>
      <c r="R124" s="17"/>
      <c r="S124" s="17"/>
      <c r="T124" s="17"/>
      <c r="U124" s="17"/>
      <c r="V124" s="117"/>
      <c r="W124" s="117"/>
      <c r="X124" s="82"/>
      <c r="Y124" s="82"/>
      <c r="Z124" s="82"/>
      <c r="AA124" s="82"/>
      <c r="AB124" s="18"/>
      <c r="AC124" s="18"/>
      <c r="AD124" s="86"/>
      <c r="AE124" s="86"/>
      <c r="AF124" s="84"/>
      <c r="AG124" s="84"/>
      <c r="AH124" s="41"/>
      <c r="AI124" s="41"/>
      <c r="AJ124" s="41"/>
      <c r="AK124" s="41"/>
      <c r="AL124" s="185"/>
      <c r="AM124" s="185"/>
      <c r="AN124" s="187"/>
      <c r="AO124" s="187"/>
      <c r="AP124" s="187"/>
      <c r="AQ124" s="187"/>
      <c r="AR124" s="89"/>
      <c r="AS124" s="90"/>
      <c r="AT124" s="118"/>
      <c r="AU124" s="118"/>
      <c r="AV124" s="118"/>
      <c r="AW124" s="118"/>
      <c r="AX124" s="33"/>
      <c r="AY124" s="33"/>
      <c r="AZ124" s="82"/>
      <c r="BA124" s="82"/>
      <c r="BB124" s="82"/>
      <c r="BC124" s="691"/>
    </row>
    <row r="125" spans="1:55" x14ac:dyDescent="0.25">
      <c r="A125" s="358">
        <v>43335</v>
      </c>
      <c r="B125" s="89" t="s">
        <v>1165</v>
      </c>
      <c r="C125" s="91" t="s">
        <v>63</v>
      </c>
      <c r="D125" s="76"/>
      <c r="E125" s="76"/>
      <c r="F125" s="15"/>
      <c r="G125" s="15"/>
      <c r="H125" s="15"/>
      <c r="I125" s="15"/>
      <c r="J125" s="78"/>
      <c r="K125" s="78"/>
      <c r="L125" s="16"/>
      <c r="M125" s="16"/>
      <c r="N125" s="16"/>
      <c r="O125" s="16"/>
      <c r="P125" s="80"/>
      <c r="Q125" s="80"/>
      <c r="R125" s="17"/>
      <c r="S125" s="17"/>
      <c r="T125" s="17"/>
      <c r="U125" s="17"/>
      <c r="V125" s="117"/>
      <c r="W125" s="117"/>
      <c r="X125" s="82"/>
      <c r="Y125" s="82"/>
      <c r="Z125" s="82"/>
      <c r="AA125" s="82"/>
      <c r="AB125" s="18"/>
      <c r="AC125" s="18"/>
      <c r="AD125" s="86"/>
      <c r="AE125" s="86"/>
      <c r="AF125" s="84"/>
      <c r="AG125" s="84"/>
      <c r="AH125" s="41"/>
      <c r="AI125" s="41"/>
      <c r="AJ125" s="41"/>
      <c r="AK125" s="41"/>
      <c r="AL125" s="185"/>
      <c r="AM125" s="185"/>
      <c r="AN125" s="187"/>
      <c r="AO125" s="187"/>
      <c r="AP125" s="187"/>
      <c r="AQ125" s="187"/>
      <c r="AR125" s="89" t="s">
        <v>305</v>
      </c>
      <c r="AS125" s="90"/>
      <c r="AT125" s="118"/>
      <c r="AU125" s="118"/>
      <c r="AV125" s="118"/>
      <c r="AW125" s="118"/>
      <c r="AX125" s="33"/>
      <c r="AY125" s="33"/>
      <c r="AZ125" s="82"/>
      <c r="BA125" s="82"/>
      <c r="BB125" s="82"/>
      <c r="BC125" s="691"/>
    </row>
    <row r="126" spans="1:55" x14ac:dyDescent="0.25">
      <c r="A126" s="358">
        <v>43337</v>
      </c>
      <c r="B126" s="78" t="s">
        <v>1181</v>
      </c>
      <c r="C126" s="91" t="s">
        <v>93</v>
      </c>
      <c r="D126" s="76"/>
      <c r="E126" s="76"/>
      <c r="F126" s="15"/>
      <c r="G126" s="15"/>
      <c r="H126" s="15"/>
      <c r="I126" s="15"/>
      <c r="J126" s="78" t="s">
        <v>305</v>
      </c>
      <c r="K126" s="78"/>
      <c r="L126" s="16"/>
      <c r="M126" s="16"/>
      <c r="N126" s="16"/>
      <c r="O126" s="16"/>
      <c r="P126" s="80"/>
      <c r="Q126" s="80"/>
      <c r="R126" s="17"/>
      <c r="S126" s="17"/>
      <c r="T126" s="17"/>
      <c r="U126" s="17"/>
      <c r="V126" s="117"/>
      <c r="W126" s="117"/>
      <c r="X126" s="82"/>
      <c r="Y126" s="82"/>
      <c r="Z126" s="82"/>
      <c r="AA126" s="82"/>
      <c r="AB126" s="18"/>
      <c r="AC126" s="18"/>
      <c r="AD126" s="86"/>
      <c r="AE126" s="86"/>
      <c r="AF126" s="84"/>
      <c r="AG126" s="84"/>
      <c r="AH126" s="41"/>
      <c r="AI126" s="41"/>
      <c r="AJ126" s="41"/>
      <c r="AK126" s="41"/>
      <c r="AL126" s="185"/>
      <c r="AM126" s="185"/>
      <c r="AN126" s="187"/>
      <c r="AO126" s="187"/>
      <c r="AP126" s="187"/>
      <c r="AQ126" s="187"/>
      <c r="AR126" s="89"/>
      <c r="AS126" s="90"/>
      <c r="AT126" s="118"/>
      <c r="AU126" s="118"/>
      <c r="AV126" s="118"/>
      <c r="AW126" s="118"/>
      <c r="AX126" s="33"/>
      <c r="AY126" s="33"/>
      <c r="AZ126" s="82"/>
      <c r="BA126" s="82"/>
      <c r="BB126" s="82"/>
      <c r="BC126" s="691"/>
    </row>
    <row r="127" spans="1:55" x14ac:dyDescent="0.25">
      <c r="A127" s="358">
        <v>43340</v>
      </c>
      <c r="B127" s="813" t="s">
        <v>1194</v>
      </c>
      <c r="C127" s="91" t="s">
        <v>91</v>
      </c>
      <c r="D127" s="76" t="s">
        <v>305</v>
      </c>
      <c r="E127" s="76"/>
      <c r="F127" s="15"/>
      <c r="G127" s="15"/>
      <c r="H127" s="15"/>
      <c r="I127" s="15"/>
      <c r="J127" s="78"/>
      <c r="K127" s="78"/>
      <c r="L127" s="16"/>
      <c r="M127" s="16"/>
      <c r="N127" s="16"/>
      <c r="O127" s="16"/>
      <c r="P127" s="80"/>
      <c r="Q127" s="80"/>
      <c r="R127" s="17"/>
      <c r="S127" s="17"/>
      <c r="T127" s="17"/>
      <c r="U127" s="17"/>
      <c r="V127" s="149"/>
      <c r="W127" s="117"/>
      <c r="X127" s="82"/>
      <c r="Y127" s="82"/>
      <c r="Z127" s="82"/>
      <c r="AA127" s="82"/>
      <c r="AB127" s="18"/>
      <c r="AC127" s="18"/>
      <c r="AD127" s="86"/>
      <c r="AE127" s="86"/>
      <c r="AF127" s="84"/>
      <c r="AG127" s="84"/>
      <c r="AH127" s="41"/>
      <c r="AI127" s="41"/>
      <c r="AJ127" s="41"/>
      <c r="AK127" s="41"/>
      <c r="AL127" s="185"/>
      <c r="AM127" s="185"/>
      <c r="AN127" s="187"/>
      <c r="AO127" s="187"/>
      <c r="AP127" s="187"/>
      <c r="AQ127" s="187"/>
      <c r="AR127" s="89"/>
      <c r="AS127" s="90"/>
      <c r="AT127" s="118"/>
      <c r="AU127" s="118"/>
      <c r="AV127" s="118"/>
      <c r="AW127" s="118"/>
      <c r="AX127" s="33"/>
      <c r="AY127" s="33"/>
      <c r="AZ127" s="82"/>
      <c r="BA127" s="82"/>
      <c r="BB127" s="82"/>
      <c r="BC127" s="691"/>
    </row>
    <row r="128" spans="1:55" x14ac:dyDescent="0.25">
      <c r="A128" s="358">
        <v>43340</v>
      </c>
      <c r="B128" s="78" t="s">
        <v>1200</v>
      </c>
      <c r="C128" s="91" t="s">
        <v>93</v>
      </c>
      <c r="D128" s="76"/>
      <c r="E128" s="76"/>
      <c r="F128" s="15"/>
      <c r="G128" s="15"/>
      <c r="H128" s="15"/>
      <c r="I128" s="15"/>
      <c r="J128" s="78"/>
      <c r="K128" s="78"/>
      <c r="L128" s="16"/>
      <c r="M128" s="16"/>
      <c r="N128" s="16"/>
      <c r="O128" s="16"/>
      <c r="P128" s="80"/>
      <c r="Q128" s="80"/>
      <c r="R128" s="17" t="s">
        <v>305</v>
      </c>
      <c r="S128" s="17"/>
      <c r="T128" s="17"/>
      <c r="U128" s="17"/>
      <c r="V128" s="117"/>
      <c r="W128" s="117"/>
      <c r="X128" s="82"/>
      <c r="Y128" s="82"/>
      <c r="Z128" s="82"/>
      <c r="AA128" s="82"/>
      <c r="AB128" s="18"/>
      <c r="AC128" s="18"/>
      <c r="AD128" s="86"/>
      <c r="AE128" s="86"/>
      <c r="AF128" s="84"/>
      <c r="AG128" s="84"/>
      <c r="AH128" s="41"/>
      <c r="AI128" s="41"/>
      <c r="AJ128" s="41"/>
      <c r="AK128" s="41"/>
      <c r="AL128" s="185"/>
      <c r="AM128" s="185"/>
      <c r="AN128" s="187"/>
      <c r="AO128" s="187"/>
      <c r="AP128" s="187"/>
      <c r="AQ128" s="187"/>
      <c r="AR128" s="89"/>
      <c r="AS128" s="90"/>
      <c r="AT128" s="118"/>
      <c r="AU128" s="118"/>
      <c r="AV128" s="118"/>
      <c r="AW128" s="118"/>
      <c r="AX128" s="33"/>
      <c r="AY128" s="33"/>
      <c r="AZ128" s="82"/>
      <c r="BA128" s="82"/>
      <c r="BB128" s="82"/>
      <c r="BC128" s="691"/>
    </row>
    <row r="129" spans="1:55" x14ac:dyDescent="0.25">
      <c r="A129" s="358">
        <v>43341</v>
      </c>
      <c r="B129" s="813" t="s">
        <v>1205</v>
      </c>
      <c r="C129" s="91" t="s">
        <v>91</v>
      </c>
      <c r="D129" s="76"/>
      <c r="E129" s="76"/>
      <c r="F129" s="15"/>
      <c r="G129" s="15"/>
      <c r="H129" s="15"/>
      <c r="I129" s="15"/>
      <c r="J129" s="78"/>
      <c r="K129" s="78"/>
      <c r="L129" s="16"/>
      <c r="M129" s="16"/>
      <c r="N129" s="16"/>
      <c r="O129" s="16"/>
      <c r="P129" s="80"/>
      <c r="Q129" s="80"/>
      <c r="R129" s="17"/>
      <c r="S129" s="17"/>
      <c r="T129" s="17"/>
      <c r="U129" s="17"/>
      <c r="V129" s="117" t="s">
        <v>305</v>
      </c>
      <c r="W129" s="117"/>
      <c r="X129" s="82"/>
      <c r="Y129" s="82"/>
      <c r="Z129" s="82"/>
      <c r="AA129" s="82"/>
      <c r="AB129" s="18"/>
      <c r="AC129" s="18"/>
      <c r="AD129" s="86"/>
      <c r="AE129" s="86"/>
      <c r="AF129" s="84"/>
      <c r="AG129" s="84"/>
      <c r="AH129" s="41"/>
      <c r="AI129" s="41"/>
      <c r="AJ129" s="41"/>
      <c r="AK129" s="41"/>
      <c r="AL129" s="185"/>
      <c r="AM129" s="185"/>
      <c r="AN129" s="187"/>
      <c r="AO129" s="187"/>
      <c r="AP129" s="187"/>
      <c r="AQ129" s="187"/>
      <c r="AR129" s="89"/>
      <c r="AS129" s="90"/>
      <c r="AT129" s="118"/>
      <c r="AU129" s="118"/>
      <c r="AV129" s="150"/>
      <c r="AW129" s="118"/>
      <c r="AX129" s="33"/>
      <c r="AY129" s="33"/>
      <c r="AZ129" s="82"/>
      <c r="BA129" s="82"/>
      <c r="BB129" s="82"/>
      <c r="BC129" s="691"/>
    </row>
    <row r="130" spans="1:55" x14ac:dyDescent="0.25">
      <c r="A130" s="358">
        <v>43344</v>
      </c>
      <c r="B130" s="78" t="s">
        <v>1217</v>
      </c>
      <c r="C130" s="91" t="s">
        <v>93</v>
      </c>
      <c r="D130" s="76"/>
      <c r="E130" s="76"/>
      <c r="F130" s="15"/>
      <c r="G130" s="15"/>
      <c r="H130" s="15"/>
      <c r="I130" s="15"/>
      <c r="J130" s="78"/>
      <c r="K130" s="78"/>
      <c r="L130" s="16"/>
      <c r="M130" s="16"/>
      <c r="N130" s="16"/>
      <c r="O130" s="16"/>
      <c r="P130" s="80"/>
      <c r="Q130" s="80"/>
      <c r="R130" s="17"/>
      <c r="S130" s="17"/>
      <c r="T130" s="17"/>
      <c r="U130" s="17"/>
      <c r="V130" s="152"/>
      <c r="W130" s="152"/>
      <c r="X130" s="82"/>
      <c r="Y130" s="82"/>
      <c r="Z130" s="82"/>
      <c r="AA130" s="82"/>
      <c r="AB130" s="18"/>
      <c r="AC130" s="18"/>
      <c r="AD130" s="86"/>
      <c r="AE130" s="86"/>
      <c r="AF130" s="84"/>
      <c r="AG130" s="84"/>
      <c r="AH130" s="41"/>
      <c r="AI130" s="41"/>
      <c r="AJ130" s="41"/>
      <c r="AK130" s="41"/>
      <c r="AL130" s="185"/>
      <c r="AM130" s="185"/>
      <c r="AN130" s="187" t="s">
        <v>305</v>
      </c>
      <c r="AO130" s="187"/>
      <c r="AP130" s="187"/>
      <c r="AQ130" s="187"/>
      <c r="AR130" s="89"/>
      <c r="AS130" s="90"/>
      <c r="AT130" s="118"/>
      <c r="AU130" s="118"/>
      <c r="AV130" s="118"/>
      <c r="AW130" s="118"/>
      <c r="AX130" s="33"/>
      <c r="AY130" s="33"/>
      <c r="AZ130" s="82"/>
      <c r="BA130" s="82"/>
      <c r="BB130" s="82"/>
      <c r="BC130" s="691"/>
    </row>
    <row r="131" spans="1:55" x14ac:dyDescent="0.25">
      <c r="A131" s="358">
        <v>43344</v>
      </c>
      <c r="B131" s="78" t="s">
        <v>1218</v>
      </c>
      <c r="C131" s="91" t="s">
        <v>93</v>
      </c>
      <c r="D131" s="76"/>
      <c r="E131" s="76"/>
      <c r="F131" s="15"/>
      <c r="G131" s="15"/>
      <c r="H131" s="15"/>
      <c r="I131" s="15"/>
      <c r="J131" s="78"/>
      <c r="K131" s="78"/>
      <c r="L131" s="16"/>
      <c r="M131" s="16"/>
      <c r="N131" s="16"/>
      <c r="O131" s="16"/>
      <c r="P131" s="80"/>
      <c r="Q131" s="80"/>
      <c r="R131" s="17"/>
      <c r="S131" s="17"/>
      <c r="T131" s="17"/>
      <c r="U131" s="17"/>
      <c r="V131" s="117"/>
      <c r="W131" s="117"/>
      <c r="X131" s="82" t="s">
        <v>305</v>
      </c>
      <c r="Y131" s="82"/>
      <c r="Z131" s="82"/>
      <c r="AA131" s="82"/>
      <c r="AB131" s="18"/>
      <c r="AC131" s="18"/>
      <c r="AD131" s="86"/>
      <c r="AE131" s="86"/>
      <c r="AF131" s="84"/>
      <c r="AG131" s="84"/>
      <c r="AH131" s="41"/>
      <c r="AI131" s="41"/>
      <c r="AJ131" s="41"/>
      <c r="AK131" s="41"/>
      <c r="AL131" s="185"/>
      <c r="AM131" s="185"/>
      <c r="AN131" s="187"/>
      <c r="AO131" s="187"/>
      <c r="AP131" s="187"/>
      <c r="AQ131" s="187"/>
      <c r="AR131" s="89"/>
      <c r="AS131" s="90"/>
      <c r="AT131" s="118"/>
      <c r="AU131" s="118"/>
      <c r="AV131" s="118"/>
      <c r="AW131" s="118"/>
      <c r="AX131" s="33"/>
      <c r="AY131" s="33"/>
      <c r="AZ131" s="82"/>
      <c r="BA131" s="82"/>
      <c r="BB131" s="82"/>
      <c r="BC131" s="691"/>
    </row>
    <row r="132" spans="1:55" x14ac:dyDescent="0.25">
      <c r="A132" s="358">
        <v>43345</v>
      </c>
      <c r="B132" s="813" t="s">
        <v>1229</v>
      </c>
      <c r="C132" s="91" t="s">
        <v>91</v>
      </c>
      <c r="D132" s="76" t="s">
        <v>305</v>
      </c>
      <c r="E132" s="76"/>
      <c r="F132" s="15"/>
      <c r="G132" s="15"/>
      <c r="H132" s="15"/>
      <c r="I132" s="15"/>
      <c r="J132" s="78"/>
      <c r="K132" s="78"/>
      <c r="L132" s="16"/>
      <c r="M132" s="16"/>
      <c r="N132" s="16"/>
      <c r="O132" s="16"/>
      <c r="P132" s="80"/>
      <c r="Q132" s="80"/>
      <c r="R132" s="17"/>
      <c r="S132" s="17"/>
      <c r="T132" s="17"/>
      <c r="U132" s="17"/>
      <c r="V132" s="117"/>
      <c r="W132" s="117"/>
      <c r="X132" s="82"/>
      <c r="Y132" s="82"/>
      <c r="Z132" s="82"/>
      <c r="AA132" s="82"/>
      <c r="AB132" s="18"/>
      <c r="AC132" s="18"/>
      <c r="AD132" s="86"/>
      <c r="AE132" s="86"/>
      <c r="AF132" s="84"/>
      <c r="AG132" s="84"/>
      <c r="AH132" s="41"/>
      <c r="AI132" s="41"/>
      <c r="AJ132" s="41"/>
      <c r="AK132" s="41"/>
      <c r="AL132" s="185"/>
      <c r="AM132" s="185"/>
      <c r="AN132" s="187"/>
      <c r="AO132" s="187"/>
      <c r="AP132" s="187"/>
      <c r="AQ132" s="187"/>
      <c r="AR132" s="89"/>
      <c r="AS132" s="90"/>
      <c r="AT132" s="118"/>
      <c r="AU132" s="118"/>
      <c r="AV132" s="118"/>
      <c r="AW132" s="118"/>
      <c r="AX132" s="33"/>
      <c r="AY132" s="33"/>
      <c r="AZ132" s="82"/>
      <c r="BA132" s="82"/>
      <c r="BB132" s="82"/>
      <c r="BC132" s="691"/>
    </row>
    <row r="133" spans="1:55" x14ac:dyDescent="0.25">
      <c r="A133" s="358">
        <v>43346</v>
      </c>
      <c r="B133" s="813" t="s">
        <v>1232</v>
      </c>
      <c r="C133" s="91" t="s">
        <v>91</v>
      </c>
      <c r="D133" s="76" t="s">
        <v>305</v>
      </c>
      <c r="E133" s="76"/>
      <c r="F133" s="15"/>
      <c r="G133" s="15"/>
      <c r="H133" s="15"/>
      <c r="I133" s="15"/>
      <c r="J133" s="78"/>
      <c r="K133" s="78"/>
      <c r="L133" s="16"/>
      <c r="M133" s="16"/>
      <c r="N133" s="16"/>
      <c r="O133" s="16"/>
      <c r="P133" s="80"/>
      <c r="Q133" s="80"/>
      <c r="R133" s="17"/>
      <c r="S133" s="17"/>
      <c r="T133" s="17"/>
      <c r="U133" s="17"/>
      <c r="V133" s="117"/>
      <c r="W133" s="117"/>
      <c r="X133" s="82"/>
      <c r="Y133" s="82"/>
      <c r="Z133" s="82"/>
      <c r="AA133" s="82"/>
      <c r="AB133" s="18"/>
      <c r="AC133" s="18"/>
      <c r="AD133" s="86"/>
      <c r="AE133" s="86"/>
      <c r="AF133" s="84"/>
      <c r="AG133" s="84"/>
      <c r="AH133" s="41"/>
      <c r="AI133" s="41"/>
      <c r="AJ133" s="41"/>
      <c r="AK133" s="41"/>
      <c r="AL133" s="185"/>
      <c r="AM133" s="185"/>
      <c r="AN133" s="187"/>
      <c r="AO133" s="187"/>
      <c r="AP133" s="187"/>
      <c r="AQ133" s="187"/>
      <c r="AR133" s="89"/>
      <c r="AS133" s="90"/>
      <c r="AT133" s="118"/>
      <c r="AU133" s="118"/>
      <c r="AV133" s="118"/>
      <c r="AW133" s="118"/>
      <c r="AX133" s="33"/>
      <c r="AY133" s="33"/>
      <c r="AZ133" s="82"/>
      <c r="BA133" s="82"/>
      <c r="BB133" s="82"/>
      <c r="BC133" s="691"/>
    </row>
    <row r="134" spans="1:55" x14ac:dyDescent="0.25">
      <c r="A134" s="358">
        <v>43346</v>
      </c>
      <c r="B134" s="813" t="s">
        <v>1233</v>
      </c>
      <c r="C134" s="91" t="s">
        <v>91</v>
      </c>
      <c r="D134" s="76"/>
      <c r="E134" s="76"/>
      <c r="F134" s="15"/>
      <c r="G134" s="15"/>
      <c r="H134" s="15"/>
      <c r="I134" s="15"/>
      <c r="J134" s="78"/>
      <c r="K134" s="78"/>
      <c r="L134" s="16"/>
      <c r="M134" s="16"/>
      <c r="N134" s="16"/>
      <c r="O134" s="16"/>
      <c r="P134" s="80"/>
      <c r="Q134" s="80"/>
      <c r="R134" s="17"/>
      <c r="S134" s="17"/>
      <c r="T134" s="17"/>
      <c r="U134" s="17"/>
      <c r="V134" s="202" t="s">
        <v>305</v>
      </c>
      <c r="W134" s="202"/>
      <c r="X134" s="82"/>
      <c r="Y134" s="82"/>
      <c r="Z134" s="82"/>
      <c r="AA134" s="82"/>
      <c r="AB134" s="18"/>
      <c r="AC134" s="18"/>
      <c r="AD134" s="86"/>
      <c r="AE134" s="86"/>
      <c r="AF134" s="84"/>
      <c r="AG134" s="84"/>
      <c r="AH134" s="41"/>
      <c r="AI134" s="41"/>
      <c r="AJ134" s="41"/>
      <c r="AK134" s="41"/>
      <c r="AL134" s="185"/>
      <c r="AM134" s="185"/>
      <c r="AN134" s="187"/>
      <c r="AO134" s="187"/>
      <c r="AP134" s="187"/>
      <c r="AQ134" s="187"/>
      <c r="AR134" s="89"/>
      <c r="AS134" s="90"/>
      <c r="AT134" s="203"/>
      <c r="AU134" s="203"/>
      <c r="AV134" s="203"/>
      <c r="AW134" s="203"/>
      <c r="AX134" s="33"/>
      <c r="AY134" s="33"/>
      <c r="AZ134" s="82"/>
      <c r="BA134" s="82"/>
      <c r="BB134" s="82"/>
      <c r="BC134" s="691"/>
    </row>
    <row r="135" spans="1:55" x14ac:dyDescent="0.25">
      <c r="A135" s="358">
        <v>43349</v>
      </c>
      <c r="B135" s="78" t="s">
        <v>1251</v>
      </c>
      <c r="C135" s="91" t="s">
        <v>93</v>
      </c>
      <c r="D135" s="76"/>
      <c r="E135" s="76"/>
      <c r="F135" s="15"/>
      <c r="G135" s="15"/>
      <c r="H135" s="15"/>
      <c r="I135" s="15"/>
      <c r="J135" s="78"/>
      <c r="K135" s="78" t="s">
        <v>305</v>
      </c>
      <c r="L135" s="16"/>
      <c r="M135" s="16"/>
      <c r="N135" s="16"/>
      <c r="O135" s="16"/>
      <c r="P135" s="80"/>
      <c r="Q135" s="80"/>
      <c r="R135" s="17"/>
      <c r="S135" s="17"/>
      <c r="T135" s="17"/>
      <c r="U135" s="17"/>
      <c r="V135" s="286"/>
      <c r="W135" s="286"/>
      <c r="X135" s="82"/>
      <c r="Y135" s="82"/>
      <c r="Z135" s="82"/>
      <c r="AA135" s="82"/>
      <c r="AB135" s="18"/>
      <c r="AC135" s="18"/>
      <c r="AD135" s="86"/>
      <c r="AE135" s="86"/>
      <c r="AF135" s="84"/>
      <c r="AG135" s="84"/>
      <c r="AH135" s="41"/>
      <c r="AI135" s="41"/>
      <c r="AJ135" s="41"/>
      <c r="AK135" s="41"/>
      <c r="AL135" s="185"/>
      <c r="AM135" s="185"/>
      <c r="AN135" s="187"/>
      <c r="AO135" s="187"/>
      <c r="AP135" s="187"/>
      <c r="AQ135" s="187"/>
      <c r="AR135" s="89"/>
      <c r="AS135" s="90"/>
      <c r="AT135" s="287"/>
      <c r="AU135" s="287"/>
      <c r="AV135" s="287"/>
      <c r="AW135" s="287"/>
      <c r="AX135" s="33"/>
      <c r="AY135" s="33"/>
      <c r="AZ135" s="82"/>
      <c r="BA135" s="82"/>
      <c r="BB135" s="82"/>
      <c r="BC135" s="691"/>
    </row>
    <row r="136" spans="1:55" x14ac:dyDescent="0.25">
      <c r="A136" s="358">
        <v>43349</v>
      </c>
      <c r="B136" s="78" t="s">
        <v>1252</v>
      </c>
      <c r="C136" s="91" t="s">
        <v>93</v>
      </c>
      <c r="D136" s="76"/>
      <c r="E136" s="76"/>
      <c r="F136" s="15"/>
      <c r="G136" s="15"/>
      <c r="H136" s="15"/>
      <c r="I136" s="15"/>
      <c r="J136" s="78"/>
      <c r="K136" s="78" t="s">
        <v>305</v>
      </c>
      <c r="L136" s="16"/>
      <c r="M136" s="16"/>
      <c r="N136" s="16"/>
      <c r="O136" s="16"/>
      <c r="P136" s="80"/>
      <c r="Q136" s="80"/>
      <c r="R136" s="17"/>
      <c r="S136" s="17"/>
      <c r="T136" s="17"/>
      <c r="U136" s="17"/>
      <c r="V136" s="202"/>
      <c r="W136" s="202"/>
      <c r="X136" s="82"/>
      <c r="Y136" s="82"/>
      <c r="Z136" s="82"/>
      <c r="AA136" s="82"/>
      <c r="AB136" s="18"/>
      <c r="AC136" s="18"/>
      <c r="AD136" s="86"/>
      <c r="AE136" s="86"/>
      <c r="AF136" s="84"/>
      <c r="AG136" s="84"/>
      <c r="AH136" s="41"/>
      <c r="AI136" s="41"/>
      <c r="AJ136" s="41"/>
      <c r="AK136" s="41"/>
      <c r="AL136" s="185"/>
      <c r="AM136" s="185"/>
      <c r="AN136" s="187"/>
      <c r="AO136" s="187"/>
      <c r="AP136" s="187"/>
      <c r="AQ136" s="187"/>
      <c r="AR136" s="89"/>
      <c r="AS136" s="90"/>
      <c r="AT136" s="203"/>
      <c r="AU136" s="203"/>
      <c r="AV136" s="203"/>
      <c r="AW136" s="203"/>
      <c r="AX136" s="33"/>
      <c r="AY136" s="33"/>
      <c r="AZ136" s="82"/>
      <c r="BA136" s="82"/>
      <c r="BB136" s="82"/>
      <c r="BC136" s="691"/>
    </row>
    <row r="137" spans="1:55" x14ac:dyDescent="0.25">
      <c r="A137" s="358">
        <v>43349</v>
      </c>
      <c r="B137" s="78" t="s">
        <v>1253</v>
      </c>
      <c r="C137" s="91" t="s">
        <v>93</v>
      </c>
      <c r="D137" s="76"/>
      <c r="E137" s="76"/>
      <c r="F137" s="15"/>
      <c r="G137" s="15"/>
      <c r="H137" s="15"/>
      <c r="I137" s="15"/>
      <c r="J137" s="78"/>
      <c r="K137" s="78" t="s">
        <v>305</v>
      </c>
      <c r="L137" s="16"/>
      <c r="M137" s="16"/>
      <c r="N137" s="16"/>
      <c r="O137" s="16"/>
      <c r="P137" s="80"/>
      <c r="Q137" s="80"/>
      <c r="R137" s="17"/>
      <c r="S137" s="17"/>
      <c r="T137" s="17"/>
      <c r="U137" s="17"/>
      <c r="V137" s="117"/>
      <c r="W137" s="117"/>
      <c r="X137" s="82"/>
      <c r="Y137" s="82"/>
      <c r="Z137" s="82"/>
      <c r="AA137" s="82"/>
      <c r="AB137" s="18"/>
      <c r="AC137" s="18"/>
      <c r="AD137" s="86"/>
      <c r="AE137" s="86"/>
      <c r="AF137" s="84"/>
      <c r="AG137" s="84"/>
      <c r="AH137" s="41"/>
      <c r="AI137" s="41"/>
      <c r="AJ137" s="41"/>
      <c r="AK137" s="41"/>
      <c r="AL137" s="185"/>
      <c r="AM137" s="185"/>
      <c r="AN137" s="187"/>
      <c r="AO137" s="187"/>
      <c r="AP137" s="187"/>
      <c r="AQ137" s="187"/>
      <c r="AR137" s="89"/>
      <c r="AS137" s="90"/>
      <c r="AT137" s="118"/>
      <c r="AU137" s="118"/>
      <c r="AV137" s="118"/>
      <c r="AW137" s="118"/>
      <c r="AX137" s="33"/>
      <c r="AY137" s="33"/>
      <c r="AZ137" s="82"/>
      <c r="BA137" s="82"/>
      <c r="BB137" s="82"/>
      <c r="BC137" s="691"/>
    </row>
    <row r="138" spans="1:55" x14ac:dyDescent="0.25">
      <c r="A138" s="358">
        <v>43350</v>
      </c>
      <c r="B138" s="78" t="s">
        <v>1254</v>
      </c>
      <c r="C138" s="91" t="s">
        <v>93</v>
      </c>
      <c r="D138" s="76"/>
      <c r="E138" s="76"/>
      <c r="F138" s="15"/>
      <c r="G138" s="15"/>
      <c r="H138" s="15"/>
      <c r="I138" s="15"/>
      <c r="J138" s="78"/>
      <c r="K138" s="78" t="s">
        <v>305</v>
      </c>
      <c r="L138" s="16"/>
      <c r="M138" s="16"/>
      <c r="N138" s="16"/>
      <c r="O138" s="16"/>
      <c r="P138" s="80"/>
      <c r="Q138" s="80"/>
      <c r="R138" s="17"/>
      <c r="S138" s="17"/>
      <c r="T138" s="17"/>
      <c r="U138" s="17"/>
      <c r="V138" s="117"/>
      <c r="W138" s="117"/>
      <c r="X138" s="82"/>
      <c r="Y138" s="82"/>
      <c r="Z138" s="82"/>
      <c r="AA138" s="82"/>
      <c r="AB138" s="18"/>
      <c r="AC138" s="18"/>
      <c r="AD138" s="86"/>
      <c r="AE138" s="86"/>
      <c r="AF138" s="84"/>
      <c r="AG138" s="84"/>
      <c r="AH138" s="41"/>
      <c r="AI138" s="41"/>
      <c r="AJ138" s="41"/>
      <c r="AK138" s="41"/>
      <c r="AL138" s="185"/>
      <c r="AM138" s="185"/>
      <c r="AN138" s="187"/>
      <c r="AO138" s="187"/>
      <c r="AP138" s="187"/>
      <c r="AQ138" s="187"/>
      <c r="AR138" s="89"/>
      <c r="AS138" s="90"/>
      <c r="AT138" s="118"/>
      <c r="AU138" s="118"/>
      <c r="AV138" s="118"/>
      <c r="AW138" s="118"/>
      <c r="AX138" s="33"/>
      <c r="AY138" s="33"/>
      <c r="AZ138" s="82"/>
      <c r="BA138" s="82"/>
      <c r="BB138" s="82"/>
      <c r="BC138" s="691"/>
    </row>
    <row r="139" spans="1:55" x14ac:dyDescent="0.25">
      <c r="A139" s="358">
        <v>43350</v>
      </c>
      <c r="B139" s="78" t="s">
        <v>1255</v>
      </c>
      <c r="C139" s="91" t="s">
        <v>93</v>
      </c>
      <c r="D139" s="76"/>
      <c r="E139" s="76"/>
      <c r="F139" s="15"/>
      <c r="G139" s="15"/>
      <c r="H139" s="15"/>
      <c r="I139" s="15"/>
      <c r="J139" s="78"/>
      <c r="K139" s="78" t="s">
        <v>305</v>
      </c>
      <c r="L139" s="16"/>
      <c r="M139" s="16"/>
      <c r="N139" s="16"/>
      <c r="O139" s="16"/>
      <c r="P139" s="80"/>
      <c r="Q139" s="80"/>
      <c r="R139" s="17"/>
      <c r="S139" s="17"/>
      <c r="T139" s="17"/>
      <c r="U139" s="17"/>
      <c r="V139" s="117"/>
      <c r="W139" s="117"/>
      <c r="X139" s="82"/>
      <c r="Y139" s="82"/>
      <c r="Z139" s="82"/>
      <c r="AA139" s="82"/>
      <c r="AB139" s="18"/>
      <c r="AC139" s="18"/>
      <c r="AD139" s="86"/>
      <c r="AE139" s="86"/>
      <c r="AF139" s="84"/>
      <c r="AG139" s="84"/>
      <c r="AH139" s="41"/>
      <c r="AI139" s="41"/>
      <c r="AJ139" s="41"/>
      <c r="AK139" s="41"/>
      <c r="AL139" s="185"/>
      <c r="AM139" s="185"/>
      <c r="AN139" s="187"/>
      <c r="AO139" s="187"/>
      <c r="AP139" s="187"/>
      <c r="AQ139" s="187"/>
      <c r="AR139" s="89"/>
      <c r="AS139" s="90"/>
      <c r="AT139" s="118"/>
      <c r="AU139" s="118"/>
      <c r="AV139" s="118"/>
      <c r="AW139" s="118"/>
      <c r="AX139" s="33"/>
      <c r="AY139" s="33"/>
      <c r="AZ139" s="82"/>
      <c r="BA139" s="82"/>
      <c r="BB139" s="82"/>
      <c r="BC139" s="691"/>
    </row>
    <row r="140" spans="1:55" x14ac:dyDescent="0.25">
      <c r="A140" s="358">
        <v>43350</v>
      </c>
      <c r="B140" s="78" t="s">
        <v>1256</v>
      </c>
      <c r="C140" s="91" t="s">
        <v>93</v>
      </c>
      <c r="D140" s="76"/>
      <c r="E140" s="76"/>
      <c r="F140" s="15"/>
      <c r="G140" s="15"/>
      <c r="H140" s="15"/>
      <c r="I140" s="15"/>
      <c r="J140" s="78"/>
      <c r="K140" s="78" t="s">
        <v>305</v>
      </c>
      <c r="L140" s="16"/>
      <c r="M140" s="16"/>
      <c r="N140" s="16"/>
      <c r="O140" s="16"/>
      <c r="P140" s="80"/>
      <c r="Q140" s="80"/>
      <c r="R140" s="17"/>
      <c r="S140" s="17"/>
      <c r="T140" s="17"/>
      <c r="U140" s="17"/>
      <c r="V140" s="117"/>
      <c r="W140" s="117"/>
      <c r="X140" s="82"/>
      <c r="Y140" s="82"/>
      <c r="Z140" s="82"/>
      <c r="AA140" s="82"/>
      <c r="AB140" s="18"/>
      <c r="AC140" s="18"/>
      <c r="AD140" s="86"/>
      <c r="AE140" s="86"/>
      <c r="AF140" s="84"/>
      <c r="AG140" s="84"/>
      <c r="AH140" s="41"/>
      <c r="AI140" s="41"/>
      <c r="AJ140" s="41"/>
      <c r="AK140" s="41"/>
      <c r="AL140" s="185"/>
      <c r="AM140" s="185"/>
      <c r="AN140" s="187"/>
      <c r="AO140" s="187"/>
      <c r="AP140" s="187"/>
      <c r="AQ140" s="187"/>
      <c r="AR140" s="89"/>
      <c r="AS140" s="90"/>
      <c r="AT140" s="118"/>
      <c r="AU140" s="118"/>
      <c r="AV140" s="118"/>
      <c r="AW140" s="118"/>
      <c r="AX140" s="33"/>
      <c r="AY140" s="33"/>
      <c r="AZ140" s="82"/>
      <c r="BA140" s="82"/>
      <c r="BB140" s="82"/>
      <c r="BC140" s="691"/>
    </row>
    <row r="141" spans="1:55" x14ac:dyDescent="0.25">
      <c r="A141" s="358">
        <v>43351</v>
      </c>
      <c r="B141" s="78" t="s">
        <v>1274</v>
      </c>
      <c r="C141" s="91" t="s">
        <v>93</v>
      </c>
      <c r="D141" s="76"/>
      <c r="E141" s="76"/>
      <c r="F141" s="15"/>
      <c r="G141" s="15"/>
      <c r="H141" s="15"/>
      <c r="I141" s="15"/>
      <c r="J141" s="78" t="s">
        <v>305</v>
      </c>
      <c r="K141" s="78"/>
      <c r="L141" s="16"/>
      <c r="M141" s="16"/>
      <c r="N141" s="16"/>
      <c r="O141" s="16"/>
      <c r="P141" s="80"/>
      <c r="Q141" s="80"/>
      <c r="R141" s="17"/>
      <c r="S141" s="17"/>
      <c r="T141" s="17"/>
      <c r="U141" s="17"/>
      <c r="V141" s="117"/>
      <c r="W141" s="117"/>
      <c r="X141" s="82"/>
      <c r="Y141" s="82"/>
      <c r="Z141" s="82"/>
      <c r="AA141" s="82"/>
      <c r="AB141" s="18"/>
      <c r="AC141" s="18"/>
      <c r="AD141" s="86"/>
      <c r="AE141" s="86"/>
      <c r="AF141" s="84"/>
      <c r="AG141" s="84"/>
      <c r="AH141" s="41"/>
      <c r="AI141" s="41"/>
      <c r="AJ141" s="41"/>
      <c r="AK141" s="41"/>
      <c r="AL141" s="185"/>
      <c r="AM141" s="185"/>
      <c r="AN141" s="187"/>
      <c r="AO141" s="187"/>
      <c r="AP141" s="187"/>
      <c r="AQ141" s="187"/>
      <c r="AR141" s="89"/>
      <c r="AS141" s="90"/>
      <c r="AT141" s="118"/>
      <c r="AU141" s="118"/>
      <c r="AV141" s="118"/>
      <c r="AW141" s="118"/>
      <c r="AX141" s="33"/>
      <c r="AY141" s="33"/>
      <c r="AZ141" s="82"/>
      <c r="BA141" s="82"/>
      <c r="BB141" s="82"/>
      <c r="BC141" s="691"/>
    </row>
    <row r="142" spans="1:55" x14ac:dyDescent="0.25">
      <c r="A142" s="358">
        <v>43355</v>
      </c>
      <c r="B142" s="813" t="s">
        <v>1288</v>
      </c>
      <c r="C142" s="91" t="s">
        <v>91</v>
      </c>
      <c r="D142" s="76"/>
      <c r="E142" s="76"/>
      <c r="F142" s="15"/>
      <c r="G142" s="15"/>
      <c r="H142" s="15"/>
      <c r="I142" s="15"/>
      <c r="J142" s="78"/>
      <c r="K142" s="78"/>
      <c r="L142" s="16"/>
      <c r="M142" s="16"/>
      <c r="N142" s="16"/>
      <c r="O142" s="16"/>
      <c r="P142" s="80"/>
      <c r="Q142" s="80"/>
      <c r="R142" s="17"/>
      <c r="S142" s="17"/>
      <c r="T142" s="17"/>
      <c r="U142" s="17"/>
      <c r="V142" s="117" t="s">
        <v>305</v>
      </c>
      <c r="W142" s="117"/>
      <c r="X142" s="82"/>
      <c r="Y142" s="82"/>
      <c r="Z142" s="82"/>
      <c r="AA142" s="82"/>
      <c r="AB142" s="18"/>
      <c r="AC142" s="18"/>
      <c r="AD142" s="86"/>
      <c r="AE142" s="86"/>
      <c r="AF142" s="84"/>
      <c r="AG142" s="84"/>
      <c r="AH142" s="41"/>
      <c r="AI142" s="41"/>
      <c r="AJ142" s="41"/>
      <c r="AK142" s="41"/>
      <c r="AL142" s="185"/>
      <c r="AM142" s="185"/>
      <c r="AN142" s="187"/>
      <c r="AO142" s="187"/>
      <c r="AP142" s="187"/>
      <c r="AQ142" s="187"/>
      <c r="AR142" s="89"/>
      <c r="AS142" s="90"/>
      <c r="AT142" s="118"/>
      <c r="AU142" s="118"/>
      <c r="AV142" s="118"/>
      <c r="AW142" s="118"/>
      <c r="AX142" s="33"/>
      <c r="AY142" s="33"/>
      <c r="AZ142" s="82"/>
      <c r="BA142" s="82"/>
      <c r="BB142" s="82"/>
      <c r="BC142" s="691"/>
    </row>
    <row r="143" spans="1:55" x14ac:dyDescent="0.25">
      <c r="A143" s="358">
        <v>43356</v>
      </c>
      <c r="B143" s="78" t="s">
        <v>1292</v>
      </c>
      <c r="C143" s="91" t="s">
        <v>93</v>
      </c>
      <c r="D143" s="76"/>
      <c r="E143" s="76"/>
      <c r="F143" s="15"/>
      <c r="G143" s="15"/>
      <c r="H143" s="15"/>
      <c r="I143" s="15"/>
      <c r="J143" s="78" t="s">
        <v>305</v>
      </c>
      <c r="K143" s="78"/>
      <c r="L143" s="16"/>
      <c r="M143" s="16"/>
      <c r="N143" s="16"/>
      <c r="O143" s="16"/>
      <c r="P143" s="80"/>
      <c r="Q143" s="80"/>
      <c r="R143" s="17"/>
      <c r="S143" s="17"/>
      <c r="T143" s="17"/>
      <c r="U143" s="17"/>
      <c r="V143" s="154"/>
      <c r="W143" s="154"/>
      <c r="X143" s="82"/>
      <c r="Y143" s="82"/>
      <c r="Z143" s="82"/>
      <c r="AA143" s="82"/>
      <c r="AB143" s="18"/>
      <c r="AC143" s="18"/>
      <c r="AD143" s="86"/>
      <c r="AE143" s="86"/>
      <c r="AF143" s="84"/>
      <c r="AG143" s="84"/>
      <c r="AH143" s="41"/>
      <c r="AI143" s="41"/>
      <c r="AJ143" s="41"/>
      <c r="AK143" s="41"/>
      <c r="AL143" s="185"/>
      <c r="AM143" s="185"/>
      <c r="AN143" s="187"/>
      <c r="AO143" s="187"/>
      <c r="AP143" s="187"/>
      <c r="AQ143" s="187"/>
      <c r="AR143" s="89"/>
      <c r="AS143" s="90"/>
      <c r="AT143" s="155"/>
      <c r="AU143" s="155"/>
      <c r="AV143" s="155"/>
      <c r="AW143" s="155"/>
      <c r="AX143" s="33"/>
      <c r="AY143" s="33"/>
      <c r="AZ143" s="82"/>
      <c r="BA143" s="82"/>
      <c r="BB143" s="82"/>
      <c r="BC143" s="691"/>
    </row>
    <row r="144" spans="1:55" x14ac:dyDescent="0.25">
      <c r="A144" s="358">
        <v>43357</v>
      </c>
      <c r="B144" s="813" t="s">
        <v>1480</v>
      </c>
      <c r="C144" s="91" t="s">
        <v>91</v>
      </c>
      <c r="D144" s="76" t="s">
        <v>305</v>
      </c>
      <c r="E144" s="76"/>
      <c r="F144" s="15"/>
      <c r="G144" s="15"/>
      <c r="H144" s="15"/>
      <c r="I144" s="15"/>
      <c r="J144" s="78"/>
      <c r="K144" s="78"/>
      <c r="L144" s="16"/>
      <c r="M144" s="16"/>
      <c r="N144" s="16"/>
      <c r="O144" s="16"/>
      <c r="P144" s="80"/>
      <c r="Q144" s="80"/>
      <c r="R144" s="17"/>
      <c r="S144" s="17"/>
      <c r="T144" s="17"/>
      <c r="U144" s="17"/>
      <c r="V144" s="117"/>
      <c r="W144" s="117"/>
      <c r="X144" s="82"/>
      <c r="Y144" s="82"/>
      <c r="Z144" s="82"/>
      <c r="AA144" s="82"/>
      <c r="AB144" s="18"/>
      <c r="AC144" s="18"/>
      <c r="AD144" s="86"/>
      <c r="AE144" s="86"/>
      <c r="AF144" s="84"/>
      <c r="AG144" s="84"/>
      <c r="AH144" s="41"/>
      <c r="AI144" s="41"/>
      <c r="AJ144" s="41"/>
      <c r="AK144" s="41"/>
      <c r="AL144" s="185"/>
      <c r="AM144" s="185"/>
      <c r="AN144" s="187"/>
      <c r="AO144" s="187"/>
      <c r="AP144" s="187"/>
      <c r="AQ144" s="187"/>
      <c r="AR144" s="89"/>
      <c r="AS144" s="90"/>
      <c r="AT144" s="118"/>
      <c r="AU144" s="118"/>
      <c r="AV144" s="118"/>
      <c r="AW144" s="118"/>
      <c r="AX144" s="33"/>
      <c r="AY144" s="33"/>
      <c r="AZ144" s="82"/>
      <c r="BA144" s="82"/>
      <c r="BB144" s="82"/>
      <c r="BC144" s="691"/>
    </row>
    <row r="145" spans="1:55" x14ac:dyDescent="0.25">
      <c r="A145" s="358">
        <v>43358</v>
      </c>
      <c r="B145" s="17" t="s">
        <v>1298</v>
      </c>
      <c r="C145" s="91" t="s">
        <v>95</v>
      </c>
      <c r="D145" s="76"/>
      <c r="E145" s="76"/>
      <c r="F145" s="15"/>
      <c r="G145" s="15"/>
      <c r="H145" s="15"/>
      <c r="I145" s="15"/>
      <c r="J145" s="78"/>
      <c r="K145" s="78"/>
      <c r="L145" s="16"/>
      <c r="M145" s="16"/>
      <c r="N145" s="16"/>
      <c r="O145" s="16"/>
      <c r="P145" s="80"/>
      <c r="Q145" s="80"/>
      <c r="R145" s="17"/>
      <c r="S145" s="17"/>
      <c r="T145" s="17"/>
      <c r="U145" s="17"/>
      <c r="V145" s="231"/>
      <c r="W145" s="231"/>
      <c r="X145" s="82"/>
      <c r="Y145" s="82"/>
      <c r="Z145" s="82" t="s">
        <v>305</v>
      </c>
      <c r="AA145" s="82"/>
      <c r="AB145" s="18"/>
      <c r="AC145" s="18"/>
      <c r="AD145" s="86"/>
      <c r="AE145" s="86"/>
      <c r="AF145" s="84"/>
      <c r="AG145" s="84"/>
      <c r="AH145" s="41"/>
      <c r="AI145" s="41"/>
      <c r="AJ145" s="41"/>
      <c r="AK145" s="41"/>
      <c r="AL145" s="185"/>
      <c r="AM145" s="185"/>
      <c r="AN145" s="187"/>
      <c r="AO145" s="187"/>
      <c r="AP145" s="187"/>
      <c r="AQ145" s="187"/>
      <c r="AR145" s="89"/>
      <c r="AS145" s="90"/>
      <c r="AT145" s="232"/>
      <c r="AU145" s="232"/>
      <c r="AV145" s="232"/>
      <c r="AW145" s="232"/>
      <c r="AX145" s="33"/>
      <c r="AY145" s="33"/>
      <c r="AZ145" s="82"/>
      <c r="BA145" s="82"/>
      <c r="BB145" s="82"/>
      <c r="BC145" s="691"/>
    </row>
    <row r="146" spans="1:55" x14ac:dyDescent="0.25">
      <c r="A146" s="358">
        <v>43360</v>
      </c>
      <c r="B146" s="813" t="s">
        <v>1323</v>
      </c>
      <c r="C146" s="91" t="s">
        <v>91</v>
      </c>
      <c r="D146" s="76"/>
      <c r="E146" s="76"/>
      <c r="F146" s="15"/>
      <c r="G146" s="15"/>
      <c r="H146" s="15"/>
      <c r="I146" s="15"/>
      <c r="J146" s="78"/>
      <c r="K146" s="78"/>
      <c r="L146" s="16"/>
      <c r="M146" s="16"/>
      <c r="N146" s="16"/>
      <c r="O146" s="16"/>
      <c r="P146" s="80"/>
      <c r="Q146" s="80"/>
      <c r="R146" s="17"/>
      <c r="S146" s="17"/>
      <c r="T146" s="17"/>
      <c r="U146" s="17"/>
      <c r="V146" s="418" t="s">
        <v>305</v>
      </c>
      <c r="W146" s="418"/>
      <c r="X146" s="82"/>
      <c r="Y146" s="82"/>
      <c r="Z146" s="82"/>
      <c r="AA146" s="82"/>
      <c r="AB146" s="18"/>
      <c r="AC146" s="18"/>
      <c r="AD146" s="86"/>
      <c r="AE146" s="86"/>
      <c r="AF146" s="84"/>
      <c r="AG146" s="84"/>
      <c r="AH146" s="41"/>
      <c r="AI146" s="41"/>
      <c r="AJ146" s="41"/>
      <c r="AK146" s="41"/>
      <c r="AL146" s="185"/>
      <c r="AM146" s="185"/>
      <c r="AN146" s="187"/>
      <c r="AO146" s="187"/>
      <c r="AP146" s="187"/>
      <c r="AQ146" s="187"/>
      <c r="AR146" s="89"/>
      <c r="AS146" s="90"/>
      <c r="AT146" s="419"/>
      <c r="AU146" s="419"/>
      <c r="AV146" s="419"/>
      <c r="AW146" s="419"/>
      <c r="AX146" s="420"/>
      <c r="AY146" s="420"/>
      <c r="AZ146" s="82"/>
      <c r="BA146" s="82"/>
      <c r="BB146" s="82"/>
      <c r="BC146" s="691"/>
    </row>
    <row r="147" spans="1:55" x14ac:dyDescent="0.25">
      <c r="A147" s="358">
        <v>43361</v>
      </c>
      <c r="B147" s="138" t="s">
        <v>1328</v>
      </c>
      <c r="C147" s="91" t="s">
        <v>95</v>
      </c>
      <c r="D147" s="76"/>
      <c r="E147" s="76"/>
      <c r="F147" s="15"/>
      <c r="G147" s="15"/>
      <c r="H147" s="15"/>
      <c r="I147" s="15"/>
      <c r="J147" s="78"/>
      <c r="K147" s="78"/>
      <c r="L147" s="16"/>
      <c r="M147" s="16"/>
      <c r="N147" s="16"/>
      <c r="O147" s="16"/>
      <c r="P147" s="80"/>
      <c r="Q147" s="80"/>
      <c r="R147" s="17"/>
      <c r="S147" s="17"/>
      <c r="T147" s="17"/>
      <c r="U147" s="17"/>
      <c r="V147" s="117"/>
      <c r="W147" s="117"/>
      <c r="X147" s="82"/>
      <c r="Y147" s="82"/>
      <c r="Z147" s="82" t="s">
        <v>305</v>
      </c>
      <c r="AA147" s="82"/>
      <c r="AB147" s="18"/>
      <c r="AC147" s="18"/>
      <c r="AD147" s="86"/>
      <c r="AE147" s="86"/>
      <c r="AF147" s="84"/>
      <c r="AG147" s="84"/>
      <c r="AH147" s="41"/>
      <c r="AI147" s="41"/>
      <c r="AJ147" s="41"/>
      <c r="AK147" s="41"/>
      <c r="AL147" s="185"/>
      <c r="AM147" s="185"/>
      <c r="AN147" s="187"/>
      <c r="AO147" s="187"/>
      <c r="AP147" s="187"/>
      <c r="AQ147" s="187"/>
      <c r="AR147" s="89"/>
      <c r="AS147" s="90"/>
      <c r="AT147" s="118"/>
      <c r="AU147" s="118"/>
      <c r="AV147" s="118"/>
      <c r="AW147" s="118"/>
      <c r="AX147" s="33"/>
      <c r="AY147" s="33"/>
      <c r="AZ147" s="82"/>
      <c r="BA147" s="82"/>
      <c r="BB147" s="82"/>
      <c r="BC147" s="691"/>
    </row>
    <row r="148" spans="1:55" ht="15.75" customHeight="1" x14ac:dyDescent="0.25">
      <c r="A148" s="358">
        <v>43364</v>
      </c>
      <c r="B148" s="78" t="s">
        <v>1332</v>
      </c>
      <c r="C148" s="91" t="s">
        <v>93</v>
      </c>
      <c r="D148" s="76"/>
      <c r="E148" s="76"/>
      <c r="F148" s="15"/>
      <c r="G148" s="15"/>
      <c r="H148" s="15"/>
      <c r="I148" s="15"/>
      <c r="J148" s="78" t="s">
        <v>305</v>
      </c>
      <c r="K148" s="78"/>
      <c r="L148" s="16"/>
      <c r="M148" s="16"/>
      <c r="N148" s="16"/>
      <c r="O148" s="16"/>
      <c r="P148" s="80"/>
      <c r="Q148" s="80"/>
      <c r="R148" s="17"/>
      <c r="S148" s="17"/>
      <c r="T148" s="17"/>
      <c r="U148" s="17"/>
      <c r="V148" s="117"/>
      <c r="W148" s="117"/>
      <c r="X148" s="82"/>
      <c r="Y148" s="82"/>
      <c r="Z148" s="82"/>
      <c r="AA148" s="82"/>
      <c r="AB148" s="18"/>
      <c r="AC148" s="18"/>
      <c r="AD148" s="86"/>
      <c r="AE148" s="86"/>
      <c r="AF148" s="84"/>
      <c r="AG148" s="84"/>
      <c r="AH148" s="41"/>
      <c r="AI148" s="41"/>
      <c r="AJ148" s="41"/>
      <c r="AK148" s="41"/>
      <c r="AL148" s="185"/>
      <c r="AM148" s="185"/>
      <c r="AN148" s="187"/>
      <c r="AO148" s="187"/>
      <c r="AP148" s="187"/>
      <c r="AQ148" s="187"/>
      <c r="AR148" s="89"/>
      <c r="AS148" s="90"/>
      <c r="AT148" s="118"/>
      <c r="AU148" s="118"/>
      <c r="AV148" s="118"/>
      <c r="AW148" s="118"/>
      <c r="AX148" s="33"/>
      <c r="AY148" s="33"/>
      <c r="AZ148" s="82"/>
      <c r="BA148" s="82"/>
      <c r="BB148" s="82"/>
      <c r="BC148" s="691"/>
    </row>
    <row r="149" spans="1:55" x14ac:dyDescent="0.25">
      <c r="A149" s="358">
        <v>43364</v>
      </c>
      <c r="B149" s="813" t="s">
        <v>1336</v>
      </c>
      <c r="C149" s="91" t="s">
        <v>91</v>
      </c>
      <c r="D149" s="76" t="s">
        <v>305</v>
      </c>
      <c r="E149" s="76"/>
      <c r="F149" s="15"/>
      <c r="G149" s="15"/>
      <c r="H149" s="15"/>
      <c r="I149" s="15"/>
      <c r="J149" s="78"/>
      <c r="K149" s="78"/>
      <c r="L149" s="16"/>
      <c r="M149" s="16"/>
      <c r="N149" s="16"/>
      <c r="O149" s="16"/>
      <c r="P149" s="80"/>
      <c r="Q149" s="80"/>
      <c r="R149" s="17"/>
      <c r="S149" s="17"/>
      <c r="T149" s="17"/>
      <c r="U149" s="17"/>
      <c r="V149" s="117"/>
      <c r="W149" s="117"/>
      <c r="X149" s="82"/>
      <c r="Y149" s="82"/>
      <c r="Z149" s="82"/>
      <c r="AA149" s="82"/>
      <c r="AB149" s="18"/>
      <c r="AC149" s="18"/>
      <c r="AD149" s="86"/>
      <c r="AE149" s="86"/>
      <c r="AF149" s="84"/>
      <c r="AG149" s="84"/>
      <c r="AH149" s="41"/>
      <c r="AI149" s="41"/>
      <c r="AJ149" s="41"/>
      <c r="AK149" s="41"/>
      <c r="AL149" s="185"/>
      <c r="AM149" s="185"/>
      <c r="AN149" s="187"/>
      <c r="AO149" s="187"/>
      <c r="AP149" s="187"/>
      <c r="AQ149" s="187"/>
      <c r="AR149" s="89"/>
      <c r="AS149" s="90"/>
      <c r="AT149" s="118"/>
      <c r="AU149" s="118"/>
      <c r="AV149" s="118"/>
      <c r="AW149" s="118"/>
      <c r="AX149" s="33"/>
      <c r="AY149" s="33"/>
      <c r="AZ149" s="82"/>
      <c r="BA149" s="82"/>
      <c r="BB149" s="82"/>
      <c r="BC149" s="691"/>
    </row>
    <row r="150" spans="1:55" x14ac:dyDescent="0.25">
      <c r="A150" s="358">
        <v>43367</v>
      </c>
      <c r="B150" s="17" t="s">
        <v>1352</v>
      </c>
      <c r="C150" s="91" t="s">
        <v>95</v>
      </c>
      <c r="D150" s="76"/>
      <c r="E150" s="76"/>
      <c r="F150" s="15"/>
      <c r="G150" s="15"/>
      <c r="H150" s="15"/>
      <c r="I150" s="15"/>
      <c r="J150" s="78"/>
      <c r="K150" s="78"/>
      <c r="L150" s="16" t="s">
        <v>305</v>
      </c>
      <c r="M150" s="16"/>
      <c r="N150" s="16"/>
      <c r="O150" s="16"/>
      <c r="P150" s="80"/>
      <c r="Q150" s="80"/>
      <c r="R150" s="17"/>
      <c r="S150" s="17"/>
      <c r="T150" s="17"/>
      <c r="U150" s="17"/>
      <c r="V150" s="117"/>
      <c r="W150" s="117"/>
      <c r="X150" s="82"/>
      <c r="Y150" s="82"/>
      <c r="Z150" s="82"/>
      <c r="AA150" s="82"/>
      <c r="AB150" s="18"/>
      <c r="AC150" s="18"/>
      <c r="AD150" s="86"/>
      <c r="AE150" s="86"/>
      <c r="AF150" s="84"/>
      <c r="AG150" s="84"/>
      <c r="AH150" s="41"/>
      <c r="AI150" s="41"/>
      <c r="AJ150" s="41"/>
      <c r="AK150" s="41"/>
      <c r="AL150" s="185"/>
      <c r="AM150" s="185"/>
      <c r="AN150" s="187"/>
      <c r="AO150" s="192"/>
      <c r="AP150" s="187"/>
      <c r="AQ150" s="187"/>
      <c r="AR150" s="89"/>
      <c r="AS150" s="90"/>
      <c r="AT150" s="118"/>
      <c r="AU150" s="118"/>
      <c r="AV150" s="118"/>
      <c r="AW150" s="118"/>
      <c r="AX150" s="33"/>
      <c r="AY150" s="33"/>
      <c r="AZ150" s="82"/>
      <c r="BA150" s="82"/>
      <c r="BB150" s="82"/>
      <c r="BC150" s="691"/>
    </row>
    <row r="151" spans="1:55" x14ac:dyDescent="0.25">
      <c r="A151" s="358">
        <v>43367</v>
      </c>
      <c r="B151" s="813" t="s">
        <v>1358</v>
      </c>
      <c r="C151" s="91" t="s">
        <v>91</v>
      </c>
      <c r="D151" s="76"/>
      <c r="E151" s="76"/>
      <c r="F151" s="15"/>
      <c r="G151" s="15"/>
      <c r="H151" s="15"/>
      <c r="I151" s="15"/>
      <c r="J151" s="78"/>
      <c r="K151" s="78"/>
      <c r="L151" s="16"/>
      <c r="M151" s="16"/>
      <c r="N151" s="16"/>
      <c r="O151" s="16"/>
      <c r="P151" s="80"/>
      <c r="Q151" s="80"/>
      <c r="R151" s="17"/>
      <c r="S151" s="17"/>
      <c r="T151" s="17"/>
      <c r="U151" s="17"/>
      <c r="V151" s="117"/>
      <c r="W151" s="117"/>
      <c r="X151" s="82"/>
      <c r="Y151" s="82"/>
      <c r="Z151" s="82"/>
      <c r="AA151" s="82"/>
      <c r="AB151" s="18"/>
      <c r="AC151" s="18"/>
      <c r="AD151" s="86"/>
      <c r="AE151" s="86"/>
      <c r="AF151" s="84" t="s">
        <v>305</v>
      </c>
      <c r="AG151" s="84"/>
      <c r="AH151" s="41"/>
      <c r="AI151" s="41"/>
      <c r="AJ151" s="41"/>
      <c r="AK151" s="41"/>
      <c r="AL151" s="185"/>
      <c r="AM151" s="185"/>
      <c r="AN151" s="187"/>
      <c r="AO151" s="187"/>
      <c r="AP151" s="187"/>
      <c r="AQ151" s="187"/>
      <c r="AR151" s="89"/>
      <c r="AS151" s="90"/>
      <c r="AT151" s="118"/>
      <c r="AU151" s="118"/>
      <c r="AV151" s="118"/>
      <c r="AW151" s="118"/>
      <c r="AX151" s="33"/>
      <c r="AY151" s="33"/>
      <c r="AZ151" s="82"/>
      <c r="BA151" s="82"/>
      <c r="BB151" s="82"/>
      <c r="BC151" s="691"/>
    </row>
    <row r="152" spans="1:55" x14ac:dyDescent="0.25">
      <c r="A152" s="358">
        <v>43370</v>
      </c>
      <c r="B152" s="813" t="s">
        <v>1380</v>
      </c>
      <c r="C152" s="91" t="s">
        <v>91</v>
      </c>
      <c r="D152" s="76"/>
      <c r="E152" s="76"/>
      <c r="F152" s="15"/>
      <c r="G152" s="15"/>
      <c r="H152" s="15"/>
      <c r="I152" s="15"/>
      <c r="J152" s="78"/>
      <c r="K152" s="78"/>
      <c r="L152" s="16"/>
      <c r="M152" s="16"/>
      <c r="N152" s="16"/>
      <c r="O152" s="16"/>
      <c r="P152" s="80"/>
      <c r="Q152" s="80"/>
      <c r="R152" s="17"/>
      <c r="S152" s="17"/>
      <c r="T152" s="17"/>
      <c r="U152" s="17"/>
      <c r="V152" s="117" t="s">
        <v>305</v>
      </c>
      <c r="W152" s="117"/>
      <c r="X152" s="82"/>
      <c r="Y152" s="82"/>
      <c r="Z152" s="82"/>
      <c r="AA152" s="82"/>
      <c r="AB152" s="18"/>
      <c r="AC152" s="18"/>
      <c r="AD152" s="86"/>
      <c r="AE152" s="86"/>
      <c r="AF152" s="84"/>
      <c r="AG152" s="84"/>
      <c r="AH152" s="41"/>
      <c r="AI152" s="41"/>
      <c r="AJ152" s="41"/>
      <c r="AK152" s="41"/>
      <c r="AL152" s="185"/>
      <c r="AM152" s="185"/>
      <c r="AN152" s="187"/>
      <c r="AO152" s="187"/>
      <c r="AP152" s="187"/>
      <c r="AQ152" s="187"/>
      <c r="AR152" s="89"/>
      <c r="AS152" s="90"/>
      <c r="AT152" s="118"/>
      <c r="AU152" s="118"/>
      <c r="AV152" s="118"/>
      <c r="AW152" s="118"/>
      <c r="AX152" s="33"/>
      <c r="AY152" s="33"/>
      <c r="AZ152" s="82"/>
      <c r="BA152" s="82"/>
      <c r="BB152" s="82"/>
      <c r="BC152" s="691"/>
    </row>
    <row r="153" spans="1:55" x14ac:dyDescent="0.25">
      <c r="A153" s="358">
        <v>43371</v>
      </c>
      <c r="B153" s="813" t="s">
        <v>1381</v>
      </c>
      <c r="C153" s="91" t="s">
        <v>91</v>
      </c>
      <c r="D153" s="76" t="s">
        <v>305</v>
      </c>
      <c r="E153" s="76"/>
      <c r="F153" s="15"/>
      <c r="G153" s="15"/>
      <c r="H153" s="15"/>
      <c r="I153" s="15"/>
      <c r="J153" s="78"/>
      <c r="K153" s="78"/>
      <c r="L153" s="16"/>
      <c r="M153" s="16"/>
      <c r="N153" s="16"/>
      <c r="O153" s="16"/>
      <c r="P153" s="80"/>
      <c r="Q153" s="80"/>
      <c r="R153" s="17"/>
      <c r="S153" s="17"/>
      <c r="T153" s="17"/>
      <c r="U153" s="17"/>
      <c r="V153" s="117"/>
      <c r="W153" s="117"/>
      <c r="X153" s="82"/>
      <c r="Y153" s="82"/>
      <c r="Z153" s="82"/>
      <c r="AA153" s="82"/>
      <c r="AB153" s="18"/>
      <c r="AC153" s="18"/>
      <c r="AD153" s="86"/>
      <c r="AE153" s="86"/>
      <c r="AF153" s="84"/>
      <c r="AG153" s="84"/>
      <c r="AH153" s="41"/>
      <c r="AI153" s="41"/>
      <c r="AJ153" s="41"/>
      <c r="AK153" s="41"/>
      <c r="AL153" s="185"/>
      <c r="AM153" s="185"/>
      <c r="AN153" s="187"/>
      <c r="AO153" s="187"/>
      <c r="AP153" s="187"/>
      <c r="AQ153" s="187"/>
      <c r="AR153" s="89"/>
      <c r="AS153" s="90"/>
      <c r="AT153" s="118"/>
      <c r="AU153" s="118"/>
      <c r="AV153" s="118"/>
      <c r="AW153" s="118"/>
      <c r="AX153" s="33"/>
      <c r="AY153" s="33"/>
      <c r="AZ153" s="82"/>
      <c r="BA153" s="82"/>
      <c r="BB153" s="82"/>
      <c r="BC153" s="691"/>
    </row>
    <row r="154" spans="1:55" x14ac:dyDescent="0.25">
      <c r="A154" s="358">
        <v>43371</v>
      </c>
      <c r="B154" s="813" t="s">
        <v>1382</v>
      </c>
      <c r="C154" s="91" t="s">
        <v>91</v>
      </c>
      <c r="D154" s="76" t="s">
        <v>305</v>
      </c>
      <c r="E154" s="76"/>
      <c r="F154" s="15"/>
      <c r="G154" s="15"/>
      <c r="H154" s="15"/>
      <c r="I154" s="15"/>
      <c r="J154" s="78"/>
      <c r="K154" s="78"/>
      <c r="L154" s="16"/>
      <c r="M154" s="16"/>
      <c r="N154" s="16"/>
      <c r="O154" s="16"/>
      <c r="P154" s="80"/>
      <c r="Q154" s="80"/>
      <c r="R154" s="17"/>
      <c r="S154" s="17"/>
      <c r="T154" s="17"/>
      <c r="U154" s="17"/>
      <c r="V154" s="117"/>
      <c r="W154" s="117"/>
      <c r="X154" s="82"/>
      <c r="Y154" s="82"/>
      <c r="Z154" s="82"/>
      <c r="AA154" s="82"/>
      <c r="AB154" s="18"/>
      <c r="AC154" s="18"/>
      <c r="AD154" s="86"/>
      <c r="AE154" s="86"/>
      <c r="AF154" s="84"/>
      <c r="AG154" s="84"/>
      <c r="AH154" s="41"/>
      <c r="AI154" s="41"/>
      <c r="AJ154" s="41"/>
      <c r="AK154" s="41"/>
      <c r="AL154" s="185"/>
      <c r="AM154" s="185"/>
      <c r="AN154" s="187"/>
      <c r="AO154" s="187"/>
      <c r="AP154" s="187"/>
      <c r="AQ154" s="187"/>
      <c r="AR154" s="89"/>
      <c r="AS154" s="90"/>
      <c r="AT154" s="118"/>
      <c r="AU154" s="118"/>
      <c r="AV154" s="118"/>
      <c r="AW154" s="118"/>
      <c r="AX154" s="33"/>
      <c r="AY154" s="33"/>
      <c r="AZ154" s="82"/>
      <c r="BA154" s="82"/>
      <c r="BB154" s="82"/>
      <c r="BC154" s="691"/>
    </row>
    <row r="155" spans="1:55" x14ac:dyDescent="0.25">
      <c r="A155" s="358">
        <v>43372</v>
      </c>
      <c r="B155" s="78" t="s">
        <v>1392</v>
      </c>
      <c r="C155" s="91" t="s">
        <v>93</v>
      </c>
      <c r="D155" s="76"/>
      <c r="E155" s="76"/>
      <c r="F155" s="15"/>
      <c r="G155" s="15"/>
      <c r="H155" s="15"/>
      <c r="I155" s="15"/>
      <c r="J155" s="78" t="s">
        <v>305</v>
      </c>
      <c r="K155" s="78"/>
      <c r="L155" s="16"/>
      <c r="M155" s="16"/>
      <c r="N155" s="16"/>
      <c r="O155" s="16"/>
      <c r="P155" s="80"/>
      <c r="Q155" s="80"/>
      <c r="R155" s="17"/>
      <c r="S155" s="17"/>
      <c r="T155" s="17"/>
      <c r="U155" s="17"/>
      <c r="V155" s="117"/>
      <c r="W155" s="117"/>
      <c r="X155" s="82"/>
      <c r="Y155" s="82"/>
      <c r="Z155" s="82"/>
      <c r="AA155" s="82"/>
      <c r="AB155" s="18"/>
      <c r="AC155" s="18"/>
      <c r="AD155" s="86"/>
      <c r="AE155" s="86"/>
      <c r="AF155" s="84"/>
      <c r="AG155" s="84"/>
      <c r="AH155" s="41"/>
      <c r="AI155" s="41"/>
      <c r="AJ155" s="41"/>
      <c r="AK155" s="41"/>
      <c r="AL155" s="185"/>
      <c r="AM155" s="185"/>
      <c r="AN155" s="187"/>
      <c r="AO155" s="187"/>
      <c r="AP155" s="187"/>
      <c r="AQ155" s="187"/>
      <c r="AR155" s="89"/>
      <c r="AS155" s="90"/>
      <c r="AT155" s="118"/>
      <c r="AU155" s="118"/>
      <c r="AV155" s="118"/>
      <c r="AW155" s="118"/>
      <c r="AX155" s="33"/>
      <c r="AY155" s="33"/>
      <c r="AZ155" s="82"/>
      <c r="BA155" s="82"/>
      <c r="BB155" s="82"/>
      <c r="BC155" s="691"/>
    </row>
    <row r="156" spans="1:55" x14ac:dyDescent="0.25">
      <c r="A156" s="358">
        <v>43373</v>
      </c>
      <c r="B156" s="89" t="s">
        <v>1397</v>
      </c>
      <c r="C156" s="91" t="s">
        <v>63</v>
      </c>
      <c r="D156" s="76"/>
      <c r="E156" s="76"/>
      <c r="F156" s="15"/>
      <c r="G156" s="15"/>
      <c r="H156" s="15"/>
      <c r="I156" s="15"/>
      <c r="J156" s="78"/>
      <c r="K156" s="78"/>
      <c r="L156" s="16"/>
      <c r="M156" s="16"/>
      <c r="N156" s="16"/>
      <c r="O156" s="16"/>
      <c r="P156" s="80"/>
      <c r="Q156" s="80"/>
      <c r="R156" s="17"/>
      <c r="S156" s="17"/>
      <c r="T156" s="17"/>
      <c r="U156" s="17"/>
      <c r="V156" s="233"/>
      <c r="W156" s="233"/>
      <c r="X156" s="82"/>
      <c r="Y156" s="82"/>
      <c r="Z156" s="82"/>
      <c r="AA156" s="82"/>
      <c r="AB156" s="18"/>
      <c r="AC156" s="18"/>
      <c r="AD156" s="86"/>
      <c r="AE156" s="86"/>
      <c r="AF156" s="84"/>
      <c r="AG156" s="84"/>
      <c r="AH156" s="41"/>
      <c r="AI156" s="41"/>
      <c r="AJ156" s="41"/>
      <c r="AK156" s="41"/>
      <c r="AL156" s="185"/>
      <c r="AM156" s="185"/>
      <c r="AN156" s="187"/>
      <c r="AO156" s="187"/>
      <c r="AP156" s="187"/>
      <c r="AQ156" s="187"/>
      <c r="AR156" s="89" t="s">
        <v>305</v>
      </c>
      <c r="AS156" s="90"/>
      <c r="AT156" s="234"/>
      <c r="AU156" s="234"/>
      <c r="AV156" s="234"/>
      <c r="AW156" s="234"/>
      <c r="AX156" s="33"/>
      <c r="AY156" s="33"/>
      <c r="AZ156" s="82"/>
      <c r="BA156" s="82"/>
      <c r="BB156" s="82"/>
      <c r="BC156" s="691"/>
    </row>
    <row r="157" spans="1:55" x14ac:dyDescent="0.25">
      <c r="A157" s="358">
        <v>43374</v>
      </c>
      <c r="B157" s="78" t="s">
        <v>1401</v>
      </c>
      <c r="C157" s="91" t="s">
        <v>93</v>
      </c>
      <c r="D157" s="76"/>
      <c r="E157" s="76"/>
      <c r="F157" s="15"/>
      <c r="G157" s="15"/>
      <c r="H157" s="15"/>
      <c r="I157" s="15"/>
      <c r="J157" s="78" t="s">
        <v>305</v>
      </c>
      <c r="K157" s="78"/>
      <c r="L157" s="16"/>
      <c r="M157" s="16"/>
      <c r="N157" s="16"/>
      <c r="O157" s="16"/>
      <c r="P157" s="80"/>
      <c r="Q157" s="80"/>
      <c r="R157" s="17"/>
      <c r="S157" s="17"/>
      <c r="T157" s="17"/>
      <c r="U157" s="17"/>
      <c r="V157" s="117"/>
      <c r="W157" s="117"/>
      <c r="X157" s="82"/>
      <c r="Y157" s="82"/>
      <c r="Z157" s="82"/>
      <c r="AA157" s="82"/>
      <c r="AB157" s="18"/>
      <c r="AC157" s="18"/>
      <c r="AD157" s="86"/>
      <c r="AE157" s="86"/>
      <c r="AF157" s="84"/>
      <c r="AG157" s="84"/>
      <c r="AH157" s="41"/>
      <c r="AI157" s="41"/>
      <c r="AJ157" s="41"/>
      <c r="AK157" s="41"/>
      <c r="AL157" s="185"/>
      <c r="AM157" s="185"/>
      <c r="AN157" s="187"/>
      <c r="AO157" s="187"/>
      <c r="AP157" s="187"/>
      <c r="AQ157" s="187"/>
      <c r="AR157" s="89"/>
      <c r="AS157" s="90"/>
      <c r="AT157" s="118"/>
      <c r="AU157" s="118"/>
      <c r="AV157" s="118"/>
      <c r="AW157" s="118"/>
      <c r="AX157" s="33"/>
      <c r="AY157" s="33"/>
      <c r="AZ157" s="82"/>
      <c r="BA157" s="82"/>
      <c r="BB157" s="82"/>
      <c r="BC157" s="691"/>
    </row>
    <row r="158" spans="1:55" x14ac:dyDescent="0.25">
      <c r="A158" s="358">
        <v>43389</v>
      </c>
      <c r="B158" s="813" t="s">
        <v>1460</v>
      </c>
      <c r="C158" s="91" t="s">
        <v>91</v>
      </c>
      <c r="D158" s="76" t="s">
        <v>305</v>
      </c>
      <c r="E158" s="76"/>
      <c r="F158" s="15"/>
      <c r="G158" s="15"/>
      <c r="H158" s="15"/>
      <c r="I158" s="15"/>
      <c r="J158" s="78"/>
      <c r="K158" s="78"/>
      <c r="L158" s="16"/>
      <c r="M158" s="16"/>
      <c r="N158" s="16"/>
      <c r="O158" s="16"/>
      <c r="P158" s="80"/>
      <c r="Q158" s="80"/>
      <c r="R158" s="17"/>
      <c r="S158" s="17"/>
      <c r="T158" s="17"/>
      <c r="U158" s="17"/>
      <c r="V158" s="117"/>
      <c r="W158" s="117"/>
      <c r="X158" s="82"/>
      <c r="Y158" s="82"/>
      <c r="Z158" s="82"/>
      <c r="AA158" s="82"/>
      <c r="AB158" s="18"/>
      <c r="AC158" s="18"/>
      <c r="AD158" s="86"/>
      <c r="AE158" s="86"/>
      <c r="AF158" s="84"/>
      <c r="AG158" s="84"/>
      <c r="AH158" s="41"/>
      <c r="AI158" s="41"/>
      <c r="AJ158" s="41"/>
      <c r="AK158" s="41"/>
      <c r="AL158" s="185"/>
      <c r="AM158" s="185"/>
      <c r="AN158" s="187"/>
      <c r="AO158" s="187"/>
      <c r="AP158" s="187"/>
      <c r="AQ158" s="187"/>
      <c r="AR158" s="89"/>
      <c r="AS158" s="90"/>
      <c r="AT158" s="118"/>
      <c r="AU158" s="118"/>
      <c r="AV158" s="118"/>
      <c r="AW158" s="118"/>
      <c r="AX158" s="33"/>
      <c r="AY158" s="33"/>
      <c r="AZ158" s="82"/>
      <c r="BA158" s="82"/>
      <c r="BB158" s="82"/>
      <c r="BC158" s="691"/>
    </row>
    <row r="159" spans="1:55" x14ac:dyDescent="0.25">
      <c r="A159" s="358">
        <v>43394</v>
      </c>
      <c r="B159" s="813" t="s">
        <v>1472</v>
      </c>
      <c r="C159" s="91" t="s">
        <v>91</v>
      </c>
      <c r="D159" s="76" t="s">
        <v>305</v>
      </c>
      <c r="E159" s="76"/>
      <c r="F159" s="15"/>
      <c r="G159" s="15"/>
      <c r="H159" s="15"/>
      <c r="I159" s="15"/>
      <c r="J159" s="78"/>
      <c r="K159" s="78"/>
      <c r="L159" s="16"/>
      <c r="M159" s="16"/>
      <c r="N159" s="16"/>
      <c r="O159" s="16"/>
      <c r="P159" s="80"/>
      <c r="Q159" s="80"/>
      <c r="R159" s="17"/>
      <c r="S159" s="17"/>
      <c r="T159" s="17"/>
      <c r="U159" s="17"/>
      <c r="V159" s="117"/>
      <c r="W159" s="117"/>
      <c r="X159" s="82"/>
      <c r="Y159" s="82"/>
      <c r="Z159" s="82"/>
      <c r="AA159" s="82"/>
      <c r="AB159" s="18"/>
      <c r="AC159" s="18"/>
      <c r="AD159" s="86"/>
      <c r="AE159" s="86"/>
      <c r="AF159" s="84"/>
      <c r="AG159" s="84"/>
      <c r="AH159" s="41"/>
      <c r="AI159" s="41"/>
      <c r="AJ159" s="41"/>
      <c r="AK159" s="41"/>
      <c r="AL159" s="185"/>
      <c r="AM159" s="185"/>
      <c r="AN159" s="187"/>
      <c r="AO159" s="187"/>
      <c r="AP159" s="187"/>
      <c r="AQ159" s="187"/>
      <c r="AR159" s="89"/>
      <c r="AS159" s="90"/>
      <c r="AT159" s="118"/>
      <c r="AU159" s="118"/>
      <c r="AV159" s="118"/>
      <c r="AW159" s="118"/>
      <c r="AX159" s="33"/>
      <c r="AY159" s="33"/>
      <c r="AZ159" s="82"/>
      <c r="BA159" s="82"/>
      <c r="BB159" s="82"/>
      <c r="BC159" s="691"/>
    </row>
    <row r="160" spans="1:55" x14ac:dyDescent="0.25">
      <c r="A160" s="358">
        <v>43396</v>
      </c>
      <c r="B160" s="813" t="s">
        <v>1474</v>
      </c>
      <c r="C160" s="91" t="s">
        <v>91</v>
      </c>
      <c r="D160" s="76" t="s">
        <v>305</v>
      </c>
      <c r="E160" s="76"/>
      <c r="F160" s="15"/>
      <c r="G160" s="15"/>
      <c r="H160" s="15"/>
      <c r="I160" s="15"/>
      <c r="J160" s="78"/>
      <c r="K160" s="78"/>
      <c r="L160" s="16"/>
      <c r="M160" s="16"/>
      <c r="N160" s="16"/>
      <c r="O160" s="16"/>
      <c r="P160" s="80"/>
      <c r="Q160" s="80"/>
      <c r="R160" s="17"/>
      <c r="S160" s="17"/>
      <c r="T160" s="17"/>
      <c r="U160" s="17"/>
      <c r="V160" s="117"/>
      <c r="W160" s="117"/>
      <c r="X160" s="82"/>
      <c r="Y160" s="82"/>
      <c r="Z160" s="82"/>
      <c r="AA160" s="82"/>
      <c r="AB160" s="18"/>
      <c r="AC160" s="18"/>
      <c r="AD160" s="86"/>
      <c r="AE160" s="86"/>
      <c r="AF160" s="84"/>
      <c r="AG160" s="84"/>
      <c r="AH160" s="41"/>
      <c r="AI160" s="41"/>
      <c r="AJ160" s="41"/>
      <c r="AK160" s="41"/>
      <c r="AL160" s="185"/>
      <c r="AM160" s="185"/>
      <c r="AN160" s="187"/>
      <c r="AO160" s="187"/>
      <c r="AP160" s="187"/>
      <c r="AQ160" s="187"/>
      <c r="AR160" s="89"/>
      <c r="AS160" s="90"/>
      <c r="AT160" s="118"/>
      <c r="AU160" s="118"/>
      <c r="AV160" s="118"/>
      <c r="AW160" s="118"/>
      <c r="AX160" s="33"/>
      <c r="AY160" s="33"/>
      <c r="AZ160" s="82"/>
      <c r="BA160" s="82"/>
      <c r="BB160" s="82"/>
      <c r="BC160" s="691"/>
    </row>
    <row r="161" spans="1:55" x14ac:dyDescent="0.25">
      <c r="A161" s="358">
        <v>43415</v>
      </c>
      <c r="B161" s="813" t="s">
        <v>1520</v>
      </c>
      <c r="C161" s="91" t="s">
        <v>91</v>
      </c>
      <c r="D161" s="76"/>
      <c r="E161" s="76"/>
      <c r="F161" s="15"/>
      <c r="G161" s="15"/>
      <c r="H161" s="15"/>
      <c r="I161" s="15"/>
      <c r="J161" s="78"/>
      <c r="K161" s="78"/>
      <c r="L161" s="16"/>
      <c r="M161" s="16"/>
      <c r="N161" s="16"/>
      <c r="O161" s="16"/>
      <c r="P161" s="80"/>
      <c r="Q161" s="80"/>
      <c r="R161" s="17"/>
      <c r="S161" s="17"/>
      <c r="T161" s="17"/>
      <c r="U161" s="17"/>
      <c r="V161" s="117" t="s">
        <v>305</v>
      </c>
      <c r="W161" s="117"/>
      <c r="X161" s="82"/>
      <c r="Y161" s="82"/>
      <c r="Z161" s="82"/>
      <c r="AA161" s="82"/>
      <c r="AB161" s="18"/>
      <c r="AC161" s="18"/>
      <c r="AD161" s="86"/>
      <c r="AE161" s="86"/>
      <c r="AF161" s="84"/>
      <c r="AG161" s="84"/>
      <c r="AH161" s="41"/>
      <c r="AI161" s="41"/>
      <c r="AJ161" s="41"/>
      <c r="AK161" s="41"/>
      <c r="AL161" s="185"/>
      <c r="AM161" s="185"/>
      <c r="AN161" s="187"/>
      <c r="AO161" s="187"/>
      <c r="AP161" s="187"/>
      <c r="AQ161" s="187"/>
      <c r="AR161" s="89"/>
      <c r="AS161" s="90"/>
      <c r="AT161" s="118"/>
      <c r="AU161" s="118"/>
      <c r="AV161" s="118"/>
      <c r="AW161" s="118"/>
      <c r="AX161" s="33"/>
      <c r="AY161" s="33"/>
      <c r="AZ161" s="82"/>
      <c r="BA161" s="82"/>
      <c r="BB161" s="82"/>
      <c r="BC161" s="691"/>
    </row>
    <row r="162" spans="1:55" x14ac:dyDescent="0.25">
      <c r="A162" s="358">
        <v>43415</v>
      </c>
      <c r="B162" s="813" t="s">
        <v>1521</v>
      </c>
      <c r="C162" s="91" t="s">
        <v>91</v>
      </c>
      <c r="D162" s="76" t="s">
        <v>305</v>
      </c>
      <c r="E162" s="76"/>
      <c r="F162" s="15"/>
      <c r="G162" s="15"/>
      <c r="H162" s="15"/>
      <c r="I162" s="15"/>
      <c r="J162" s="78"/>
      <c r="K162" s="78"/>
      <c r="L162" s="16"/>
      <c r="M162" s="16"/>
      <c r="N162" s="16"/>
      <c r="O162" s="16"/>
      <c r="P162" s="80"/>
      <c r="Q162" s="80"/>
      <c r="R162" s="17"/>
      <c r="S162" s="17"/>
      <c r="T162" s="17"/>
      <c r="U162" s="17"/>
      <c r="V162" s="117"/>
      <c r="W162" s="117"/>
      <c r="X162" s="82"/>
      <c r="Y162" s="82"/>
      <c r="Z162" s="82"/>
      <c r="AA162" s="82"/>
      <c r="AB162" s="18"/>
      <c r="AC162" s="18"/>
      <c r="AD162" s="86"/>
      <c r="AE162" s="86"/>
      <c r="AF162" s="84"/>
      <c r="AG162" s="84"/>
      <c r="AH162" s="41"/>
      <c r="AI162" s="41"/>
      <c r="AJ162" s="41"/>
      <c r="AK162" s="41"/>
      <c r="AL162" s="185"/>
      <c r="AM162" s="185"/>
      <c r="AN162" s="187"/>
      <c r="AO162" s="187"/>
      <c r="AP162" s="187"/>
      <c r="AQ162" s="187"/>
      <c r="AR162" s="89"/>
      <c r="AS162" s="90"/>
      <c r="AT162" s="118"/>
      <c r="AU162" s="118"/>
      <c r="AV162" s="118"/>
      <c r="AW162" s="118"/>
      <c r="AX162" s="33"/>
      <c r="AY162" s="33"/>
      <c r="AZ162" s="82"/>
      <c r="BA162" s="82"/>
      <c r="BB162" s="82"/>
      <c r="BC162" s="691"/>
    </row>
    <row r="163" spans="1:55" x14ac:dyDescent="0.25">
      <c r="A163" s="358"/>
      <c r="B163" s="729"/>
      <c r="C163" s="91"/>
      <c r="D163" s="76"/>
      <c r="E163" s="76"/>
      <c r="F163" s="15"/>
      <c r="G163" s="15"/>
      <c r="H163" s="15"/>
      <c r="I163" s="15"/>
      <c r="J163" s="78"/>
      <c r="K163" s="78"/>
      <c r="L163" s="16"/>
      <c r="M163" s="16"/>
      <c r="N163" s="16"/>
      <c r="O163" s="16"/>
      <c r="P163" s="80"/>
      <c r="Q163" s="80"/>
      <c r="R163" s="17"/>
      <c r="S163" s="17"/>
      <c r="T163" s="17"/>
      <c r="U163" s="17"/>
      <c r="V163" s="117"/>
      <c r="W163" s="117"/>
      <c r="X163" s="82"/>
      <c r="Y163" s="82"/>
      <c r="Z163" s="82"/>
      <c r="AA163" s="82"/>
      <c r="AB163" s="18"/>
      <c r="AC163" s="18"/>
      <c r="AD163" s="86"/>
      <c r="AE163" s="86"/>
      <c r="AF163" s="84"/>
      <c r="AG163" s="84"/>
      <c r="AH163" s="41"/>
      <c r="AI163" s="41"/>
      <c r="AJ163" s="41"/>
      <c r="AK163" s="41"/>
      <c r="AL163" s="185"/>
      <c r="AM163" s="185"/>
      <c r="AN163" s="187"/>
      <c r="AO163" s="187"/>
      <c r="AP163" s="187"/>
      <c r="AQ163" s="187"/>
      <c r="AR163" s="89"/>
      <c r="AS163" s="90"/>
      <c r="AT163" s="118"/>
      <c r="AU163" s="118"/>
      <c r="AV163" s="118"/>
      <c r="AW163" s="118"/>
      <c r="AX163" s="33"/>
      <c r="AY163" s="33"/>
      <c r="AZ163" s="82"/>
      <c r="BA163" s="82"/>
      <c r="BB163" s="82"/>
      <c r="BC163" s="691"/>
    </row>
    <row r="164" spans="1:55" x14ac:dyDescent="0.25">
      <c r="A164" s="358"/>
      <c r="B164" s="729"/>
      <c r="C164" s="91"/>
      <c r="D164" s="76"/>
      <c r="E164" s="76"/>
      <c r="F164" s="15"/>
      <c r="G164" s="15"/>
      <c r="H164" s="15"/>
      <c r="I164" s="15"/>
      <c r="J164" s="78"/>
      <c r="K164" s="78"/>
      <c r="L164" s="16"/>
      <c r="M164" s="16"/>
      <c r="N164" s="16"/>
      <c r="O164" s="16"/>
      <c r="P164" s="80"/>
      <c r="Q164" s="80"/>
      <c r="R164" s="17"/>
      <c r="S164" s="17"/>
      <c r="T164" s="17"/>
      <c r="U164" s="17"/>
      <c r="V164" s="117"/>
      <c r="W164" s="117"/>
      <c r="X164" s="82"/>
      <c r="Y164" s="82"/>
      <c r="Z164" s="82"/>
      <c r="AA164" s="82"/>
      <c r="AB164" s="18"/>
      <c r="AC164" s="18"/>
      <c r="AD164" s="86"/>
      <c r="AE164" s="86"/>
      <c r="AF164" s="84"/>
      <c r="AG164" s="84"/>
      <c r="AH164" s="41"/>
      <c r="AI164" s="41"/>
      <c r="AJ164" s="41"/>
      <c r="AK164" s="41"/>
      <c r="AL164" s="185"/>
      <c r="AM164" s="185"/>
      <c r="AN164" s="187"/>
      <c r="AO164" s="187"/>
      <c r="AP164" s="187"/>
      <c r="AQ164" s="187"/>
      <c r="AR164" s="89"/>
      <c r="AS164" s="90"/>
      <c r="AT164" s="118"/>
      <c r="AU164" s="118"/>
      <c r="AV164" s="118"/>
      <c r="AW164" s="118"/>
      <c r="AX164" s="33"/>
      <c r="AY164" s="33"/>
      <c r="AZ164" s="82"/>
      <c r="BA164" s="82"/>
      <c r="BB164" s="82"/>
      <c r="BC164" s="691"/>
    </row>
    <row r="165" spans="1:55" x14ac:dyDescent="0.25">
      <c r="A165" s="358"/>
      <c r="B165" s="729"/>
      <c r="C165" s="91"/>
      <c r="D165" s="76"/>
      <c r="E165" s="76"/>
      <c r="F165" s="15"/>
      <c r="G165" s="15"/>
      <c r="H165" s="15"/>
      <c r="I165" s="15"/>
      <c r="J165" s="78"/>
      <c r="K165" s="78"/>
      <c r="L165" s="16"/>
      <c r="M165" s="16"/>
      <c r="N165" s="16"/>
      <c r="O165" s="16"/>
      <c r="P165" s="80"/>
      <c r="Q165" s="80"/>
      <c r="R165" s="17"/>
      <c r="S165" s="17"/>
      <c r="T165" s="17"/>
      <c r="U165" s="17"/>
      <c r="V165" s="117"/>
      <c r="W165" s="117"/>
      <c r="X165" s="82"/>
      <c r="Y165" s="82"/>
      <c r="Z165" s="82"/>
      <c r="AA165" s="82"/>
      <c r="AB165" s="18"/>
      <c r="AC165" s="18"/>
      <c r="AD165" s="86"/>
      <c r="AE165" s="86"/>
      <c r="AF165" s="84"/>
      <c r="AG165" s="84"/>
      <c r="AH165" s="41"/>
      <c r="AI165" s="41"/>
      <c r="AJ165" s="41"/>
      <c r="AK165" s="41"/>
      <c r="AL165" s="185"/>
      <c r="AM165" s="185"/>
      <c r="AN165" s="187"/>
      <c r="AO165" s="187"/>
      <c r="AP165" s="187"/>
      <c r="AQ165" s="187"/>
      <c r="AR165" s="89"/>
      <c r="AS165" s="90"/>
      <c r="AT165" s="118"/>
      <c r="AU165" s="118"/>
      <c r="AV165" s="118"/>
      <c r="AW165" s="118"/>
      <c r="AX165" s="33"/>
      <c r="AY165" s="33"/>
      <c r="AZ165" s="82"/>
      <c r="BA165" s="82"/>
      <c r="BB165" s="82"/>
      <c r="BC165" s="691"/>
    </row>
    <row r="166" spans="1:55" x14ac:dyDescent="0.25">
      <c r="A166" s="358"/>
      <c r="B166" s="729"/>
      <c r="C166" s="91"/>
      <c r="D166" s="76"/>
      <c r="E166" s="76"/>
      <c r="F166" s="15"/>
      <c r="G166" s="15"/>
      <c r="H166" s="15"/>
      <c r="I166" s="15"/>
      <c r="J166" s="78"/>
      <c r="K166" s="78"/>
      <c r="L166" s="16"/>
      <c r="M166" s="16"/>
      <c r="N166" s="16"/>
      <c r="O166" s="16"/>
      <c r="P166" s="80"/>
      <c r="Q166" s="80"/>
      <c r="R166" s="17"/>
      <c r="S166" s="17"/>
      <c r="T166" s="17"/>
      <c r="U166" s="17"/>
      <c r="V166" s="154"/>
      <c r="W166" s="154"/>
      <c r="X166" s="82"/>
      <c r="Y166" s="82"/>
      <c r="Z166" s="82"/>
      <c r="AA166" s="82"/>
      <c r="AB166" s="18"/>
      <c r="AC166" s="18"/>
      <c r="AD166" s="86"/>
      <c r="AE166" s="86"/>
      <c r="AF166" s="84"/>
      <c r="AG166" s="84"/>
      <c r="AH166" s="41"/>
      <c r="AI166" s="41"/>
      <c r="AJ166" s="41"/>
      <c r="AK166" s="41"/>
      <c r="AL166" s="185"/>
      <c r="AM166" s="185"/>
      <c r="AN166" s="187"/>
      <c r="AO166" s="187"/>
      <c r="AP166" s="187"/>
      <c r="AQ166" s="187"/>
      <c r="AR166" s="89"/>
      <c r="AS166" s="90"/>
      <c r="AT166" s="155"/>
      <c r="AU166" s="155"/>
      <c r="AV166" s="155"/>
      <c r="AW166" s="155"/>
      <c r="AX166" s="33"/>
      <c r="AY166" s="33"/>
      <c r="AZ166" s="82"/>
      <c r="BA166" s="82"/>
      <c r="BB166" s="82"/>
      <c r="BC166" s="691"/>
    </row>
    <row r="167" spans="1:55" x14ac:dyDescent="0.25">
      <c r="A167" s="358"/>
      <c r="B167" s="729"/>
      <c r="C167" s="91"/>
      <c r="D167" s="76"/>
      <c r="E167" s="76"/>
      <c r="F167" s="15"/>
      <c r="G167" s="15"/>
      <c r="H167" s="15"/>
      <c r="I167" s="15"/>
      <c r="J167" s="78"/>
      <c r="K167" s="78"/>
      <c r="L167" s="16"/>
      <c r="M167" s="16"/>
      <c r="N167" s="16"/>
      <c r="O167" s="16"/>
      <c r="P167" s="80"/>
      <c r="Q167" s="80"/>
      <c r="R167" s="17"/>
      <c r="S167" s="17"/>
      <c r="T167" s="17"/>
      <c r="U167" s="17"/>
      <c r="V167" s="235"/>
      <c r="W167" s="235"/>
      <c r="X167" s="82"/>
      <c r="Y167" s="82"/>
      <c r="Z167" s="82"/>
      <c r="AA167" s="82"/>
      <c r="AB167" s="18"/>
      <c r="AC167" s="18"/>
      <c r="AD167" s="86"/>
      <c r="AE167" s="86"/>
      <c r="AF167" s="84"/>
      <c r="AG167" s="84"/>
      <c r="AH167" s="41"/>
      <c r="AI167" s="41"/>
      <c r="AJ167" s="41"/>
      <c r="AK167" s="41"/>
      <c r="AL167" s="185"/>
      <c r="AM167" s="185"/>
      <c r="AN167" s="187"/>
      <c r="AO167" s="187"/>
      <c r="AP167" s="187"/>
      <c r="AQ167" s="187"/>
      <c r="AR167" s="89"/>
      <c r="AS167" s="90"/>
      <c r="AT167" s="236"/>
      <c r="AU167" s="236"/>
      <c r="AV167" s="236"/>
      <c r="AW167" s="236"/>
      <c r="AX167" s="33"/>
      <c r="AY167" s="33"/>
      <c r="AZ167" s="82"/>
      <c r="BA167" s="82"/>
      <c r="BB167" s="82"/>
      <c r="BC167" s="691"/>
    </row>
    <row r="168" spans="1:55" x14ac:dyDescent="0.25">
      <c r="A168" s="358"/>
      <c r="B168" s="729"/>
      <c r="C168" s="91"/>
      <c r="D168" s="76"/>
      <c r="E168" s="76"/>
      <c r="F168" s="15"/>
      <c r="G168" s="15"/>
      <c r="H168" s="15"/>
      <c r="I168" s="15"/>
      <c r="J168" s="78"/>
      <c r="K168" s="78"/>
      <c r="L168" s="16"/>
      <c r="M168" s="16"/>
      <c r="N168" s="16"/>
      <c r="O168" s="16"/>
      <c r="P168" s="80"/>
      <c r="Q168" s="80"/>
      <c r="R168" s="17"/>
      <c r="S168" s="17"/>
      <c r="T168" s="17"/>
      <c r="U168" s="17"/>
      <c r="V168" s="117"/>
      <c r="W168" s="117"/>
      <c r="X168" s="82"/>
      <c r="Y168" s="82"/>
      <c r="Z168" s="82"/>
      <c r="AA168" s="82"/>
      <c r="AB168" s="18"/>
      <c r="AC168" s="18"/>
      <c r="AD168" s="86"/>
      <c r="AE168" s="86"/>
      <c r="AF168" s="84"/>
      <c r="AG168" s="84"/>
      <c r="AH168" s="41"/>
      <c r="AI168" s="41"/>
      <c r="AJ168" s="41"/>
      <c r="AK168" s="41"/>
      <c r="AL168" s="185"/>
      <c r="AM168" s="185"/>
      <c r="AN168" s="187"/>
      <c r="AO168" s="187"/>
      <c r="AP168" s="187"/>
      <c r="AQ168" s="187"/>
      <c r="AR168" s="89"/>
      <c r="AS168" s="90"/>
      <c r="AT168" s="118"/>
      <c r="AU168" s="118"/>
      <c r="AV168" s="118"/>
      <c r="AW168" s="118"/>
      <c r="AX168" s="33"/>
      <c r="AY168" s="33"/>
      <c r="AZ168" s="82"/>
      <c r="BA168" s="82"/>
      <c r="BB168" s="82"/>
      <c r="BC168" s="691"/>
    </row>
    <row r="169" spans="1:55" x14ac:dyDescent="0.25">
      <c r="A169" s="358"/>
      <c r="B169" s="729"/>
      <c r="C169" s="91"/>
      <c r="D169" s="76"/>
      <c r="E169" s="76"/>
      <c r="F169" s="15"/>
      <c r="G169" s="15"/>
      <c r="H169" s="15"/>
      <c r="I169" s="15"/>
      <c r="J169" s="78"/>
      <c r="K169" s="78"/>
      <c r="L169" s="16"/>
      <c r="M169" s="16"/>
      <c r="N169" s="16"/>
      <c r="O169" s="16"/>
      <c r="P169" s="80"/>
      <c r="Q169" s="80"/>
      <c r="R169" s="17"/>
      <c r="S169" s="17"/>
      <c r="T169" s="17"/>
      <c r="U169" s="17"/>
      <c r="V169" s="237"/>
      <c r="W169" s="237"/>
      <c r="X169" s="82"/>
      <c r="Y169" s="82"/>
      <c r="Z169" s="82"/>
      <c r="AA169" s="82"/>
      <c r="AB169" s="18"/>
      <c r="AC169" s="18"/>
      <c r="AD169" s="86"/>
      <c r="AE169" s="86"/>
      <c r="AF169" s="84"/>
      <c r="AG169" s="84"/>
      <c r="AH169" s="41"/>
      <c r="AI169" s="41"/>
      <c r="AJ169" s="41"/>
      <c r="AK169" s="41"/>
      <c r="AL169" s="185"/>
      <c r="AM169" s="185"/>
      <c r="AN169" s="187"/>
      <c r="AO169" s="187"/>
      <c r="AP169" s="187"/>
      <c r="AQ169" s="187"/>
      <c r="AR169" s="89"/>
      <c r="AS169" s="90"/>
      <c r="AT169" s="238"/>
      <c r="AU169" s="238"/>
      <c r="AV169" s="238"/>
      <c r="AW169" s="238"/>
      <c r="AX169" s="33"/>
      <c r="AY169" s="33"/>
      <c r="AZ169" s="82"/>
      <c r="BA169" s="82"/>
      <c r="BB169" s="82"/>
      <c r="BC169" s="691"/>
    </row>
    <row r="170" spans="1:55" x14ac:dyDescent="0.25">
      <c r="A170" s="358"/>
      <c r="B170" s="729"/>
      <c r="C170" s="91"/>
      <c r="D170" s="76"/>
      <c r="E170" s="76"/>
      <c r="F170" s="15"/>
      <c r="G170" s="15"/>
      <c r="H170" s="15"/>
      <c r="I170" s="15"/>
      <c r="J170" s="78"/>
      <c r="K170" s="78"/>
      <c r="L170" s="16"/>
      <c r="M170" s="16"/>
      <c r="N170" s="16"/>
      <c r="O170" s="16"/>
      <c r="P170" s="80"/>
      <c r="Q170" s="80"/>
      <c r="R170" s="17"/>
      <c r="S170" s="17"/>
      <c r="T170" s="17"/>
      <c r="U170" s="17"/>
      <c r="V170" s="204"/>
      <c r="W170" s="204"/>
      <c r="X170" s="82"/>
      <c r="Y170" s="82"/>
      <c r="Z170" s="82"/>
      <c r="AA170" s="82"/>
      <c r="AB170" s="18"/>
      <c r="AC170" s="18"/>
      <c r="AD170" s="86"/>
      <c r="AE170" s="86"/>
      <c r="AF170" s="84"/>
      <c r="AG170" s="84"/>
      <c r="AH170" s="41"/>
      <c r="AI170" s="41"/>
      <c r="AJ170" s="41"/>
      <c r="AK170" s="41"/>
      <c r="AL170" s="185"/>
      <c r="AM170" s="185"/>
      <c r="AN170" s="187"/>
      <c r="AO170" s="187"/>
      <c r="AP170" s="187"/>
      <c r="AQ170" s="187"/>
      <c r="AR170" s="89"/>
      <c r="AS170" s="90"/>
      <c r="AT170" s="205"/>
      <c r="AU170" s="205"/>
      <c r="AV170" s="205"/>
      <c r="AW170" s="205"/>
      <c r="AX170" s="33"/>
      <c r="AY170" s="33"/>
      <c r="AZ170" s="82"/>
      <c r="BA170" s="82"/>
      <c r="BB170" s="82"/>
      <c r="BC170" s="691"/>
    </row>
    <row r="171" spans="1:55" x14ac:dyDescent="0.25">
      <c r="A171" s="358"/>
      <c r="B171" s="729"/>
      <c r="C171" s="91"/>
      <c r="D171" s="76"/>
      <c r="E171" s="76"/>
      <c r="F171" s="15"/>
      <c r="G171" s="15"/>
      <c r="H171" s="15"/>
      <c r="I171" s="15"/>
      <c r="J171" s="78"/>
      <c r="K171" s="78"/>
      <c r="L171" s="16"/>
      <c r="M171" s="16"/>
      <c r="N171" s="16"/>
      <c r="O171" s="16"/>
      <c r="P171" s="80"/>
      <c r="Q171" s="80"/>
      <c r="R171" s="17"/>
      <c r="S171" s="17"/>
      <c r="T171" s="17"/>
      <c r="U171" s="17"/>
      <c r="V171" s="117"/>
      <c r="W171" s="117"/>
      <c r="X171" s="82"/>
      <c r="Y171" s="82"/>
      <c r="Z171" s="82"/>
      <c r="AA171" s="82"/>
      <c r="AB171" s="18"/>
      <c r="AC171" s="18"/>
      <c r="AD171" s="86"/>
      <c r="AE171" s="86"/>
      <c r="AF171" s="84"/>
      <c r="AG171" s="84"/>
      <c r="AH171" s="41"/>
      <c r="AI171" s="41"/>
      <c r="AJ171" s="41"/>
      <c r="AK171" s="41"/>
      <c r="AL171" s="185"/>
      <c r="AM171" s="185"/>
      <c r="AN171" s="187"/>
      <c r="AO171" s="187"/>
      <c r="AP171" s="187"/>
      <c r="AQ171" s="187"/>
      <c r="AR171" s="89"/>
      <c r="AS171" s="90"/>
      <c r="AT171" s="118"/>
      <c r="AU171" s="118"/>
      <c r="AV171" s="118"/>
      <c r="AW171" s="118"/>
      <c r="AX171" s="33"/>
      <c r="AY171" s="33"/>
      <c r="AZ171" s="82"/>
      <c r="BA171" s="82"/>
      <c r="BB171" s="82"/>
      <c r="BC171" s="691"/>
    </row>
    <row r="172" spans="1:55" x14ac:dyDescent="0.25">
      <c r="A172" s="358"/>
      <c r="B172" s="729"/>
      <c r="C172" s="91"/>
      <c r="D172" s="76"/>
      <c r="E172" s="76"/>
      <c r="F172" s="15"/>
      <c r="G172" s="15"/>
      <c r="H172" s="15"/>
      <c r="I172" s="15"/>
      <c r="J172" s="78"/>
      <c r="K172" s="78"/>
      <c r="L172" s="16"/>
      <c r="M172" s="16"/>
      <c r="N172" s="16"/>
      <c r="O172" s="16"/>
      <c r="P172" s="80"/>
      <c r="Q172" s="80"/>
      <c r="R172" s="17"/>
      <c r="S172" s="17"/>
      <c r="T172" s="17"/>
      <c r="U172" s="17"/>
      <c r="V172" s="117"/>
      <c r="W172" s="117"/>
      <c r="X172" s="82"/>
      <c r="Y172" s="82"/>
      <c r="Z172" s="82"/>
      <c r="AA172" s="82"/>
      <c r="AB172" s="18"/>
      <c r="AC172" s="18"/>
      <c r="AD172" s="86"/>
      <c r="AE172" s="86"/>
      <c r="AF172" s="84"/>
      <c r="AG172" s="84"/>
      <c r="AH172" s="41"/>
      <c r="AI172" s="41"/>
      <c r="AJ172" s="41"/>
      <c r="AK172" s="41"/>
      <c r="AL172" s="185"/>
      <c r="AM172" s="185"/>
      <c r="AN172" s="187"/>
      <c r="AO172" s="187"/>
      <c r="AP172" s="187"/>
      <c r="AQ172" s="187"/>
      <c r="AR172" s="89"/>
      <c r="AS172" s="90"/>
      <c r="AT172" s="118"/>
      <c r="AU172" s="118"/>
      <c r="AV172" s="118"/>
      <c r="AW172" s="118"/>
      <c r="AX172" s="33"/>
      <c r="AY172" s="33"/>
      <c r="AZ172" s="82"/>
      <c r="BA172" s="82"/>
      <c r="BB172" s="82"/>
      <c r="BC172" s="691"/>
    </row>
    <row r="173" spans="1:55" x14ac:dyDescent="0.25">
      <c r="A173" s="358"/>
      <c r="B173" s="729"/>
      <c r="C173" s="91"/>
      <c r="D173" s="76"/>
      <c r="E173" s="76"/>
      <c r="F173" s="15"/>
      <c r="G173" s="15"/>
      <c r="H173" s="15"/>
      <c r="I173" s="15"/>
      <c r="J173" s="78"/>
      <c r="K173" s="78"/>
      <c r="L173" s="16"/>
      <c r="M173" s="16"/>
      <c r="N173" s="16"/>
      <c r="O173" s="16"/>
      <c r="P173" s="80"/>
      <c r="Q173" s="80"/>
      <c r="R173" s="17"/>
      <c r="S173" s="17"/>
      <c r="T173" s="17"/>
      <c r="U173" s="17"/>
      <c r="V173" s="117"/>
      <c r="W173" s="117"/>
      <c r="X173" s="82"/>
      <c r="Y173" s="82"/>
      <c r="Z173" s="82"/>
      <c r="AA173" s="82"/>
      <c r="AB173" s="18"/>
      <c r="AC173" s="18"/>
      <c r="AD173" s="86"/>
      <c r="AE173" s="86"/>
      <c r="AF173" s="84"/>
      <c r="AG173" s="84"/>
      <c r="AH173" s="41"/>
      <c r="AI173" s="41"/>
      <c r="AJ173" s="41"/>
      <c r="AK173" s="41"/>
      <c r="AL173" s="185"/>
      <c r="AM173" s="185"/>
      <c r="AN173" s="187"/>
      <c r="AO173" s="187"/>
      <c r="AP173" s="187"/>
      <c r="AQ173" s="187"/>
      <c r="AR173" s="89"/>
      <c r="AS173" s="90"/>
      <c r="AT173" s="118"/>
      <c r="AU173" s="118"/>
      <c r="AV173" s="118"/>
      <c r="AW173" s="118"/>
      <c r="AX173" s="33"/>
      <c r="AY173" s="33"/>
      <c r="AZ173" s="82"/>
      <c r="BA173" s="82"/>
      <c r="BB173" s="82"/>
      <c r="BC173" s="691"/>
    </row>
    <row r="174" spans="1:55" x14ac:dyDescent="0.25">
      <c r="A174" s="358"/>
      <c r="B174" s="729"/>
      <c r="C174" s="91"/>
      <c r="D174" s="76"/>
      <c r="E174" s="76"/>
      <c r="F174" s="15"/>
      <c r="G174" s="15"/>
      <c r="H174" s="15"/>
      <c r="I174" s="15"/>
      <c r="J174" s="78"/>
      <c r="K174" s="78"/>
      <c r="L174" s="16"/>
      <c r="M174" s="16"/>
      <c r="N174" s="16"/>
      <c r="O174" s="16"/>
      <c r="P174" s="80"/>
      <c r="Q174" s="80"/>
      <c r="R174" s="17"/>
      <c r="S174" s="17"/>
      <c r="T174" s="17"/>
      <c r="U174" s="17"/>
      <c r="V174" s="239"/>
      <c r="W174" s="239"/>
      <c r="X174" s="82"/>
      <c r="Y174" s="82"/>
      <c r="Z174" s="82"/>
      <c r="AA174" s="82"/>
      <c r="AB174" s="18"/>
      <c r="AC174" s="18"/>
      <c r="AD174" s="86"/>
      <c r="AE174" s="86"/>
      <c r="AF174" s="84"/>
      <c r="AG174" s="84"/>
      <c r="AH174" s="41"/>
      <c r="AI174" s="41"/>
      <c r="AJ174" s="41"/>
      <c r="AK174" s="41"/>
      <c r="AL174" s="185"/>
      <c r="AM174" s="185"/>
      <c r="AN174" s="187"/>
      <c r="AO174" s="187"/>
      <c r="AP174" s="187"/>
      <c r="AQ174" s="187"/>
      <c r="AR174" s="89"/>
      <c r="AS174" s="90"/>
      <c r="AT174" s="240"/>
      <c r="AU174" s="240"/>
      <c r="AV174" s="240"/>
      <c r="AW174" s="240"/>
      <c r="AX174" s="33"/>
      <c r="AY174" s="33"/>
      <c r="AZ174" s="82"/>
      <c r="BA174" s="82"/>
      <c r="BB174" s="82"/>
      <c r="BC174" s="691"/>
    </row>
    <row r="175" spans="1:55" x14ac:dyDescent="0.25">
      <c r="A175" s="358"/>
      <c r="B175" s="729"/>
      <c r="C175" s="91"/>
      <c r="D175" s="76"/>
      <c r="E175" s="76"/>
      <c r="F175" s="15"/>
      <c r="G175" s="15"/>
      <c r="H175" s="15"/>
      <c r="I175" s="15"/>
      <c r="J175" s="78"/>
      <c r="K175" s="78"/>
      <c r="L175" s="16"/>
      <c r="M175" s="16"/>
      <c r="N175" s="16"/>
      <c r="O175" s="16"/>
      <c r="P175" s="80"/>
      <c r="Q175" s="80"/>
      <c r="R175" s="17"/>
      <c r="S175" s="17"/>
      <c r="T175" s="17"/>
      <c r="U175" s="17"/>
      <c r="V175" s="117"/>
      <c r="W175" s="117"/>
      <c r="X175" s="82"/>
      <c r="Y175" s="82"/>
      <c r="Z175" s="82"/>
      <c r="AA175" s="82"/>
      <c r="AB175" s="18"/>
      <c r="AC175" s="18"/>
      <c r="AD175" s="86"/>
      <c r="AE175" s="86"/>
      <c r="AF175" s="84"/>
      <c r="AG175" s="84"/>
      <c r="AH175" s="41"/>
      <c r="AI175" s="41"/>
      <c r="AJ175" s="41"/>
      <c r="AK175" s="41"/>
      <c r="AL175" s="185"/>
      <c r="AM175" s="185"/>
      <c r="AN175" s="187"/>
      <c r="AO175" s="187"/>
      <c r="AP175" s="187"/>
      <c r="AQ175" s="187"/>
      <c r="AR175" s="89"/>
      <c r="AS175" s="90"/>
      <c r="AT175" s="118"/>
      <c r="AU175" s="118"/>
      <c r="AV175" s="118"/>
      <c r="AW175" s="118"/>
      <c r="AX175" s="33"/>
      <c r="AY175" s="33"/>
      <c r="AZ175" s="82"/>
      <c r="BA175" s="82"/>
      <c r="BB175" s="82"/>
      <c r="BC175" s="691"/>
    </row>
    <row r="176" spans="1:55" x14ac:dyDescent="0.25">
      <c r="A176" s="358"/>
      <c r="B176" s="729"/>
      <c r="C176" s="91"/>
      <c r="D176" s="76"/>
      <c r="E176" s="76"/>
      <c r="F176" s="15"/>
      <c r="G176" s="15"/>
      <c r="H176" s="15"/>
      <c r="I176" s="15"/>
      <c r="J176" s="78"/>
      <c r="K176" s="78"/>
      <c r="L176" s="16"/>
      <c r="M176" s="16"/>
      <c r="N176" s="16"/>
      <c r="O176" s="16"/>
      <c r="P176" s="80"/>
      <c r="Q176" s="80"/>
      <c r="R176" s="17"/>
      <c r="S176" s="17"/>
      <c r="T176" s="17"/>
      <c r="U176" s="17"/>
      <c r="V176" s="117"/>
      <c r="W176" s="117"/>
      <c r="X176" s="82"/>
      <c r="Y176" s="82"/>
      <c r="Z176" s="82"/>
      <c r="AA176" s="82"/>
      <c r="AB176" s="18"/>
      <c r="AC176" s="18"/>
      <c r="AD176" s="86"/>
      <c r="AE176" s="86"/>
      <c r="AF176" s="84"/>
      <c r="AG176" s="84"/>
      <c r="AH176" s="41"/>
      <c r="AI176" s="41"/>
      <c r="AJ176" s="41"/>
      <c r="AK176" s="41"/>
      <c r="AL176" s="185"/>
      <c r="AM176" s="185"/>
      <c r="AN176" s="187"/>
      <c r="AO176" s="187"/>
      <c r="AP176" s="187"/>
      <c r="AQ176" s="187"/>
      <c r="AR176" s="89"/>
      <c r="AS176" s="90"/>
      <c r="AT176" s="118"/>
      <c r="AU176" s="118"/>
      <c r="AV176" s="118"/>
      <c r="AW176" s="118"/>
      <c r="AX176" s="33"/>
      <c r="AY176" s="33"/>
      <c r="AZ176" s="82"/>
      <c r="BA176" s="82"/>
      <c r="BB176" s="82"/>
      <c r="BC176" s="691"/>
    </row>
    <row r="177" spans="1:55" x14ac:dyDescent="0.25">
      <c r="A177" s="358"/>
      <c r="B177" s="729"/>
      <c r="C177" s="91"/>
      <c r="D177" s="76"/>
      <c r="E177" s="76"/>
      <c r="F177" s="15"/>
      <c r="G177" s="15"/>
      <c r="H177" s="15"/>
      <c r="I177" s="15"/>
      <c r="J177" s="78"/>
      <c r="K177" s="78"/>
      <c r="L177" s="16"/>
      <c r="M177" s="16"/>
      <c r="N177" s="16"/>
      <c r="O177" s="16"/>
      <c r="P177" s="80"/>
      <c r="Q177" s="80"/>
      <c r="R177" s="17"/>
      <c r="S177" s="17"/>
      <c r="T177" s="17"/>
      <c r="U177" s="17"/>
      <c r="V177" s="117"/>
      <c r="W177" s="117"/>
      <c r="X177" s="82"/>
      <c r="Y177" s="82"/>
      <c r="Z177" s="82"/>
      <c r="AA177" s="82"/>
      <c r="AB177" s="18"/>
      <c r="AC177" s="18"/>
      <c r="AD177" s="86"/>
      <c r="AE177" s="86"/>
      <c r="AF177" s="84"/>
      <c r="AG177" s="84"/>
      <c r="AH177" s="41"/>
      <c r="AI177" s="41"/>
      <c r="AJ177" s="41"/>
      <c r="AK177" s="41"/>
      <c r="AL177" s="185"/>
      <c r="AM177" s="185"/>
      <c r="AN177" s="187"/>
      <c r="AO177" s="187"/>
      <c r="AP177" s="187"/>
      <c r="AQ177" s="187"/>
      <c r="AR177" s="89"/>
      <c r="AS177" s="90"/>
      <c r="AT177" s="118"/>
      <c r="AU177" s="118"/>
      <c r="AV177" s="118"/>
      <c r="AW177" s="118"/>
      <c r="AX177" s="33"/>
      <c r="AY177" s="33"/>
      <c r="AZ177" s="82"/>
      <c r="BA177" s="82"/>
      <c r="BB177" s="82"/>
      <c r="BC177" s="691"/>
    </row>
    <row r="178" spans="1:55" x14ac:dyDescent="0.25">
      <c r="A178" s="358"/>
      <c r="B178" s="729"/>
      <c r="C178" s="91"/>
      <c r="D178" s="76"/>
      <c r="E178" s="76"/>
      <c r="F178" s="15"/>
      <c r="G178" s="15"/>
      <c r="H178" s="15"/>
      <c r="I178" s="15"/>
      <c r="J178" s="78"/>
      <c r="K178" s="78"/>
      <c r="L178" s="16"/>
      <c r="M178" s="16"/>
      <c r="N178" s="16"/>
      <c r="O178" s="16"/>
      <c r="P178" s="80"/>
      <c r="Q178" s="80"/>
      <c r="R178" s="17"/>
      <c r="S178" s="17"/>
      <c r="T178" s="17"/>
      <c r="U178" s="17"/>
      <c r="V178" s="241"/>
      <c r="W178" s="241"/>
      <c r="X178" s="82"/>
      <c r="Y178" s="82"/>
      <c r="Z178" s="82"/>
      <c r="AA178" s="82"/>
      <c r="AB178" s="18"/>
      <c r="AC178" s="18"/>
      <c r="AD178" s="86"/>
      <c r="AE178" s="86"/>
      <c r="AF178" s="84"/>
      <c r="AG178" s="84"/>
      <c r="AH178" s="41"/>
      <c r="AI178" s="41"/>
      <c r="AJ178" s="41"/>
      <c r="AK178" s="41"/>
      <c r="AL178" s="185"/>
      <c r="AM178" s="185"/>
      <c r="AN178" s="187"/>
      <c r="AO178" s="187"/>
      <c r="AP178" s="187"/>
      <c r="AQ178" s="187"/>
      <c r="AR178" s="89"/>
      <c r="AS178" s="90"/>
      <c r="AT178" s="242"/>
      <c r="AU178" s="242"/>
      <c r="AV178" s="242"/>
      <c r="AW178" s="242"/>
      <c r="AX178" s="33"/>
      <c r="AY178" s="33"/>
      <c r="AZ178" s="82"/>
      <c r="BA178" s="82"/>
      <c r="BB178" s="82"/>
      <c r="BC178" s="691"/>
    </row>
    <row r="179" spans="1:55" x14ac:dyDescent="0.25">
      <c r="A179" s="358"/>
      <c r="B179" s="729"/>
      <c r="C179" s="91"/>
      <c r="D179" s="76"/>
      <c r="E179" s="76"/>
      <c r="F179" s="15"/>
      <c r="G179" s="15"/>
      <c r="H179" s="15"/>
      <c r="I179" s="15"/>
      <c r="J179" s="78"/>
      <c r="K179" s="78"/>
      <c r="L179" s="16"/>
      <c r="M179" s="16"/>
      <c r="N179" s="16"/>
      <c r="O179" s="16"/>
      <c r="P179" s="80"/>
      <c r="Q179" s="80"/>
      <c r="R179" s="17"/>
      <c r="S179" s="17"/>
      <c r="T179" s="17"/>
      <c r="U179" s="17"/>
      <c r="V179" s="117"/>
      <c r="W179" s="117"/>
      <c r="X179" s="82"/>
      <c r="Y179" s="82"/>
      <c r="Z179" s="82"/>
      <c r="AA179" s="82"/>
      <c r="AB179" s="18"/>
      <c r="AC179" s="18"/>
      <c r="AD179" s="86"/>
      <c r="AE179" s="86"/>
      <c r="AF179" s="84"/>
      <c r="AG179" s="84"/>
      <c r="AH179" s="41"/>
      <c r="AI179" s="41"/>
      <c r="AJ179" s="41"/>
      <c r="AK179" s="41"/>
      <c r="AL179" s="185"/>
      <c r="AM179" s="185"/>
      <c r="AN179" s="187"/>
      <c r="AO179" s="187"/>
      <c r="AP179" s="187"/>
      <c r="AQ179" s="187"/>
      <c r="AR179" s="89"/>
      <c r="AS179" s="90"/>
      <c r="AT179" s="118"/>
      <c r="AU179" s="118"/>
      <c r="AV179" s="118"/>
      <c r="AW179" s="118"/>
      <c r="AX179" s="33"/>
      <c r="AY179" s="33"/>
      <c r="AZ179" s="82"/>
      <c r="BA179" s="82"/>
      <c r="BB179" s="82"/>
      <c r="BC179" s="691"/>
    </row>
    <row r="180" spans="1:55" x14ac:dyDescent="0.25">
      <c r="A180" s="358"/>
      <c r="B180" s="729"/>
      <c r="C180" s="91"/>
      <c r="D180" s="76"/>
      <c r="E180" s="76"/>
      <c r="F180" s="15"/>
      <c r="G180" s="15"/>
      <c r="H180" s="15"/>
      <c r="I180" s="15"/>
      <c r="J180" s="78"/>
      <c r="K180" s="78"/>
      <c r="L180" s="16"/>
      <c r="M180" s="16"/>
      <c r="N180" s="16"/>
      <c r="O180" s="16"/>
      <c r="P180" s="80"/>
      <c r="Q180" s="80"/>
      <c r="R180" s="17"/>
      <c r="S180" s="17"/>
      <c r="T180" s="17"/>
      <c r="U180" s="17"/>
      <c r="V180" s="243"/>
      <c r="W180" s="243"/>
      <c r="X180" s="82"/>
      <c r="Y180" s="82"/>
      <c r="Z180" s="82"/>
      <c r="AA180" s="82"/>
      <c r="AB180" s="18"/>
      <c r="AC180" s="18"/>
      <c r="AD180" s="86"/>
      <c r="AE180" s="86"/>
      <c r="AF180" s="84"/>
      <c r="AG180" s="84"/>
      <c r="AH180" s="41"/>
      <c r="AI180" s="41"/>
      <c r="AJ180" s="41"/>
      <c r="AK180" s="41"/>
      <c r="AL180" s="185"/>
      <c r="AM180" s="185"/>
      <c r="AN180" s="187"/>
      <c r="AO180" s="187"/>
      <c r="AP180" s="187"/>
      <c r="AQ180" s="187"/>
      <c r="AR180" s="89"/>
      <c r="AS180" s="90"/>
      <c r="AT180" s="244"/>
      <c r="AU180" s="244"/>
      <c r="AV180" s="244"/>
      <c r="AW180" s="244"/>
      <c r="AX180" s="33"/>
      <c r="AY180" s="33"/>
      <c r="AZ180" s="82"/>
      <c r="BA180" s="82"/>
      <c r="BB180" s="82"/>
      <c r="BC180" s="691"/>
    </row>
    <row r="181" spans="1:55" x14ac:dyDescent="0.25">
      <c r="A181" s="358"/>
      <c r="B181" s="729"/>
      <c r="C181" s="91"/>
      <c r="D181" s="76"/>
      <c r="E181" s="76"/>
      <c r="F181" s="15"/>
      <c r="G181" s="15"/>
      <c r="H181" s="15"/>
      <c r="I181" s="15"/>
      <c r="J181" s="78"/>
      <c r="K181" s="78"/>
      <c r="L181" s="16"/>
      <c r="M181" s="16"/>
      <c r="N181" s="16"/>
      <c r="O181" s="16"/>
      <c r="P181" s="80"/>
      <c r="Q181" s="80"/>
      <c r="R181" s="17"/>
      <c r="S181" s="17"/>
      <c r="T181" s="17"/>
      <c r="U181" s="17"/>
      <c r="V181" s="117"/>
      <c r="W181" s="117"/>
      <c r="X181" s="82"/>
      <c r="Y181" s="82"/>
      <c r="Z181" s="82"/>
      <c r="AA181" s="82"/>
      <c r="AB181" s="18"/>
      <c r="AC181" s="18"/>
      <c r="AD181" s="86"/>
      <c r="AE181" s="86"/>
      <c r="AF181" s="84"/>
      <c r="AG181" s="84"/>
      <c r="AH181" s="41"/>
      <c r="AI181" s="41"/>
      <c r="AJ181" s="41"/>
      <c r="AK181" s="41"/>
      <c r="AL181" s="185"/>
      <c r="AM181" s="185"/>
      <c r="AN181" s="187"/>
      <c r="AO181" s="187"/>
      <c r="AP181" s="187"/>
      <c r="AQ181" s="187"/>
      <c r="AR181" s="89"/>
      <c r="AS181" s="90"/>
      <c r="AT181" s="118"/>
      <c r="AU181" s="118"/>
      <c r="AV181" s="118"/>
      <c r="AW181" s="118"/>
      <c r="AX181" s="33"/>
      <c r="AY181" s="33"/>
      <c r="AZ181" s="82"/>
      <c r="BA181" s="82"/>
      <c r="BB181" s="82"/>
      <c r="BC181" s="691"/>
    </row>
    <row r="182" spans="1:55" x14ac:dyDescent="0.25">
      <c r="A182" s="358"/>
      <c r="B182" s="729"/>
      <c r="C182" s="91"/>
      <c r="D182" s="76"/>
      <c r="E182" s="76"/>
      <c r="F182" s="15"/>
      <c r="G182" s="15"/>
      <c r="H182" s="15"/>
      <c r="I182" s="15"/>
      <c r="J182" s="78"/>
      <c r="K182" s="78"/>
      <c r="L182" s="16"/>
      <c r="M182" s="16"/>
      <c r="N182" s="16"/>
      <c r="O182" s="16"/>
      <c r="P182" s="80"/>
      <c r="Q182" s="80"/>
      <c r="R182" s="17"/>
      <c r="S182" s="17"/>
      <c r="T182" s="17"/>
      <c r="U182" s="17"/>
      <c r="V182" s="117"/>
      <c r="W182" s="117"/>
      <c r="X182" s="82"/>
      <c r="Y182" s="82"/>
      <c r="Z182" s="82"/>
      <c r="AA182" s="82"/>
      <c r="AB182" s="18"/>
      <c r="AC182" s="18"/>
      <c r="AD182" s="86"/>
      <c r="AE182" s="86"/>
      <c r="AF182" s="84"/>
      <c r="AG182" s="84"/>
      <c r="AH182" s="41"/>
      <c r="AI182" s="41"/>
      <c r="AJ182" s="41"/>
      <c r="AK182" s="41"/>
      <c r="AL182" s="185"/>
      <c r="AM182" s="185"/>
      <c r="AN182" s="187"/>
      <c r="AO182" s="187"/>
      <c r="AP182" s="187"/>
      <c r="AQ182" s="187"/>
      <c r="AR182" s="89"/>
      <c r="AS182" s="90"/>
      <c r="AT182" s="118"/>
      <c r="AU182" s="118"/>
      <c r="AV182" s="118"/>
      <c r="AW182" s="118"/>
      <c r="AX182" s="33"/>
      <c r="AY182" s="33"/>
      <c r="AZ182" s="82"/>
      <c r="BA182" s="82"/>
      <c r="BB182" s="82"/>
      <c r="BC182" s="691"/>
    </row>
    <row r="183" spans="1:55" x14ac:dyDescent="0.25">
      <c r="A183" s="358"/>
      <c r="B183" s="729"/>
      <c r="C183" s="91"/>
      <c r="D183" s="76"/>
      <c r="E183" s="76"/>
      <c r="F183" s="15"/>
      <c r="G183" s="15"/>
      <c r="H183" s="15"/>
      <c r="I183" s="15"/>
      <c r="J183" s="78"/>
      <c r="K183" s="78"/>
      <c r="L183" s="16"/>
      <c r="M183" s="16"/>
      <c r="N183" s="16"/>
      <c r="O183" s="16"/>
      <c r="P183" s="80"/>
      <c r="Q183" s="80"/>
      <c r="R183" s="17"/>
      <c r="S183" s="17"/>
      <c r="T183" s="17"/>
      <c r="U183" s="17"/>
      <c r="V183" s="156"/>
      <c r="W183" s="117"/>
      <c r="X183" s="82"/>
      <c r="Y183" s="82"/>
      <c r="Z183" s="82"/>
      <c r="AA183" s="82"/>
      <c r="AB183" s="18"/>
      <c r="AC183" s="18"/>
      <c r="AD183" s="86"/>
      <c r="AE183" s="86"/>
      <c r="AF183" s="84"/>
      <c r="AG183" s="84"/>
      <c r="AH183" s="41"/>
      <c r="AI183" s="41"/>
      <c r="AJ183" s="41"/>
      <c r="AK183" s="41"/>
      <c r="AL183" s="185"/>
      <c r="AM183" s="185"/>
      <c r="AN183" s="187"/>
      <c r="AO183" s="187"/>
      <c r="AP183" s="187"/>
      <c r="AQ183" s="187"/>
      <c r="AR183" s="89"/>
      <c r="AS183" s="90"/>
      <c r="AT183" s="118"/>
      <c r="AU183" s="118"/>
      <c r="AV183" s="118"/>
      <c r="AW183" s="118"/>
      <c r="AX183" s="33"/>
      <c r="AY183" s="33"/>
      <c r="AZ183" s="82"/>
      <c r="BA183" s="82"/>
      <c r="BB183" s="82"/>
      <c r="BC183" s="691"/>
    </row>
    <row r="184" spans="1:55" x14ac:dyDescent="0.25">
      <c r="A184" s="358"/>
      <c r="B184" s="729"/>
      <c r="C184" s="91"/>
      <c r="D184" s="76"/>
      <c r="E184" s="76"/>
      <c r="F184" s="15"/>
      <c r="G184" s="15"/>
      <c r="H184" s="15"/>
      <c r="I184" s="15"/>
      <c r="J184" s="78"/>
      <c r="K184" s="78"/>
      <c r="L184" s="16"/>
      <c r="M184" s="16"/>
      <c r="N184" s="16"/>
      <c r="O184" s="16"/>
      <c r="P184" s="80"/>
      <c r="Q184" s="80"/>
      <c r="R184" s="17"/>
      <c r="S184" s="17"/>
      <c r="T184" s="17"/>
      <c r="U184" s="17"/>
      <c r="V184" s="117"/>
      <c r="W184" s="117"/>
      <c r="X184" s="82"/>
      <c r="Y184" s="82"/>
      <c r="Z184" s="82"/>
      <c r="AA184" s="82"/>
      <c r="AB184" s="18"/>
      <c r="AC184" s="18"/>
      <c r="AD184" s="86"/>
      <c r="AE184" s="86"/>
      <c r="AF184" s="84"/>
      <c r="AG184" s="84"/>
      <c r="AH184" s="41"/>
      <c r="AI184" s="41"/>
      <c r="AJ184" s="41"/>
      <c r="AK184" s="41"/>
      <c r="AL184" s="185"/>
      <c r="AM184" s="185"/>
      <c r="AN184" s="187"/>
      <c r="AO184" s="187"/>
      <c r="AP184" s="187"/>
      <c r="AQ184" s="187"/>
      <c r="AR184" s="89"/>
      <c r="AS184" s="90"/>
      <c r="AT184" s="118"/>
      <c r="AU184" s="118"/>
      <c r="AV184" s="118"/>
      <c r="AW184" s="118"/>
      <c r="AX184" s="33"/>
      <c r="AY184" s="33"/>
      <c r="AZ184" s="82"/>
      <c r="BA184" s="82"/>
      <c r="BB184" s="82"/>
      <c r="BC184" s="691"/>
    </row>
    <row r="185" spans="1:55" x14ac:dyDescent="0.25">
      <c r="A185" s="358"/>
      <c r="B185" s="729"/>
      <c r="C185" s="91"/>
      <c r="D185" s="76"/>
      <c r="E185" s="76"/>
      <c r="F185" s="15"/>
      <c r="G185" s="15"/>
      <c r="H185" s="15"/>
      <c r="I185" s="15"/>
      <c r="J185" s="78"/>
      <c r="K185" s="78"/>
      <c r="L185" s="16"/>
      <c r="M185" s="16"/>
      <c r="N185" s="16"/>
      <c r="O185" s="16"/>
      <c r="P185" s="80"/>
      <c r="Q185" s="80"/>
      <c r="R185" s="17"/>
      <c r="S185" s="17"/>
      <c r="T185" s="17"/>
      <c r="U185" s="17"/>
      <c r="V185" s="117"/>
      <c r="W185" s="117"/>
      <c r="X185" s="82"/>
      <c r="Y185" s="82"/>
      <c r="Z185" s="82"/>
      <c r="AA185" s="82"/>
      <c r="AB185" s="18"/>
      <c r="AC185" s="18"/>
      <c r="AD185" s="86"/>
      <c r="AE185" s="86"/>
      <c r="AF185" s="84"/>
      <c r="AG185" s="84"/>
      <c r="AH185" s="41"/>
      <c r="AI185" s="41"/>
      <c r="AJ185" s="41"/>
      <c r="AK185" s="41"/>
      <c r="AL185" s="185"/>
      <c r="AM185" s="185"/>
      <c r="AN185" s="187"/>
      <c r="AO185" s="187"/>
      <c r="AP185" s="187"/>
      <c r="AQ185" s="187"/>
      <c r="AR185" s="89"/>
      <c r="AS185" s="90"/>
      <c r="AT185" s="118"/>
      <c r="AU185" s="118"/>
      <c r="AV185" s="118"/>
      <c r="AW185" s="118"/>
      <c r="AX185" s="33"/>
      <c r="AY185" s="33"/>
      <c r="AZ185" s="82"/>
      <c r="BA185" s="82"/>
      <c r="BB185" s="82"/>
      <c r="BC185" s="691"/>
    </row>
    <row r="186" spans="1:55" x14ac:dyDescent="0.25">
      <c r="A186" s="358"/>
      <c r="B186" s="729"/>
      <c r="C186" s="91"/>
      <c r="D186" s="76"/>
      <c r="E186" s="76"/>
      <c r="F186" s="15"/>
      <c r="G186" s="15"/>
      <c r="H186" s="15"/>
      <c r="I186" s="15"/>
      <c r="J186" s="78"/>
      <c r="K186" s="78"/>
      <c r="L186" s="16"/>
      <c r="M186" s="16"/>
      <c r="N186" s="16"/>
      <c r="O186" s="16"/>
      <c r="P186" s="80"/>
      <c r="Q186" s="80"/>
      <c r="R186" s="17"/>
      <c r="S186" s="17"/>
      <c r="T186" s="17"/>
      <c r="U186" s="17"/>
      <c r="V186" s="117"/>
      <c r="W186" s="117"/>
      <c r="X186" s="82"/>
      <c r="Y186" s="82"/>
      <c r="Z186" s="82"/>
      <c r="AA186" s="82"/>
      <c r="AB186" s="18"/>
      <c r="AC186" s="18"/>
      <c r="AD186" s="86"/>
      <c r="AE186" s="86"/>
      <c r="AF186" s="84"/>
      <c r="AG186" s="84"/>
      <c r="AH186" s="41"/>
      <c r="AI186" s="41"/>
      <c r="AJ186" s="41"/>
      <c r="AK186" s="41"/>
      <c r="AL186" s="185"/>
      <c r="AM186" s="185"/>
      <c r="AN186" s="187"/>
      <c r="AO186" s="187"/>
      <c r="AP186" s="187"/>
      <c r="AQ186" s="187"/>
      <c r="AR186" s="89"/>
      <c r="AS186" s="90"/>
      <c r="AT186" s="118"/>
      <c r="AU186" s="118"/>
      <c r="AV186" s="118"/>
      <c r="AW186" s="118"/>
      <c r="AX186" s="33"/>
      <c r="AY186" s="33"/>
      <c r="AZ186" s="82"/>
      <c r="BA186" s="82"/>
      <c r="BB186" s="82"/>
      <c r="BC186" s="691"/>
    </row>
    <row r="187" spans="1:55" x14ac:dyDescent="0.25">
      <c r="A187" s="358"/>
      <c r="B187" s="729"/>
      <c r="C187" s="91"/>
      <c r="D187" s="76"/>
      <c r="E187" s="76"/>
      <c r="F187" s="15"/>
      <c r="G187" s="15"/>
      <c r="H187" s="15"/>
      <c r="I187" s="15"/>
      <c r="J187" s="78"/>
      <c r="K187" s="78"/>
      <c r="L187" s="16"/>
      <c r="M187" s="16"/>
      <c r="N187" s="16"/>
      <c r="O187" s="16"/>
      <c r="P187" s="80"/>
      <c r="Q187" s="80"/>
      <c r="R187" s="17"/>
      <c r="S187" s="17"/>
      <c r="T187" s="17"/>
      <c r="U187" s="17"/>
      <c r="V187" s="117"/>
      <c r="W187" s="117"/>
      <c r="X187" s="82"/>
      <c r="Y187" s="82"/>
      <c r="Z187" s="82"/>
      <c r="AA187" s="82"/>
      <c r="AB187" s="18"/>
      <c r="AC187" s="18"/>
      <c r="AD187" s="86"/>
      <c r="AE187" s="86"/>
      <c r="AF187" s="84"/>
      <c r="AG187" s="84"/>
      <c r="AH187" s="41"/>
      <c r="AI187" s="41"/>
      <c r="AJ187" s="41"/>
      <c r="AK187" s="41"/>
      <c r="AL187" s="185"/>
      <c r="AM187" s="185"/>
      <c r="AN187" s="187"/>
      <c r="AO187" s="187"/>
      <c r="AP187" s="187"/>
      <c r="AQ187" s="187"/>
      <c r="AR187" s="89"/>
      <c r="AS187" s="90"/>
      <c r="AT187" s="118"/>
      <c r="AU187" s="118"/>
      <c r="AV187" s="118"/>
      <c r="AW187" s="118"/>
      <c r="AX187" s="33"/>
      <c r="AY187" s="33"/>
      <c r="AZ187" s="82"/>
      <c r="BA187" s="82"/>
      <c r="BB187" s="82"/>
      <c r="BC187" s="691"/>
    </row>
    <row r="188" spans="1:55" x14ac:dyDescent="0.25">
      <c r="A188" s="358"/>
      <c r="B188" s="729"/>
      <c r="C188" s="91"/>
      <c r="D188" s="76"/>
      <c r="E188" s="76"/>
      <c r="F188" s="15"/>
      <c r="G188" s="15"/>
      <c r="H188" s="15"/>
      <c r="I188" s="15"/>
      <c r="J188" s="78"/>
      <c r="K188" s="78"/>
      <c r="L188" s="16"/>
      <c r="M188" s="16"/>
      <c r="N188" s="16"/>
      <c r="O188" s="16"/>
      <c r="P188" s="80"/>
      <c r="Q188" s="80"/>
      <c r="R188" s="17"/>
      <c r="S188" s="17"/>
      <c r="T188" s="17"/>
      <c r="U188" s="17"/>
      <c r="V188" s="117"/>
      <c r="W188" s="117"/>
      <c r="X188" s="82"/>
      <c r="Y188" s="82"/>
      <c r="Z188" s="82"/>
      <c r="AA188" s="82"/>
      <c r="AB188" s="18"/>
      <c r="AC188" s="18"/>
      <c r="AD188" s="86"/>
      <c r="AE188" s="86"/>
      <c r="AF188" s="84"/>
      <c r="AG188" s="84"/>
      <c r="AH188" s="41"/>
      <c r="AI188" s="41"/>
      <c r="AJ188" s="41"/>
      <c r="AK188" s="41"/>
      <c r="AL188" s="185"/>
      <c r="AM188" s="185"/>
      <c r="AN188" s="187"/>
      <c r="AO188" s="187"/>
      <c r="AP188" s="187"/>
      <c r="AQ188" s="187"/>
      <c r="AR188" s="89"/>
      <c r="AS188" s="90"/>
      <c r="AT188" s="118"/>
      <c r="AU188" s="118"/>
      <c r="AV188" s="118"/>
      <c r="AW188" s="118"/>
      <c r="AX188" s="33"/>
      <c r="AY188" s="33"/>
      <c r="AZ188" s="82"/>
      <c r="BA188" s="82"/>
      <c r="BB188" s="82"/>
      <c r="BC188" s="691"/>
    </row>
    <row r="189" spans="1:55" x14ac:dyDescent="0.25">
      <c r="A189" s="358"/>
      <c r="B189" s="91"/>
      <c r="C189" s="91"/>
      <c r="D189" s="76"/>
      <c r="E189" s="76"/>
      <c r="F189" s="15"/>
      <c r="G189" s="15"/>
      <c r="H189" s="15"/>
      <c r="I189" s="15"/>
      <c r="J189" s="78"/>
      <c r="K189" s="78"/>
      <c r="L189" s="16"/>
      <c r="M189" s="16"/>
      <c r="N189" s="16"/>
      <c r="O189" s="16"/>
      <c r="P189" s="80"/>
      <c r="Q189" s="80"/>
      <c r="R189" s="17"/>
      <c r="S189" s="17"/>
      <c r="T189" s="17"/>
      <c r="U189" s="17"/>
      <c r="V189" s="117"/>
      <c r="W189" s="117"/>
      <c r="X189" s="82"/>
      <c r="Y189" s="82"/>
      <c r="Z189" s="82"/>
      <c r="AA189" s="82"/>
      <c r="AB189" s="18"/>
      <c r="AC189" s="18"/>
      <c r="AD189" s="86"/>
      <c r="AE189" s="86"/>
      <c r="AF189" s="84"/>
      <c r="AG189" s="84"/>
      <c r="AH189" s="41"/>
      <c r="AI189" s="41"/>
      <c r="AJ189" s="41"/>
      <c r="AK189" s="41"/>
      <c r="AL189" s="185"/>
      <c r="AM189" s="185"/>
      <c r="AN189" s="187"/>
      <c r="AO189" s="187"/>
      <c r="AP189" s="187"/>
      <c r="AQ189" s="187"/>
      <c r="AR189" s="89"/>
      <c r="AS189" s="90"/>
      <c r="AT189" s="118"/>
      <c r="AU189" s="118"/>
      <c r="AV189" s="118"/>
      <c r="AW189" s="118"/>
      <c r="AX189" s="33"/>
      <c r="AY189" s="33"/>
      <c r="AZ189" s="82"/>
      <c r="BA189" s="82"/>
      <c r="BB189" s="82"/>
      <c r="BC189" s="691"/>
    </row>
    <row r="190" spans="1:55" x14ac:dyDescent="0.25">
      <c r="A190" s="358"/>
      <c r="B190" s="91"/>
      <c r="C190" s="91"/>
      <c r="D190" s="76"/>
      <c r="E190" s="76"/>
      <c r="F190" s="15"/>
      <c r="G190" s="15"/>
      <c r="H190" s="15"/>
      <c r="I190" s="15"/>
      <c r="J190" s="78"/>
      <c r="K190" s="78"/>
      <c r="L190" s="16"/>
      <c r="M190" s="16"/>
      <c r="N190" s="16"/>
      <c r="O190" s="16"/>
      <c r="P190" s="80"/>
      <c r="Q190" s="80"/>
      <c r="R190" s="17"/>
      <c r="S190" s="17"/>
      <c r="T190" s="17"/>
      <c r="U190" s="17"/>
      <c r="V190" s="339"/>
      <c r="W190" s="339"/>
      <c r="X190" s="82"/>
      <c r="Y190" s="82"/>
      <c r="Z190" s="82"/>
      <c r="AA190" s="82"/>
      <c r="AB190" s="18"/>
      <c r="AC190" s="18"/>
      <c r="AD190" s="86"/>
      <c r="AE190" s="86"/>
      <c r="AF190" s="84"/>
      <c r="AG190" s="84"/>
      <c r="AH190" s="41"/>
      <c r="AI190" s="41"/>
      <c r="AJ190" s="41"/>
      <c r="AK190" s="41"/>
      <c r="AL190" s="185"/>
      <c r="AM190" s="185"/>
      <c r="AN190" s="187"/>
      <c r="AO190" s="187"/>
      <c r="AP190" s="187"/>
      <c r="AQ190" s="187"/>
      <c r="AR190" s="89"/>
      <c r="AS190" s="90"/>
      <c r="AT190" s="341"/>
      <c r="AU190" s="341"/>
      <c r="AV190" s="341"/>
      <c r="AW190" s="341"/>
      <c r="AX190" s="33"/>
      <c r="AY190" s="33"/>
      <c r="AZ190" s="82"/>
      <c r="BA190" s="82"/>
      <c r="BB190" s="82"/>
      <c r="BC190" s="691"/>
    </row>
    <row r="191" spans="1:55" x14ac:dyDescent="0.25">
      <c r="A191" s="358"/>
      <c r="B191" s="91"/>
      <c r="C191" s="91"/>
      <c r="D191" s="76"/>
      <c r="E191" s="76"/>
      <c r="F191" s="15"/>
      <c r="G191" s="15"/>
      <c r="H191" s="15"/>
      <c r="I191" s="15"/>
      <c r="J191" s="78"/>
      <c r="K191" s="78"/>
      <c r="L191" s="16"/>
      <c r="M191" s="16"/>
      <c r="N191" s="16"/>
      <c r="O191" s="16"/>
      <c r="P191" s="80"/>
      <c r="Q191" s="80"/>
      <c r="R191" s="17"/>
      <c r="S191" s="17"/>
      <c r="T191" s="17"/>
      <c r="U191" s="17"/>
      <c r="V191" s="117"/>
      <c r="W191" s="117"/>
      <c r="X191" s="82"/>
      <c r="Y191" s="82"/>
      <c r="Z191" s="82"/>
      <c r="AA191" s="82"/>
      <c r="AB191" s="18"/>
      <c r="AC191" s="18"/>
      <c r="AD191" s="86"/>
      <c r="AE191" s="86"/>
      <c r="AF191" s="84"/>
      <c r="AG191" s="84"/>
      <c r="AH191" s="41"/>
      <c r="AI191" s="41"/>
      <c r="AJ191" s="41"/>
      <c r="AK191" s="41"/>
      <c r="AL191" s="185"/>
      <c r="AM191" s="185"/>
      <c r="AN191" s="187"/>
      <c r="AO191" s="187"/>
      <c r="AP191" s="187"/>
      <c r="AQ191" s="187"/>
      <c r="AR191" s="89"/>
      <c r="AS191" s="90"/>
      <c r="AT191" s="118"/>
      <c r="AU191" s="118"/>
      <c r="AV191" s="118"/>
      <c r="AW191" s="118"/>
      <c r="AX191" s="33"/>
      <c r="AY191" s="33"/>
      <c r="AZ191" s="82"/>
      <c r="BA191" s="82"/>
      <c r="BB191" s="82"/>
      <c r="BC191" s="691"/>
    </row>
    <row r="192" spans="1:55" x14ac:dyDescent="0.25">
      <c r="A192" s="358"/>
      <c r="B192" s="91"/>
      <c r="C192" s="91"/>
      <c r="D192" s="76"/>
      <c r="E192" s="76"/>
      <c r="F192" s="15"/>
      <c r="G192" s="15"/>
      <c r="H192" s="15"/>
      <c r="I192" s="15"/>
      <c r="J192" s="78"/>
      <c r="K192" s="78"/>
      <c r="L192" s="16"/>
      <c r="M192" s="16"/>
      <c r="N192" s="16"/>
      <c r="O192" s="16"/>
      <c r="P192" s="80"/>
      <c r="Q192" s="80"/>
      <c r="R192" s="17"/>
      <c r="S192" s="17"/>
      <c r="T192" s="17"/>
      <c r="U192" s="17"/>
      <c r="V192" s="117"/>
      <c r="W192" s="117"/>
      <c r="X192" s="82"/>
      <c r="Y192" s="82"/>
      <c r="Z192" s="82"/>
      <c r="AA192" s="82"/>
      <c r="AB192" s="18"/>
      <c r="AC192" s="18"/>
      <c r="AD192" s="86"/>
      <c r="AE192" s="86"/>
      <c r="AF192" s="84"/>
      <c r="AG192" s="84"/>
      <c r="AH192" s="41"/>
      <c r="AI192" s="41"/>
      <c r="AJ192" s="41"/>
      <c r="AK192" s="41"/>
      <c r="AL192" s="185"/>
      <c r="AM192" s="185"/>
      <c r="AN192" s="187"/>
      <c r="AO192" s="187"/>
      <c r="AP192" s="187"/>
      <c r="AQ192" s="187"/>
      <c r="AR192" s="89"/>
      <c r="AS192" s="90"/>
      <c r="AT192" s="118"/>
      <c r="AU192" s="118"/>
      <c r="AV192" s="118"/>
      <c r="AW192" s="118"/>
      <c r="AX192" s="33"/>
      <c r="AY192" s="33"/>
      <c r="AZ192" s="82"/>
      <c r="BA192" s="82"/>
      <c r="BB192" s="82"/>
      <c r="BC192" s="691"/>
    </row>
    <row r="193" spans="1:55" x14ac:dyDescent="0.25">
      <c r="A193" s="358"/>
      <c r="B193" s="91"/>
      <c r="C193" s="91"/>
      <c r="D193" s="76"/>
      <c r="E193" s="76"/>
      <c r="F193" s="15"/>
      <c r="G193" s="15"/>
      <c r="H193" s="15"/>
      <c r="I193" s="15"/>
      <c r="J193" s="78"/>
      <c r="K193" s="78"/>
      <c r="L193" s="16"/>
      <c r="M193" s="16"/>
      <c r="N193" s="16"/>
      <c r="O193" s="16"/>
      <c r="P193" s="80"/>
      <c r="Q193" s="80"/>
      <c r="R193" s="17"/>
      <c r="S193" s="17"/>
      <c r="T193" s="17"/>
      <c r="U193" s="17"/>
      <c r="V193" s="206"/>
      <c r="W193" s="206"/>
      <c r="X193" s="82"/>
      <c r="Y193" s="82"/>
      <c r="Z193" s="82"/>
      <c r="AA193" s="82"/>
      <c r="AB193" s="18"/>
      <c r="AC193" s="18"/>
      <c r="AD193" s="86"/>
      <c r="AE193" s="86"/>
      <c r="AF193" s="84"/>
      <c r="AG193" s="84"/>
      <c r="AH193" s="41"/>
      <c r="AI193" s="41"/>
      <c r="AJ193" s="41"/>
      <c r="AK193" s="41"/>
      <c r="AL193" s="185"/>
      <c r="AM193" s="185"/>
      <c r="AN193" s="187"/>
      <c r="AO193" s="187"/>
      <c r="AP193" s="187"/>
      <c r="AQ193" s="187"/>
      <c r="AR193" s="89"/>
      <c r="AS193" s="90"/>
      <c r="AT193" s="207"/>
      <c r="AU193" s="207"/>
      <c r="AV193" s="207"/>
      <c r="AW193" s="207"/>
      <c r="AX193" s="33"/>
      <c r="AY193" s="33"/>
      <c r="AZ193" s="82"/>
      <c r="BA193" s="82"/>
      <c r="BB193" s="82"/>
      <c r="BC193" s="691"/>
    </row>
    <row r="194" spans="1:55" x14ac:dyDescent="0.25">
      <c r="A194" s="358"/>
      <c r="B194" s="91"/>
      <c r="C194" s="91"/>
      <c r="D194" s="76"/>
      <c r="E194" s="76"/>
      <c r="F194" s="15"/>
      <c r="G194" s="15"/>
      <c r="H194" s="15"/>
      <c r="I194" s="15"/>
      <c r="J194" s="78"/>
      <c r="K194" s="78"/>
      <c r="L194" s="16"/>
      <c r="M194" s="16"/>
      <c r="N194" s="16"/>
      <c r="O194" s="16"/>
      <c r="P194" s="80"/>
      <c r="Q194" s="80"/>
      <c r="R194" s="17"/>
      <c r="S194" s="17"/>
      <c r="T194" s="17"/>
      <c r="U194" s="17"/>
      <c r="V194" s="117"/>
      <c r="W194" s="117"/>
      <c r="X194" s="82"/>
      <c r="Y194" s="82"/>
      <c r="Z194" s="82"/>
      <c r="AA194" s="82"/>
      <c r="AB194" s="18"/>
      <c r="AC194" s="18"/>
      <c r="AD194" s="86"/>
      <c r="AE194" s="86"/>
      <c r="AF194" s="84"/>
      <c r="AG194" s="84"/>
      <c r="AH194" s="41"/>
      <c r="AI194" s="41"/>
      <c r="AJ194" s="41"/>
      <c r="AK194" s="41"/>
      <c r="AL194" s="185"/>
      <c r="AM194" s="185"/>
      <c r="AN194" s="187"/>
      <c r="AO194" s="187"/>
      <c r="AP194" s="187"/>
      <c r="AQ194" s="187"/>
      <c r="AR194" s="89"/>
      <c r="AS194" s="90"/>
      <c r="AT194" s="118"/>
      <c r="AU194" s="118"/>
      <c r="AV194" s="118"/>
      <c r="AW194" s="118"/>
      <c r="AX194" s="33"/>
      <c r="AY194" s="33"/>
      <c r="AZ194" s="82"/>
      <c r="BA194" s="82"/>
      <c r="BB194" s="82"/>
      <c r="BC194" s="691"/>
    </row>
    <row r="195" spans="1:55" x14ac:dyDescent="0.25">
      <c r="A195" s="358"/>
      <c r="B195" s="91"/>
      <c r="C195" s="91"/>
      <c r="D195" s="76"/>
      <c r="E195" s="76"/>
      <c r="F195" s="15"/>
      <c r="G195" s="15"/>
      <c r="H195" s="15"/>
      <c r="I195" s="15"/>
      <c r="J195" s="78"/>
      <c r="K195" s="78"/>
      <c r="L195" s="16"/>
      <c r="M195" s="16"/>
      <c r="N195" s="16"/>
      <c r="O195" s="16"/>
      <c r="P195" s="80"/>
      <c r="Q195" s="80"/>
      <c r="R195" s="17"/>
      <c r="S195" s="17"/>
      <c r="T195" s="17"/>
      <c r="U195" s="17"/>
      <c r="V195" s="156"/>
      <c r="W195" s="117"/>
      <c r="X195" s="82"/>
      <c r="Y195" s="82"/>
      <c r="Z195" s="82"/>
      <c r="AA195" s="82"/>
      <c r="AB195" s="18"/>
      <c r="AC195" s="18"/>
      <c r="AD195" s="86"/>
      <c r="AE195" s="86"/>
      <c r="AF195" s="84"/>
      <c r="AG195" s="84"/>
      <c r="AH195" s="41"/>
      <c r="AI195" s="41"/>
      <c r="AJ195" s="41"/>
      <c r="AK195" s="41"/>
      <c r="AL195" s="185"/>
      <c r="AM195" s="185"/>
      <c r="AN195" s="187"/>
      <c r="AO195" s="187"/>
      <c r="AP195" s="187"/>
      <c r="AQ195" s="187"/>
      <c r="AR195" s="89"/>
      <c r="AS195" s="90"/>
      <c r="AT195" s="118"/>
      <c r="AU195" s="118"/>
      <c r="AV195" s="118"/>
      <c r="AW195" s="118"/>
      <c r="AX195" s="33"/>
      <c r="AY195" s="33"/>
      <c r="AZ195" s="82"/>
      <c r="BA195" s="82"/>
      <c r="BB195" s="82"/>
      <c r="BC195" s="691"/>
    </row>
    <row r="196" spans="1:55" x14ac:dyDescent="0.25">
      <c r="A196" s="358"/>
      <c r="B196" s="91"/>
      <c r="C196" s="91"/>
      <c r="D196" s="76"/>
      <c r="E196" s="76"/>
      <c r="F196" s="15"/>
      <c r="G196" s="15"/>
      <c r="H196" s="15"/>
      <c r="I196" s="15"/>
      <c r="J196" s="78"/>
      <c r="K196" s="78"/>
      <c r="L196" s="16"/>
      <c r="M196" s="16"/>
      <c r="N196" s="16"/>
      <c r="O196" s="16"/>
      <c r="P196" s="80"/>
      <c r="Q196" s="80"/>
      <c r="R196" s="17"/>
      <c r="S196" s="17"/>
      <c r="T196" s="17"/>
      <c r="U196" s="17"/>
      <c r="V196" s="117"/>
      <c r="W196" s="117"/>
      <c r="X196" s="82"/>
      <c r="Y196" s="82"/>
      <c r="Z196" s="82"/>
      <c r="AA196" s="82"/>
      <c r="AB196" s="18"/>
      <c r="AC196" s="18"/>
      <c r="AD196" s="86"/>
      <c r="AE196" s="86"/>
      <c r="AF196" s="84"/>
      <c r="AG196" s="84"/>
      <c r="AH196" s="41"/>
      <c r="AI196" s="41"/>
      <c r="AJ196" s="41"/>
      <c r="AK196" s="41"/>
      <c r="AL196" s="185"/>
      <c r="AM196" s="185"/>
      <c r="AN196" s="187"/>
      <c r="AO196" s="187"/>
      <c r="AP196" s="187"/>
      <c r="AQ196" s="187"/>
      <c r="AR196" s="89"/>
      <c r="AS196" s="90"/>
      <c r="AT196" s="118"/>
      <c r="AU196" s="118"/>
      <c r="AV196" s="118"/>
      <c r="AW196" s="118"/>
      <c r="AX196" s="33"/>
      <c r="AY196" s="33"/>
      <c r="AZ196" s="82"/>
      <c r="BA196" s="82"/>
      <c r="BB196" s="82"/>
      <c r="BC196" s="691"/>
    </row>
    <row r="197" spans="1:55" x14ac:dyDescent="0.25">
      <c r="A197" s="358"/>
      <c r="B197" s="91"/>
      <c r="C197" s="91"/>
      <c r="D197" s="76"/>
      <c r="E197" s="76"/>
      <c r="F197" s="15"/>
      <c r="G197" s="15"/>
      <c r="H197" s="15"/>
      <c r="I197" s="15"/>
      <c r="J197" s="78"/>
      <c r="K197" s="78"/>
      <c r="L197" s="16"/>
      <c r="M197" s="16"/>
      <c r="N197" s="16"/>
      <c r="O197" s="16"/>
      <c r="P197" s="80"/>
      <c r="Q197" s="80"/>
      <c r="R197" s="17"/>
      <c r="S197" s="17"/>
      <c r="T197" s="17"/>
      <c r="U197" s="17"/>
      <c r="V197" s="156"/>
      <c r="W197" s="117"/>
      <c r="X197" s="82"/>
      <c r="Y197" s="82"/>
      <c r="Z197" s="82"/>
      <c r="AA197" s="82"/>
      <c r="AB197" s="18"/>
      <c r="AC197" s="18"/>
      <c r="AD197" s="86"/>
      <c r="AE197" s="86"/>
      <c r="AF197" s="84"/>
      <c r="AG197" s="84"/>
      <c r="AH197" s="41"/>
      <c r="AI197" s="41"/>
      <c r="AJ197" s="41"/>
      <c r="AK197" s="41"/>
      <c r="AL197" s="185"/>
      <c r="AM197" s="185"/>
      <c r="AN197" s="187"/>
      <c r="AO197" s="187"/>
      <c r="AP197" s="187"/>
      <c r="AQ197" s="187"/>
      <c r="AR197" s="89"/>
      <c r="AS197" s="90"/>
      <c r="AT197" s="118"/>
      <c r="AU197" s="118"/>
      <c r="AV197" s="118"/>
      <c r="AW197" s="118"/>
      <c r="AX197" s="33"/>
      <c r="AY197" s="33"/>
      <c r="AZ197" s="82"/>
      <c r="BA197" s="82"/>
      <c r="BB197" s="82"/>
      <c r="BC197" s="691"/>
    </row>
    <row r="198" spans="1:55" x14ac:dyDescent="0.25">
      <c r="A198" s="358"/>
      <c r="B198" s="91"/>
      <c r="C198" s="91"/>
      <c r="D198" s="76"/>
      <c r="E198" s="76"/>
      <c r="F198" s="15"/>
      <c r="G198" s="15"/>
      <c r="H198" s="15"/>
      <c r="I198" s="15"/>
      <c r="J198" s="78"/>
      <c r="K198" s="78"/>
      <c r="L198" s="16"/>
      <c r="M198" s="16"/>
      <c r="N198" s="16"/>
      <c r="O198" s="16"/>
      <c r="P198" s="80"/>
      <c r="Q198" s="80"/>
      <c r="R198" s="17"/>
      <c r="S198" s="17"/>
      <c r="T198" s="17"/>
      <c r="U198" s="17"/>
      <c r="V198" s="117"/>
      <c r="W198" s="117"/>
      <c r="X198" s="82"/>
      <c r="Y198" s="82"/>
      <c r="Z198" s="82"/>
      <c r="AA198" s="82"/>
      <c r="AB198" s="18"/>
      <c r="AC198" s="18"/>
      <c r="AD198" s="86"/>
      <c r="AE198" s="86"/>
      <c r="AF198" s="84"/>
      <c r="AG198" s="84"/>
      <c r="AH198" s="41"/>
      <c r="AI198" s="41"/>
      <c r="AJ198" s="41"/>
      <c r="AK198" s="41"/>
      <c r="AL198" s="185"/>
      <c r="AM198" s="185"/>
      <c r="AN198" s="187"/>
      <c r="AO198" s="187"/>
      <c r="AP198" s="187"/>
      <c r="AQ198" s="187"/>
      <c r="AR198" s="89"/>
      <c r="AS198" s="90"/>
      <c r="AT198" s="118"/>
      <c r="AU198" s="118"/>
      <c r="AV198" s="118"/>
      <c r="AW198" s="118"/>
      <c r="AX198" s="33"/>
      <c r="AY198" s="33"/>
      <c r="AZ198" s="82"/>
      <c r="BA198" s="82"/>
      <c r="BB198" s="82"/>
      <c r="BC198" s="691"/>
    </row>
    <row r="199" spans="1:55" x14ac:dyDescent="0.25">
      <c r="A199" s="358"/>
      <c r="B199" s="91"/>
      <c r="C199" s="91"/>
      <c r="D199" s="76"/>
      <c r="E199" s="76"/>
      <c r="F199" s="15"/>
      <c r="G199" s="15"/>
      <c r="H199" s="15"/>
      <c r="I199" s="15"/>
      <c r="J199" s="78"/>
      <c r="K199" s="78"/>
      <c r="L199" s="16"/>
      <c r="M199" s="16"/>
      <c r="N199" s="16"/>
      <c r="O199" s="16"/>
      <c r="P199" s="80"/>
      <c r="Q199" s="80"/>
      <c r="R199" s="17"/>
      <c r="S199" s="17"/>
      <c r="T199" s="17"/>
      <c r="U199" s="17"/>
      <c r="V199" s="156"/>
      <c r="W199" s="117"/>
      <c r="X199" s="82"/>
      <c r="Y199" s="82"/>
      <c r="Z199" s="82"/>
      <c r="AA199" s="82"/>
      <c r="AB199" s="18"/>
      <c r="AC199" s="18"/>
      <c r="AD199" s="86"/>
      <c r="AE199" s="86"/>
      <c r="AF199" s="84"/>
      <c r="AG199" s="84"/>
      <c r="AH199" s="41"/>
      <c r="AI199" s="41"/>
      <c r="AJ199" s="41"/>
      <c r="AK199" s="41"/>
      <c r="AL199" s="185"/>
      <c r="AM199" s="185"/>
      <c r="AN199" s="187"/>
      <c r="AO199" s="187"/>
      <c r="AP199" s="187"/>
      <c r="AQ199" s="187"/>
      <c r="AR199" s="89"/>
      <c r="AS199" s="90"/>
      <c r="AT199" s="118"/>
      <c r="AU199" s="118"/>
      <c r="AV199" s="118"/>
      <c r="AW199" s="118"/>
      <c r="AX199" s="33"/>
      <c r="AY199" s="33"/>
      <c r="AZ199" s="82"/>
      <c r="BA199" s="82"/>
      <c r="BB199" s="82"/>
      <c r="BC199" s="691"/>
    </row>
    <row r="200" spans="1:55" x14ac:dyDescent="0.25">
      <c r="A200" s="358"/>
      <c r="B200" s="91"/>
      <c r="C200" s="91"/>
      <c r="D200" s="76"/>
      <c r="E200" s="76"/>
      <c r="F200" s="15"/>
      <c r="G200" s="15"/>
      <c r="H200" s="15"/>
      <c r="I200" s="15"/>
      <c r="J200" s="78"/>
      <c r="K200" s="78"/>
      <c r="L200" s="16"/>
      <c r="M200" s="16"/>
      <c r="N200" s="16"/>
      <c r="O200" s="16"/>
      <c r="P200" s="80"/>
      <c r="Q200" s="80"/>
      <c r="R200" s="17"/>
      <c r="S200" s="17"/>
      <c r="T200" s="17"/>
      <c r="U200" s="17"/>
      <c r="V200" s="117"/>
      <c r="W200" s="117"/>
      <c r="X200" s="82"/>
      <c r="Y200" s="82"/>
      <c r="Z200" s="82"/>
      <c r="AA200" s="82"/>
      <c r="AB200" s="18"/>
      <c r="AC200" s="18"/>
      <c r="AD200" s="86"/>
      <c r="AE200" s="86"/>
      <c r="AF200" s="84"/>
      <c r="AG200" s="84"/>
      <c r="AH200" s="41"/>
      <c r="AI200" s="41"/>
      <c r="AJ200" s="41"/>
      <c r="AK200" s="41"/>
      <c r="AL200" s="185"/>
      <c r="AM200" s="185"/>
      <c r="AN200" s="187"/>
      <c r="AO200" s="187"/>
      <c r="AP200" s="187"/>
      <c r="AQ200" s="187"/>
      <c r="AR200" s="89"/>
      <c r="AS200" s="90"/>
      <c r="AT200" s="118"/>
      <c r="AU200" s="118"/>
      <c r="AV200" s="118"/>
      <c r="AW200" s="118"/>
      <c r="AX200" s="33"/>
      <c r="AY200" s="33"/>
      <c r="AZ200" s="82"/>
      <c r="BA200" s="82"/>
      <c r="BB200" s="82"/>
      <c r="BC200" s="691"/>
    </row>
    <row r="201" spans="1:55" x14ac:dyDescent="0.25">
      <c r="A201" s="358"/>
      <c r="B201" s="91"/>
      <c r="C201" s="91"/>
      <c r="D201" s="76"/>
      <c r="E201" s="76"/>
      <c r="F201" s="15"/>
      <c r="G201" s="15"/>
      <c r="H201" s="15"/>
      <c r="I201" s="15"/>
      <c r="J201" s="78"/>
      <c r="K201" s="78"/>
      <c r="L201" s="16"/>
      <c r="M201" s="16"/>
      <c r="N201" s="16"/>
      <c r="O201" s="16"/>
      <c r="P201" s="80"/>
      <c r="Q201" s="80"/>
      <c r="R201" s="17"/>
      <c r="S201" s="17"/>
      <c r="T201" s="17"/>
      <c r="U201" s="17"/>
      <c r="V201" s="117"/>
      <c r="W201" s="117"/>
      <c r="X201" s="82"/>
      <c r="Y201" s="82"/>
      <c r="Z201" s="82"/>
      <c r="AA201" s="82"/>
      <c r="AB201" s="18"/>
      <c r="AC201" s="18"/>
      <c r="AD201" s="86"/>
      <c r="AE201" s="86"/>
      <c r="AF201" s="84"/>
      <c r="AG201" s="84"/>
      <c r="AH201" s="41"/>
      <c r="AI201" s="41"/>
      <c r="AJ201" s="41"/>
      <c r="AK201" s="41"/>
      <c r="AL201" s="185"/>
      <c r="AM201" s="185"/>
      <c r="AN201" s="187"/>
      <c r="AO201" s="187"/>
      <c r="AP201" s="187"/>
      <c r="AQ201" s="187"/>
      <c r="AR201" s="89"/>
      <c r="AS201" s="90"/>
      <c r="AT201" s="118"/>
      <c r="AU201" s="118"/>
      <c r="AV201" s="118"/>
      <c r="AW201" s="118"/>
      <c r="AX201" s="33"/>
      <c r="AY201" s="33"/>
      <c r="AZ201" s="82"/>
      <c r="BA201" s="82"/>
      <c r="BB201" s="82"/>
      <c r="BC201" s="691"/>
    </row>
    <row r="202" spans="1:55" x14ac:dyDescent="0.25">
      <c r="A202" s="358"/>
      <c r="B202" s="91"/>
      <c r="C202" s="91"/>
      <c r="D202" s="76"/>
      <c r="E202" s="76"/>
      <c r="F202" s="15"/>
      <c r="G202" s="15"/>
      <c r="H202" s="15"/>
      <c r="I202" s="15"/>
      <c r="J202" s="78"/>
      <c r="K202" s="78"/>
      <c r="L202" s="16"/>
      <c r="M202" s="16"/>
      <c r="N202" s="16"/>
      <c r="O202" s="16"/>
      <c r="P202" s="80"/>
      <c r="Q202" s="80"/>
      <c r="R202" s="17"/>
      <c r="S202" s="17"/>
      <c r="T202" s="17"/>
      <c r="U202" s="17"/>
      <c r="V202" s="352"/>
      <c r="W202" s="352"/>
      <c r="X202" s="82"/>
      <c r="Y202" s="82"/>
      <c r="Z202" s="82"/>
      <c r="AA202" s="82"/>
      <c r="AB202" s="18"/>
      <c r="AC202" s="18"/>
      <c r="AD202" s="86"/>
      <c r="AE202" s="86"/>
      <c r="AF202" s="84"/>
      <c r="AG202" s="84"/>
      <c r="AH202" s="41"/>
      <c r="AI202" s="41"/>
      <c r="AJ202" s="41"/>
      <c r="AK202" s="41"/>
      <c r="AL202" s="185"/>
      <c r="AM202" s="185"/>
      <c r="AN202" s="187"/>
      <c r="AO202" s="187"/>
      <c r="AP202" s="187"/>
      <c r="AQ202" s="187"/>
      <c r="AR202" s="89"/>
      <c r="AS202" s="90"/>
      <c r="AT202" s="353"/>
      <c r="AU202" s="353"/>
      <c r="AV202" s="353"/>
      <c r="AW202" s="353"/>
      <c r="AX202" s="354"/>
      <c r="AY202" s="354"/>
      <c r="AZ202" s="82"/>
      <c r="BA202" s="82"/>
      <c r="BB202" s="82"/>
      <c r="BC202" s="691"/>
    </row>
    <row r="203" spans="1:55" x14ac:dyDescent="0.25">
      <c r="A203" s="358"/>
      <c r="B203" s="91"/>
      <c r="C203" s="91"/>
      <c r="D203" s="76"/>
      <c r="E203" s="76"/>
      <c r="F203" s="15"/>
      <c r="G203" s="15"/>
      <c r="H203" s="15"/>
      <c r="I203" s="15"/>
      <c r="J203" s="78"/>
      <c r="K203" s="78"/>
      <c r="L203" s="16"/>
      <c r="M203" s="16"/>
      <c r="N203" s="16"/>
      <c r="O203" s="16"/>
      <c r="P203" s="80"/>
      <c r="Q203" s="80"/>
      <c r="R203" s="17"/>
      <c r="S203" s="17"/>
      <c r="T203" s="17"/>
      <c r="U203" s="17"/>
      <c r="V203" s="117"/>
      <c r="W203" s="117"/>
      <c r="X203" s="82"/>
      <c r="Y203" s="82"/>
      <c r="Z203" s="82"/>
      <c r="AA203" s="82"/>
      <c r="AB203" s="18"/>
      <c r="AC203" s="18"/>
      <c r="AD203" s="86"/>
      <c r="AE203" s="86"/>
      <c r="AF203" s="84"/>
      <c r="AG203" s="84"/>
      <c r="AH203" s="41"/>
      <c r="AI203" s="41"/>
      <c r="AJ203" s="41"/>
      <c r="AK203" s="41"/>
      <c r="AL203" s="185"/>
      <c r="AM203" s="185"/>
      <c r="AN203" s="187"/>
      <c r="AO203" s="187"/>
      <c r="AP203" s="187"/>
      <c r="AQ203" s="187"/>
      <c r="AR203" s="89"/>
      <c r="AS203" s="90"/>
      <c r="AT203" s="118"/>
      <c r="AU203" s="118"/>
      <c r="AV203" s="118"/>
      <c r="AW203" s="118"/>
      <c r="AX203" s="33"/>
      <c r="AY203" s="33"/>
      <c r="AZ203" s="82"/>
      <c r="BA203" s="82"/>
      <c r="BB203" s="82"/>
      <c r="BC203" s="691"/>
    </row>
    <row r="204" spans="1:55" x14ac:dyDescent="0.25">
      <c r="A204" s="358"/>
      <c r="B204" s="91"/>
      <c r="C204" s="91"/>
      <c r="D204" s="76"/>
      <c r="E204" s="76"/>
      <c r="F204" s="15"/>
      <c r="G204" s="15"/>
      <c r="H204" s="15"/>
      <c r="I204" s="15"/>
      <c r="J204" s="78"/>
      <c r="K204" s="78"/>
      <c r="L204" s="16"/>
      <c r="M204" s="16"/>
      <c r="N204" s="16"/>
      <c r="O204" s="16"/>
      <c r="P204" s="80"/>
      <c r="Q204" s="80"/>
      <c r="R204" s="17"/>
      <c r="S204" s="17"/>
      <c r="T204" s="17"/>
      <c r="U204" s="17"/>
      <c r="V204" s="117"/>
      <c r="W204" s="117"/>
      <c r="X204" s="82"/>
      <c r="Y204" s="82"/>
      <c r="Z204" s="82"/>
      <c r="AA204" s="82"/>
      <c r="AB204" s="18"/>
      <c r="AC204" s="18"/>
      <c r="AD204" s="86"/>
      <c r="AE204" s="86"/>
      <c r="AF204" s="84"/>
      <c r="AG204" s="84"/>
      <c r="AH204" s="41"/>
      <c r="AI204" s="41"/>
      <c r="AJ204" s="41"/>
      <c r="AK204" s="41"/>
      <c r="AL204" s="185"/>
      <c r="AM204" s="185"/>
      <c r="AN204" s="187"/>
      <c r="AO204" s="187"/>
      <c r="AP204" s="187"/>
      <c r="AQ204" s="187"/>
      <c r="AR204" s="89"/>
      <c r="AS204" s="90"/>
      <c r="AT204" s="118"/>
      <c r="AU204" s="118"/>
      <c r="AV204" s="118"/>
      <c r="AW204" s="118"/>
      <c r="AX204" s="33"/>
      <c r="AY204" s="33"/>
      <c r="AZ204" s="82"/>
      <c r="BA204" s="82"/>
      <c r="BB204" s="82"/>
      <c r="BC204" s="691"/>
    </row>
    <row r="205" spans="1:55" x14ac:dyDescent="0.25">
      <c r="A205" s="358"/>
      <c r="B205" s="91"/>
      <c r="C205" s="91"/>
      <c r="D205" s="76"/>
      <c r="E205" s="76"/>
      <c r="F205" s="15"/>
      <c r="G205" s="15"/>
      <c r="H205" s="15"/>
      <c r="I205" s="15"/>
      <c r="J205" s="78"/>
      <c r="K205" s="78"/>
      <c r="L205" s="16"/>
      <c r="M205" s="16"/>
      <c r="N205" s="16"/>
      <c r="O205" s="16"/>
      <c r="P205" s="80"/>
      <c r="Q205" s="80"/>
      <c r="R205" s="17"/>
      <c r="S205" s="17"/>
      <c r="T205" s="17"/>
      <c r="U205" s="17"/>
      <c r="V205" s="117"/>
      <c r="W205" s="117"/>
      <c r="X205" s="82"/>
      <c r="Y205" s="82"/>
      <c r="Z205" s="82"/>
      <c r="AA205" s="82"/>
      <c r="AB205" s="18"/>
      <c r="AC205" s="18"/>
      <c r="AD205" s="86"/>
      <c r="AE205" s="86"/>
      <c r="AF205" s="84"/>
      <c r="AG205" s="84"/>
      <c r="AH205" s="41"/>
      <c r="AI205" s="41"/>
      <c r="AJ205" s="41"/>
      <c r="AK205" s="41"/>
      <c r="AL205" s="185"/>
      <c r="AM205" s="185"/>
      <c r="AN205" s="187"/>
      <c r="AO205" s="187"/>
      <c r="AP205" s="187"/>
      <c r="AQ205" s="187"/>
      <c r="AR205" s="89"/>
      <c r="AS205" s="90"/>
      <c r="AT205" s="118"/>
      <c r="AU205" s="118"/>
      <c r="AV205" s="118"/>
      <c r="AW205" s="118"/>
      <c r="AX205" s="33"/>
      <c r="AY205" s="33"/>
      <c r="AZ205" s="82"/>
      <c r="BA205" s="82"/>
      <c r="BB205" s="82"/>
      <c r="BC205" s="691"/>
    </row>
    <row r="206" spans="1:55" x14ac:dyDescent="0.25">
      <c r="A206" s="358"/>
      <c r="B206" s="91"/>
      <c r="C206" s="91"/>
      <c r="D206" s="76"/>
      <c r="E206" s="76"/>
      <c r="F206" s="15"/>
      <c r="G206" s="15"/>
      <c r="H206" s="15"/>
      <c r="I206" s="15"/>
      <c r="J206" s="78"/>
      <c r="K206" s="78"/>
      <c r="L206" s="16"/>
      <c r="M206" s="16"/>
      <c r="N206" s="16"/>
      <c r="O206" s="16"/>
      <c r="P206" s="80"/>
      <c r="Q206" s="80"/>
      <c r="R206" s="17"/>
      <c r="S206" s="17"/>
      <c r="T206" s="17"/>
      <c r="U206" s="17"/>
      <c r="V206" s="247"/>
      <c r="W206" s="247"/>
      <c r="X206" s="82"/>
      <c r="Y206" s="82"/>
      <c r="Z206" s="82"/>
      <c r="AA206" s="82"/>
      <c r="AB206" s="18"/>
      <c r="AC206" s="18"/>
      <c r="AD206" s="86"/>
      <c r="AE206" s="86"/>
      <c r="AF206" s="84"/>
      <c r="AG206" s="84"/>
      <c r="AH206" s="41"/>
      <c r="AI206" s="41"/>
      <c r="AJ206" s="41"/>
      <c r="AK206" s="41"/>
      <c r="AL206" s="185"/>
      <c r="AM206" s="185"/>
      <c r="AN206" s="187"/>
      <c r="AO206" s="187"/>
      <c r="AP206" s="187"/>
      <c r="AQ206" s="187"/>
      <c r="AR206" s="89"/>
      <c r="AS206" s="90"/>
      <c r="AT206" s="248"/>
      <c r="AU206" s="248"/>
      <c r="AV206" s="248"/>
      <c r="AW206" s="248"/>
      <c r="AX206" s="33"/>
      <c r="AY206" s="33"/>
      <c r="AZ206" s="82"/>
      <c r="BA206" s="82"/>
      <c r="BB206" s="82"/>
      <c r="BC206" s="691"/>
    </row>
    <row r="207" spans="1:55" x14ac:dyDescent="0.25">
      <c r="A207" s="358"/>
      <c r="B207" s="91"/>
      <c r="C207" s="91"/>
      <c r="D207" s="76"/>
      <c r="E207" s="76"/>
      <c r="F207" s="15"/>
      <c r="G207" s="15"/>
      <c r="H207" s="15"/>
      <c r="I207" s="15"/>
      <c r="J207" s="78"/>
      <c r="K207" s="78"/>
      <c r="L207" s="16"/>
      <c r="M207" s="16"/>
      <c r="N207" s="16"/>
      <c r="O207" s="16"/>
      <c r="P207" s="80"/>
      <c r="Q207" s="80"/>
      <c r="R207" s="17"/>
      <c r="S207" s="17"/>
      <c r="T207" s="17"/>
      <c r="U207" s="17"/>
      <c r="V207" s="117"/>
      <c r="W207" s="117"/>
      <c r="X207" s="82"/>
      <c r="Y207" s="82"/>
      <c r="Z207" s="82"/>
      <c r="AA207" s="82"/>
      <c r="AB207" s="18"/>
      <c r="AC207" s="18"/>
      <c r="AD207" s="86"/>
      <c r="AE207" s="86"/>
      <c r="AF207" s="84"/>
      <c r="AG207" s="84"/>
      <c r="AH207" s="41"/>
      <c r="AI207" s="41"/>
      <c r="AJ207" s="41"/>
      <c r="AK207" s="41"/>
      <c r="AL207" s="185"/>
      <c r="AM207" s="185"/>
      <c r="AN207" s="187"/>
      <c r="AO207" s="187"/>
      <c r="AP207" s="187"/>
      <c r="AQ207" s="187"/>
      <c r="AR207" s="89"/>
      <c r="AS207" s="90"/>
      <c r="AT207" s="118"/>
      <c r="AU207" s="118"/>
      <c r="AV207" s="118"/>
      <c r="AW207" s="118"/>
      <c r="AX207" s="33"/>
      <c r="AY207" s="33"/>
      <c r="AZ207" s="82"/>
      <c r="BA207" s="82"/>
      <c r="BB207" s="82"/>
      <c r="BC207" s="691"/>
    </row>
    <row r="208" spans="1:55" x14ac:dyDescent="0.25">
      <c r="A208" s="358"/>
      <c r="B208" s="91"/>
      <c r="C208" s="91"/>
      <c r="D208" s="76"/>
      <c r="E208" s="76"/>
      <c r="F208" s="15"/>
      <c r="G208" s="15"/>
      <c r="H208" s="15"/>
      <c r="I208" s="15"/>
      <c r="J208" s="78"/>
      <c r="K208" s="78"/>
      <c r="L208" s="16"/>
      <c r="M208" s="16"/>
      <c r="N208" s="16"/>
      <c r="O208" s="16"/>
      <c r="P208" s="80"/>
      <c r="Q208" s="80"/>
      <c r="R208" s="17"/>
      <c r="S208" s="17"/>
      <c r="T208" s="17"/>
      <c r="U208" s="17"/>
      <c r="V208" s="117"/>
      <c r="W208" s="157"/>
      <c r="X208" s="82"/>
      <c r="Y208" s="82"/>
      <c r="Z208" s="82"/>
      <c r="AA208" s="82"/>
      <c r="AB208" s="18"/>
      <c r="AC208" s="18"/>
      <c r="AD208" s="86"/>
      <c r="AE208" s="86"/>
      <c r="AF208" s="84"/>
      <c r="AG208" s="84"/>
      <c r="AH208" s="41"/>
      <c r="AI208" s="41"/>
      <c r="AJ208" s="41"/>
      <c r="AK208" s="41"/>
      <c r="AL208" s="185"/>
      <c r="AM208" s="185"/>
      <c r="AN208" s="187"/>
      <c r="AO208" s="187"/>
      <c r="AP208" s="187"/>
      <c r="AQ208" s="187"/>
      <c r="AR208" s="89"/>
      <c r="AS208" s="90"/>
      <c r="AT208" s="118"/>
      <c r="AU208" s="118"/>
      <c r="AV208" s="118"/>
      <c r="AW208" s="118"/>
      <c r="AX208" s="33"/>
      <c r="AY208" s="33"/>
      <c r="AZ208" s="82"/>
      <c r="BA208" s="82"/>
      <c r="BB208" s="82"/>
      <c r="BC208" s="691"/>
    </row>
    <row r="209" spans="1:55" x14ac:dyDescent="0.25">
      <c r="A209" s="358"/>
      <c r="B209" s="91"/>
      <c r="C209" s="91"/>
      <c r="D209" s="76"/>
      <c r="E209" s="76"/>
      <c r="F209" s="15"/>
      <c r="G209" s="15"/>
      <c r="H209" s="15"/>
      <c r="I209" s="15"/>
      <c r="J209" s="78"/>
      <c r="K209" s="78"/>
      <c r="L209" s="16"/>
      <c r="M209" s="16"/>
      <c r="N209" s="16"/>
      <c r="O209" s="16"/>
      <c r="P209" s="80"/>
      <c r="Q209" s="80"/>
      <c r="R209" s="17"/>
      <c r="S209" s="17"/>
      <c r="T209" s="17"/>
      <c r="U209" s="17"/>
      <c r="V209" s="117"/>
      <c r="W209" s="117"/>
      <c r="X209" s="82"/>
      <c r="Y209" s="82"/>
      <c r="Z209" s="82"/>
      <c r="AA209" s="82"/>
      <c r="AB209" s="18"/>
      <c r="AC209" s="18"/>
      <c r="AD209" s="86"/>
      <c r="AE209" s="86"/>
      <c r="AF209" s="84"/>
      <c r="AG209" s="84"/>
      <c r="AH209" s="41"/>
      <c r="AI209" s="41"/>
      <c r="AJ209" s="41"/>
      <c r="AK209" s="41"/>
      <c r="AL209" s="185"/>
      <c r="AM209" s="185"/>
      <c r="AN209" s="187"/>
      <c r="AO209" s="187"/>
      <c r="AP209" s="187"/>
      <c r="AQ209" s="187"/>
      <c r="AR209" s="89"/>
      <c r="AS209" s="90"/>
      <c r="AT209" s="118"/>
      <c r="AU209" s="118"/>
      <c r="AV209" s="118"/>
      <c r="AW209" s="118"/>
      <c r="AX209" s="33"/>
      <c r="AY209" s="33"/>
      <c r="AZ209" s="82"/>
      <c r="BA209" s="82"/>
      <c r="BB209" s="82"/>
      <c r="BC209" s="691"/>
    </row>
    <row r="210" spans="1:55" x14ac:dyDescent="0.25">
      <c r="A210" s="358"/>
      <c r="B210" s="91"/>
      <c r="C210" s="91"/>
      <c r="D210" s="76"/>
      <c r="E210" s="76"/>
      <c r="F210" s="15"/>
      <c r="G210" s="15"/>
      <c r="H210" s="15"/>
      <c r="I210" s="15"/>
      <c r="J210" s="78"/>
      <c r="K210" s="78"/>
      <c r="L210" s="16"/>
      <c r="M210" s="16"/>
      <c r="N210" s="16"/>
      <c r="O210" s="16"/>
      <c r="P210" s="80"/>
      <c r="Q210" s="80"/>
      <c r="R210" s="17"/>
      <c r="S210" s="17"/>
      <c r="T210" s="17"/>
      <c r="U210" s="17"/>
      <c r="V210" s="117"/>
      <c r="W210" s="117"/>
      <c r="X210" s="82"/>
      <c r="Y210" s="82"/>
      <c r="Z210" s="82"/>
      <c r="AA210" s="82"/>
      <c r="AB210" s="18"/>
      <c r="AC210" s="18"/>
      <c r="AD210" s="86"/>
      <c r="AE210" s="86"/>
      <c r="AF210" s="84"/>
      <c r="AG210" s="84"/>
      <c r="AH210" s="41"/>
      <c r="AI210" s="41"/>
      <c r="AJ210" s="41"/>
      <c r="AK210" s="41"/>
      <c r="AL210" s="185"/>
      <c r="AM210" s="185"/>
      <c r="AN210" s="187"/>
      <c r="AO210" s="187"/>
      <c r="AP210" s="187"/>
      <c r="AQ210" s="187"/>
      <c r="AR210" s="89"/>
      <c r="AS210" s="90"/>
      <c r="AT210" s="118"/>
      <c r="AU210" s="118"/>
      <c r="AV210" s="118"/>
      <c r="AW210" s="118"/>
      <c r="AX210" s="33"/>
      <c r="AY210" s="33"/>
      <c r="AZ210" s="82"/>
      <c r="BA210" s="82"/>
      <c r="BB210" s="82"/>
      <c r="BC210" s="691"/>
    </row>
    <row r="211" spans="1:55" x14ac:dyDescent="0.25">
      <c r="A211" s="358"/>
      <c r="B211" s="91"/>
      <c r="C211" s="91"/>
      <c r="D211" s="76"/>
      <c r="E211" s="76"/>
      <c r="F211" s="15"/>
      <c r="G211" s="15"/>
      <c r="H211" s="15"/>
      <c r="I211" s="15"/>
      <c r="J211" s="78"/>
      <c r="K211" s="78"/>
      <c r="L211" s="16"/>
      <c r="M211" s="16"/>
      <c r="N211" s="16"/>
      <c r="O211" s="16"/>
      <c r="P211" s="80"/>
      <c r="Q211" s="80"/>
      <c r="R211" s="17"/>
      <c r="S211" s="17"/>
      <c r="T211" s="17"/>
      <c r="U211" s="17"/>
      <c r="V211" s="117"/>
      <c r="W211" s="117"/>
      <c r="X211" s="82"/>
      <c r="Y211" s="82"/>
      <c r="Z211" s="82"/>
      <c r="AA211" s="82"/>
      <c r="AB211" s="18"/>
      <c r="AC211" s="18"/>
      <c r="AD211" s="86"/>
      <c r="AE211" s="86"/>
      <c r="AF211" s="84"/>
      <c r="AG211" s="84"/>
      <c r="AH211" s="41"/>
      <c r="AI211" s="41"/>
      <c r="AJ211" s="41"/>
      <c r="AK211" s="41"/>
      <c r="AL211" s="185"/>
      <c r="AM211" s="185"/>
      <c r="AN211" s="187"/>
      <c r="AO211" s="187"/>
      <c r="AP211" s="187"/>
      <c r="AQ211" s="187"/>
      <c r="AR211" s="89"/>
      <c r="AS211" s="90"/>
      <c r="AT211" s="118"/>
      <c r="AU211" s="118"/>
      <c r="AV211" s="118"/>
      <c r="AW211" s="118"/>
      <c r="AX211" s="33"/>
      <c r="AY211" s="33"/>
      <c r="AZ211" s="82"/>
      <c r="BA211" s="82"/>
      <c r="BB211" s="82"/>
      <c r="BC211" s="691"/>
    </row>
    <row r="212" spans="1:55" x14ac:dyDescent="0.25">
      <c r="A212" s="358"/>
      <c r="B212" s="91"/>
      <c r="C212" s="91"/>
      <c r="D212" s="76"/>
      <c r="E212" s="76"/>
      <c r="F212" s="15"/>
      <c r="G212" s="15"/>
      <c r="H212" s="15"/>
      <c r="I212" s="15"/>
      <c r="J212" s="78"/>
      <c r="K212" s="78"/>
      <c r="L212" s="16"/>
      <c r="M212" s="16"/>
      <c r="N212" s="16"/>
      <c r="O212" s="16"/>
      <c r="P212" s="80"/>
      <c r="Q212" s="80"/>
      <c r="R212" s="17"/>
      <c r="S212" s="17"/>
      <c r="T212" s="17"/>
      <c r="U212" s="17"/>
      <c r="V212" s="117"/>
      <c r="W212" s="117"/>
      <c r="X212" s="82"/>
      <c r="Y212" s="82"/>
      <c r="Z212" s="82"/>
      <c r="AA212" s="82"/>
      <c r="AB212" s="18"/>
      <c r="AC212" s="18"/>
      <c r="AD212" s="86"/>
      <c r="AE212" s="86"/>
      <c r="AF212" s="84"/>
      <c r="AG212" s="84"/>
      <c r="AH212" s="41"/>
      <c r="AI212" s="41"/>
      <c r="AJ212" s="41"/>
      <c r="AK212" s="41"/>
      <c r="AL212" s="185"/>
      <c r="AM212" s="185"/>
      <c r="AN212" s="187"/>
      <c r="AO212" s="187"/>
      <c r="AP212" s="187"/>
      <c r="AQ212" s="187"/>
      <c r="AR212" s="89"/>
      <c r="AS212" s="90"/>
      <c r="AT212" s="118"/>
      <c r="AU212" s="118"/>
      <c r="AV212" s="118"/>
      <c r="AW212" s="118"/>
      <c r="AX212" s="33"/>
      <c r="AY212" s="33"/>
      <c r="AZ212" s="82"/>
      <c r="BA212" s="82"/>
      <c r="BB212" s="82"/>
      <c r="BC212" s="691"/>
    </row>
    <row r="213" spans="1:55" x14ac:dyDescent="0.25">
      <c r="A213" s="358"/>
      <c r="B213" s="91"/>
      <c r="C213" s="91"/>
      <c r="D213" s="76"/>
      <c r="E213" s="76"/>
      <c r="F213" s="15"/>
      <c r="G213" s="15"/>
      <c r="H213" s="15"/>
      <c r="I213" s="15"/>
      <c r="J213" s="78"/>
      <c r="K213" s="78"/>
      <c r="L213" s="16"/>
      <c r="M213" s="16"/>
      <c r="N213" s="16"/>
      <c r="O213" s="16"/>
      <c r="P213" s="80"/>
      <c r="Q213" s="80"/>
      <c r="R213" s="17"/>
      <c r="S213" s="17"/>
      <c r="T213" s="17"/>
      <c r="U213" s="17"/>
      <c r="V213" s="117"/>
      <c r="W213" s="117"/>
      <c r="X213" s="82"/>
      <c r="Y213" s="82"/>
      <c r="Z213" s="82"/>
      <c r="AA213" s="82"/>
      <c r="AB213" s="18"/>
      <c r="AC213" s="18"/>
      <c r="AD213" s="86"/>
      <c r="AE213" s="86"/>
      <c r="AF213" s="84"/>
      <c r="AG213" s="84"/>
      <c r="AH213" s="41"/>
      <c r="AI213" s="41"/>
      <c r="AJ213" s="41"/>
      <c r="AK213" s="41"/>
      <c r="AL213" s="185"/>
      <c r="AM213" s="185"/>
      <c r="AN213" s="187"/>
      <c r="AO213" s="187"/>
      <c r="AP213" s="187"/>
      <c r="AQ213" s="187"/>
      <c r="AR213" s="89"/>
      <c r="AS213" s="90"/>
      <c r="AT213" s="118"/>
      <c r="AU213" s="118"/>
      <c r="AV213" s="118"/>
      <c r="AW213" s="118"/>
      <c r="AX213" s="33"/>
      <c r="AY213" s="33"/>
      <c r="AZ213" s="82"/>
      <c r="BA213" s="82"/>
      <c r="BB213" s="82"/>
      <c r="BC213" s="691"/>
    </row>
    <row r="214" spans="1:55" x14ac:dyDescent="0.25">
      <c r="A214" s="358"/>
      <c r="B214" s="91"/>
      <c r="C214" s="91"/>
      <c r="D214" s="76"/>
      <c r="E214" s="76"/>
      <c r="F214" s="15"/>
      <c r="G214" s="15"/>
      <c r="H214" s="15"/>
      <c r="I214" s="15"/>
      <c r="J214" s="78"/>
      <c r="K214" s="78"/>
      <c r="L214" s="16"/>
      <c r="M214" s="16"/>
      <c r="N214" s="16"/>
      <c r="O214" s="16"/>
      <c r="P214" s="80"/>
      <c r="Q214" s="80"/>
      <c r="R214" s="17"/>
      <c r="S214" s="17"/>
      <c r="T214" s="17"/>
      <c r="U214" s="17"/>
      <c r="V214" s="245"/>
      <c r="W214" s="245"/>
      <c r="X214" s="82"/>
      <c r="Y214" s="82"/>
      <c r="Z214" s="82"/>
      <c r="AA214" s="82"/>
      <c r="AB214" s="18"/>
      <c r="AC214" s="18"/>
      <c r="AD214" s="86"/>
      <c r="AE214" s="86"/>
      <c r="AF214" s="84"/>
      <c r="AG214" s="84"/>
      <c r="AH214" s="41"/>
      <c r="AI214" s="41"/>
      <c r="AJ214" s="41"/>
      <c r="AK214" s="41"/>
      <c r="AL214" s="185"/>
      <c r="AM214" s="185"/>
      <c r="AN214" s="187"/>
      <c r="AO214" s="187"/>
      <c r="AP214" s="187"/>
      <c r="AQ214" s="187"/>
      <c r="AR214" s="89"/>
      <c r="AS214" s="90"/>
      <c r="AT214" s="246"/>
      <c r="AU214" s="246"/>
      <c r="AV214" s="246"/>
      <c r="AW214" s="246"/>
      <c r="AX214" s="33"/>
      <c r="AY214" s="33"/>
      <c r="AZ214" s="82"/>
      <c r="BA214" s="82"/>
      <c r="BB214" s="82"/>
      <c r="BC214" s="691"/>
    </row>
    <row r="215" spans="1:55" x14ac:dyDescent="0.25">
      <c r="A215" s="358"/>
      <c r="B215" s="91"/>
      <c r="C215" s="91"/>
      <c r="D215" s="76"/>
      <c r="E215" s="76"/>
      <c r="F215" s="15"/>
      <c r="G215" s="15"/>
      <c r="H215" s="15"/>
      <c r="I215" s="15"/>
      <c r="J215" s="78"/>
      <c r="K215" s="78"/>
      <c r="L215" s="16"/>
      <c r="M215" s="16"/>
      <c r="N215" s="16"/>
      <c r="O215" s="16"/>
      <c r="P215" s="80"/>
      <c r="Q215" s="80"/>
      <c r="R215" s="17"/>
      <c r="S215" s="17"/>
      <c r="T215" s="17"/>
      <c r="U215" s="17"/>
      <c r="V215" s="117"/>
      <c r="W215" s="157"/>
      <c r="X215" s="82"/>
      <c r="Y215" s="82"/>
      <c r="Z215" s="82"/>
      <c r="AA215" s="82"/>
      <c r="AB215" s="18"/>
      <c r="AC215" s="18"/>
      <c r="AD215" s="86"/>
      <c r="AE215" s="86"/>
      <c r="AF215" s="84"/>
      <c r="AG215" s="84"/>
      <c r="AH215" s="41"/>
      <c r="AI215" s="41"/>
      <c r="AJ215" s="41"/>
      <c r="AK215" s="41"/>
      <c r="AL215" s="185"/>
      <c r="AM215" s="185"/>
      <c r="AN215" s="187"/>
      <c r="AO215" s="187"/>
      <c r="AP215" s="187"/>
      <c r="AQ215" s="187"/>
      <c r="AR215" s="89"/>
      <c r="AS215" s="90"/>
      <c r="AT215" s="118"/>
      <c r="AU215" s="118"/>
      <c r="AV215" s="118"/>
      <c r="AW215" s="118"/>
      <c r="AX215" s="33"/>
      <c r="AY215" s="33"/>
      <c r="AZ215" s="82"/>
      <c r="BA215" s="82"/>
      <c r="BB215" s="82"/>
      <c r="BC215" s="691"/>
    </row>
    <row r="216" spans="1:55" x14ac:dyDescent="0.25">
      <c r="A216" s="358"/>
      <c r="B216" s="91"/>
      <c r="C216" s="91"/>
      <c r="D216" s="76"/>
      <c r="E216" s="76"/>
      <c r="F216" s="15"/>
      <c r="G216" s="15"/>
      <c r="H216" s="15"/>
      <c r="I216" s="15"/>
      <c r="J216" s="78"/>
      <c r="K216" s="78"/>
      <c r="L216" s="16"/>
      <c r="M216" s="16"/>
      <c r="N216" s="16"/>
      <c r="O216" s="16"/>
      <c r="P216" s="80"/>
      <c r="Q216" s="80"/>
      <c r="R216" s="17"/>
      <c r="S216" s="17"/>
      <c r="T216" s="17"/>
      <c r="U216" s="17"/>
      <c r="V216" s="117"/>
      <c r="W216" s="117"/>
      <c r="X216" s="82"/>
      <c r="Y216" s="82"/>
      <c r="Z216" s="82"/>
      <c r="AA216" s="82"/>
      <c r="AB216" s="18"/>
      <c r="AC216" s="18"/>
      <c r="AD216" s="86"/>
      <c r="AE216" s="86"/>
      <c r="AF216" s="84"/>
      <c r="AG216" s="84"/>
      <c r="AH216" s="41"/>
      <c r="AI216" s="41"/>
      <c r="AJ216" s="41"/>
      <c r="AK216" s="41"/>
      <c r="AL216" s="185"/>
      <c r="AM216" s="185"/>
      <c r="AN216" s="187"/>
      <c r="AO216" s="187"/>
      <c r="AP216" s="187"/>
      <c r="AQ216" s="187"/>
      <c r="AR216" s="89"/>
      <c r="AS216" s="90"/>
      <c r="AT216" s="118"/>
      <c r="AU216" s="118"/>
      <c r="AV216" s="118"/>
      <c r="AW216" s="118"/>
      <c r="AX216" s="33"/>
      <c r="AY216" s="33"/>
      <c r="AZ216" s="82"/>
      <c r="BA216" s="82"/>
      <c r="BB216" s="82"/>
      <c r="BC216" s="691"/>
    </row>
    <row r="217" spans="1:55" x14ac:dyDescent="0.25">
      <c r="A217" s="358"/>
      <c r="B217" s="91"/>
      <c r="C217" s="91"/>
      <c r="D217" s="76"/>
      <c r="E217" s="76"/>
      <c r="F217" s="15"/>
      <c r="G217" s="15"/>
      <c r="H217" s="15"/>
      <c r="I217" s="15"/>
      <c r="J217" s="78"/>
      <c r="K217" s="78"/>
      <c r="L217" s="16"/>
      <c r="M217" s="16"/>
      <c r="N217" s="16"/>
      <c r="O217" s="16"/>
      <c r="P217" s="80"/>
      <c r="Q217" s="80"/>
      <c r="R217" s="17"/>
      <c r="S217" s="17"/>
      <c r="T217" s="17"/>
      <c r="U217" s="17"/>
      <c r="V217" s="117"/>
      <c r="W217" s="117"/>
      <c r="X217" s="82"/>
      <c r="Y217" s="82"/>
      <c r="Z217" s="82"/>
      <c r="AA217" s="82"/>
      <c r="AB217" s="18"/>
      <c r="AC217" s="18"/>
      <c r="AD217" s="86"/>
      <c r="AE217" s="86"/>
      <c r="AF217" s="84"/>
      <c r="AG217" s="84"/>
      <c r="AH217" s="41"/>
      <c r="AI217" s="41"/>
      <c r="AJ217" s="41"/>
      <c r="AK217" s="41"/>
      <c r="AL217" s="185"/>
      <c r="AM217" s="185"/>
      <c r="AN217" s="187"/>
      <c r="AO217" s="187"/>
      <c r="AP217" s="187"/>
      <c r="AQ217" s="187"/>
      <c r="AR217" s="89"/>
      <c r="AS217" s="90"/>
      <c r="AT217" s="118"/>
      <c r="AU217" s="118"/>
      <c r="AV217" s="118"/>
      <c r="AW217" s="118"/>
      <c r="AX217" s="33"/>
      <c r="AY217" s="33"/>
      <c r="AZ217" s="82"/>
      <c r="BA217" s="82"/>
      <c r="BB217" s="82"/>
      <c r="BC217" s="691"/>
    </row>
    <row r="218" spans="1:55" x14ac:dyDescent="0.25">
      <c r="A218" s="358"/>
      <c r="B218" s="91"/>
      <c r="C218" s="91"/>
      <c r="D218" s="76"/>
      <c r="E218" s="76"/>
      <c r="F218" s="15"/>
      <c r="G218" s="15"/>
      <c r="H218" s="15"/>
      <c r="I218" s="15"/>
      <c r="J218" s="78"/>
      <c r="K218" s="78"/>
      <c r="L218" s="16"/>
      <c r="M218" s="16"/>
      <c r="N218" s="16"/>
      <c r="O218" s="16"/>
      <c r="P218" s="80"/>
      <c r="Q218" s="80"/>
      <c r="R218" s="17"/>
      <c r="S218" s="17"/>
      <c r="T218" s="17"/>
      <c r="U218" s="17"/>
      <c r="V218" s="117"/>
      <c r="W218" s="117"/>
      <c r="X218" s="82"/>
      <c r="Y218" s="82"/>
      <c r="Z218" s="82"/>
      <c r="AA218" s="82"/>
      <c r="AB218" s="18"/>
      <c r="AC218" s="18"/>
      <c r="AD218" s="86"/>
      <c r="AE218" s="86"/>
      <c r="AF218" s="84"/>
      <c r="AG218" s="84"/>
      <c r="AH218" s="41"/>
      <c r="AI218" s="41"/>
      <c r="AJ218" s="41"/>
      <c r="AK218" s="41"/>
      <c r="AL218" s="185"/>
      <c r="AM218" s="185"/>
      <c r="AN218" s="187"/>
      <c r="AO218" s="187"/>
      <c r="AP218" s="187"/>
      <c r="AQ218" s="187"/>
      <c r="AR218" s="89"/>
      <c r="AS218" s="90"/>
      <c r="AT218" s="118"/>
      <c r="AU218" s="118"/>
      <c r="AV218" s="118"/>
      <c r="AW218" s="118"/>
      <c r="AX218" s="33"/>
      <c r="AY218" s="33"/>
      <c r="AZ218" s="82"/>
      <c r="BA218" s="82"/>
      <c r="BB218" s="82"/>
      <c r="BC218" s="691"/>
    </row>
    <row r="219" spans="1:55" x14ac:dyDescent="0.25">
      <c r="A219" s="358"/>
      <c r="B219" s="91"/>
      <c r="C219" s="91"/>
      <c r="D219" s="76"/>
      <c r="E219" s="76"/>
      <c r="F219" s="15"/>
      <c r="G219" s="15"/>
      <c r="H219" s="15"/>
      <c r="I219" s="15"/>
      <c r="J219" s="78"/>
      <c r="K219" s="78"/>
      <c r="L219" s="16"/>
      <c r="M219" s="16"/>
      <c r="N219" s="16"/>
      <c r="O219" s="16"/>
      <c r="P219" s="80"/>
      <c r="Q219" s="80"/>
      <c r="R219" s="17"/>
      <c r="S219" s="17"/>
      <c r="T219" s="17"/>
      <c r="U219" s="17"/>
      <c r="V219" s="159"/>
      <c r="W219" s="159"/>
      <c r="X219" s="82"/>
      <c r="Y219" s="82"/>
      <c r="Z219" s="82"/>
      <c r="AA219" s="82"/>
      <c r="AB219" s="18"/>
      <c r="AC219" s="18"/>
      <c r="AD219" s="86"/>
      <c r="AE219" s="86"/>
      <c r="AF219" s="84"/>
      <c r="AG219" s="84"/>
      <c r="AH219" s="41"/>
      <c r="AI219" s="41"/>
      <c r="AJ219" s="41"/>
      <c r="AK219" s="41"/>
      <c r="AL219" s="185"/>
      <c r="AM219" s="185"/>
      <c r="AN219" s="187"/>
      <c r="AO219" s="187"/>
      <c r="AP219" s="187"/>
      <c r="AQ219" s="187"/>
      <c r="AR219" s="89"/>
      <c r="AS219" s="90"/>
      <c r="AT219" s="160"/>
      <c r="AU219" s="160"/>
      <c r="AV219" s="160"/>
      <c r="AW219" s="160"/>
      <c r="AX219" s="33"/>
      <c r="AY219" s="33"/>
      <c r="AZ219" s="82"/>
      <c r="BA219" s="82"/>
      <c r="BB219" s="82"/>
      <c r="BC219" s="691"/>
    </row>
    <row r="220" spans="1:55" x14ac:dyDescent="0.25">
      <c r="A220" s="358"/>
      <c r="B220" s="91"/>
      <c r="C220" s="91"/>
      <c r="D220" s="76"/>
      <c r="E220" s="76"/>
      <c r="F220" s="15"/>
      <c r="G220" s="15"/>
      <c r="H220" s="15"/>
      <c r="I220" s="15"/>
      <c r="J220" s="78"/>
      <c r="K220" s="78"/>
      <c r="L220" s="16"/>
      <c r="M220" s="16"/>
      <c r="N220" s="16"/>
      <c r="O220" s="16"/>
      <c r="P220" s="80"/>
      <c r="Q220" s="80"/>
      <c r="R220" s="17"/>
      <c r="S220" s="17"/>
      <c r="T220" s="17"/>
      <c r="U220" s="17"/>
      <c r="V220" s="117"/>
      <c r="W220" s="117"/>
      <c r="X220" s="82"/>
      <c r="Y220" s="82"/>
      <c r="Z220" s="82"/>
      <c r="AA220" s="82"/>
      <c r="AB220" s="18"/>
      <c r="AC220" s="18"/>
      <c r="AD220" s="86"/>
      <c r="AE220" s="86"/>
      <c r="AF220" s="84"/>
      <c r="AG220" s="84"/>
      <c r="AH220" s="41"/>
      <c r="AI220" s="41"/>
      <c r="AJ220" s="41"/>
      <c r="AK220" s="41"/>
      <c r="AL220" s="185"/>
      <c r="AM220" s="185"/>
      <c r="AN220" s="187"/>
      <c r="AO220" s="187"/>
      <c r="AP220" s="187"/>
      <c r="AQ220" s="187"/>
      <c r="AR220" s="89"/>
      <c r="AS220" s="90"/>
      <c r="AT220" s="118"/>
      <c r="AU220" s="118"/>
      <c r="AV220" s="118"/>
      <c r="AW220" s="118"/>
      <c r="AX220" s="33"/>
      <c r="AY220" s="33"/>
      <c r="AZ220" s="82"/>
      <c r="BA220" s="82"/>
      <c r="BB220" s="82"/>
      <c r="BC220" s="691"/>
    </row>
    <row r="221" spans="1:55" x14ac:dyDescent="0.25">
      <c r="A221" s="358"/>
      <c r="B221" s="91"/>
      <c r="C221" s="91"/>
      <c r="D221" s="76"/>
      <c r="E221" s="76"/>
      <c r="F221" s="15"/>
      <c r="G221" s="15"/>
      <c r="H221" s="15"/>
      <c r="I221" s="15"/>
      <c r="J221" s="78"/>
      <c r="K221" s="78"/>
      <c r="L221" s="16"/>
      <c r="M221" s="16"/>
      <c r="N221" s="16"/>
      <c r="O221" s="16"/>
      <c r="P221" s="80"/>
      <c r="Q221" s="80"/>
      <c r="R221" s="17"/>
      <c r="S221" s="17"/>
      <c r="T221" s="17"/>
      <c r="U221" s="17"/>
      <c r="V221" s="117"/>
      <c r="W221" s="117"/>
      <c r="X221" s="82"/>
      <c r="Y221" s="82"/>
      <c r="Z221" s="82"/>
      <c r="AA221" s="82"/>
      <c r="AB221" s="18"/>
      <c r="AC221" s="18"/>
      <c r="AD221" s="86"/>
      <c r="AE221" s="86"/>
      <c r="AF221" s="84"/>
      <c r="AG221" s="84"/>
      <c r="AH221" s="41"/>
      <c r="AI221" s="41"/>
      <c r="AJ221" s="41"/>
      <c r="AK221" s="41"/>
      <c r="AL221" s="185"/>
      <c r="AM221" s="185"/>
      <c r="AN221" s="187"/>
      <c r="AO221" s="187"/>
      <c r="AP221" s="187"/>
      <c r="AQ221" s="187"/>
      <c r="AR221" s="89"/>
      <c r="AS221" s="90"/>
      <c r="AT221" s="118"/>
      <c r="AU221" s="118"/>
      <c r="AV221" s="118"/>
      <c r="AW221" s="118"/>
      <c r="AX221" s="33"/>
      <c r="AY221" s="33"/>
      <c r="AZ221" s="82"/>
      <c r="BA221" s="82"/>
      <c r="BB221" s="82"/>
      <c r="BC221" s="691"/>
    </row>
    <row r="222" spans="1:55" x14ac:dyDescent="0.25">
      <c r="A222" s="358"/>
      <c r="B222" s="91"/>
      <c r="C222" s="91"/>
      <c r="D222" s="76"/>
      <c r="E222" s="76"/>
      <c r="F222" s="15"/>
      <c r="G222" s="15"/>
      <c r="H222" s="15"/>
      <c r="I222" s="15"/>
      <c r="J222" s="78"/>
      <c r="K222" s="78"/>
      <c r="L222" s="16"/>
      <c r="M222" s="16"/>
      <c r="N222" s="16"/>
      <c r="O222" s="16"/>
      <c r="P222" s="80"/>
      <c r="Q222" s="80"/>
      <c r="R222" s="17"/>
      <c r="S222" s="17"/>
      <c r="T222" s="17"/>
      <c r="U222" s="17"/>
      <c r="V222" s="117"/>
      <c r="W222" s="117"/>
      <c r="X222" s="82"/>
      <c r="Y222" s="82"/>
      <c r="Z222" s="82"/>
      <c r="AA222" s="82"/>
      <c r="AB222" s="18"/>
      <c r="AC222" s="18"/>
      <c r="AD222" s="86"/>
      <c r="AE222" s="86"/>
      <c r="AF222" s="84"/>
      <c r="AG222" s="84"/>
      <c r="AH222" s="41"/>
      <c r="AI222" s="41"/>
      <c r="AJ222" s="41"/>
      <c r="AK222" s="41"/>
      <c r="AL222" s="185"/>
      <c r="AM222" s="185"/>
      <c r="AN222" s="187"/>
      <c r="AO222" s="187"/>
      <c r="AP222" s="187"/>
      <c r="AQ222" s="187"/>
      <c r="AR222" s="89"/>
      <c r="AS222" s="90"/>
      <c r="AT222" s="118"/>
      <c r="AU222" s="118"/>
      <c r="AV222" s="118"/>
      <c r="AW222" s="118"/>
      <c r="AX222" s="33"/>
      <c r="AY222" s="33"/>
      <c r="AZ222" s="82"/>
      <c r="BA222" s="82"/>
      <c r="BB222" s="82"/>
      <c r="BC222" s="691"/>
    </row>
    <row r="223" spans="1:55" x14ac:dyDescent="0.25">
      <c r="A223" s="358"/>
      <c r="B223" s="91"/>
      <c r="C223" s="91"/>
      <c r="D223" s="76"/>
      <c r="E223" s="76"/>
      <c r="F223" s="15"/>
      <c r="G223" s="15"/>
      <c r="H223" s="15"/>
      <c r="I223" s="15"/>
      <c r="J223" s="78"/>
      <c r="K223" s="78"/>
      <c r="L223" s="16"/>
      <c r="M223" s="16"/>
      <c r="N223" s="16"/>
      <c r="O223" s="16"/>
      <c r="P223" s="80"/>
      <c r="Q223" s="80"/>
      <c r="R223" s="17"/>
      <c r="S223" s="17"/>
      <c r="T223" s="17"/>
      <c r="U223" s="17"/>
      <c r="V223" s="117"/>
      <c r="W223" s="117"/>
      <c r="X223" s="82"/>
      <c r="Y223" s="82"/>
      <c r="Z223" s="82"/>
      <c r="AA223" s="82"/>
      <c r="AB223" s="18"/>
      <c r="AC223" s="18"/>
      <c r="AD223" s="86"/>
      <c r="AE223" s="86"/>
      <c r="AF223" s="84"/>
      <c r="AG223" s="84"/>
      <c r="AH223" s="41"/>
      <c r="AI223" s="41"/>
      <c r="AJ223" s="41"/>
      <c r="AK223" s="41"/>
      <c r="AL223" s="185"/>
      <c r="AM223" s="185"/>
      <c r="AN223" s="187"/>
      <c r="AO223" s="187"/>
      <c r="AP223" s="187"/>
      <c r="AQ223" s="187"/>
      <c r="AR223" s="89"/>
      <c r="AS223" s="90"/>
      <c r="AT223" s="118"/>
      <c r="AU223" s="118"/>
      <c r="AV223" s="118"/>
      <c r="AW223" s="118"/>
      <c r="AX223" s="33"/>
      <c r="AY223" s="33"/>
      <c r="AZ223" s="82"/>
      <c r="BA223" s="82"/>
      <c r="BB223" s="82"/>
      <c r="BC223" s="691"/>
    </row>
    <row r="224" spans="1:55" x14ac:dyDescent="0.25">
      <c r="A224" s="358"/>
      <c r="B224" s="91"/>
      <c r="C224" s="91"/>
      <c r="D224" s="76"/>
      <c r="E224" s="76"/>
      <c r="F224" s="15"/>
      <c r="G224" s="15"/>
      <c r="H224" s="15"/>
      <c r="I224" s="15"/>
      <c r="J224" s="78"/>
      <c r="K224" s="78"/>
      <c r="L224" s="16"/>
      <c r="M224" s="16"/>
      <c r="N224" s="16"/>
      <c r="O224" s="16"/>
      <c r="P224" s="80"/>
      <c r="Q224" s="80"/>
      <c r="R224" s="17"/>
      <c r="S224" s="17"/>
      <c r="T224" s="17"/>
      <c r="U224" s="17"/>
      <c r="V224" s="167"/>
      <c r="W224" s="167"/>
      <c r="X224" s="82"/>
      <c r="Y224" s="82"/>
      <c r="Z224" s="82"/>
      <c r="AA224" s="82"/>
      <c r="AB224" s="18"/>
      <c r="AC224" s="18"/>
      <c r="AD224" s="86"/>
      <c r="AE224" s="86"/>
      <c r="AF224" s="84"/>
      <c r="AG224" s="84"/>
      <c r="AH224" s="41"/>
      <c r="AI224" s="41"/>
      <c r="AJ224" s="41"/>
      <c r="AK224" s="41"/>
      <c r="AL224" s="185"/>
      <c r="AM224" s="185"/>
      <c r="AN224" s="187"/>
      <c r="AO224" s="187"/>
      <c r="AP224" s="187"/>
      <c r="AQ224" s="187"/>
      <c r="AR224" s="89"/>
      <c r="AS224" s="90"/>
      <c r="AT224" s="168"/>
      <c r="AU224" s="168"/>
      <c r="AV224" s="168"/>
      <c r="AW224" s="168"/>
      <c r="AX224" s="33"/>
      <c r="AY224" s="33"/>
      <c r="AZ224" s="82"/>
      <c r="BA224" s="82"/>
      <c r="BB224" s="82"/>
      <c r="BC224" s="691"/>
    </row>
    <row r="225" spans="1:55" x14ac:dyDescent="0.25">
      <c r="A225" s="358"/>
      <c r="B225" s="91"/>
      <c r="C225" s="91"/>
      <c r="D225" s="76"/>
      <c r="E225" s="76"/>
      <c r="F225" s="15"/>
      <c r="G225" s="15"/>
      <c r="H225" s="15"/>
      <c r="I225" s="15"/>
      <c r="J225" s="78"/>
      <c r="K225" s="78"/>
      <c r="L225" s="16"/>
      <c r="M225" s="16"/>
      <c r="N225" s="16"/>
      <c r="O225" s="16"/>
      <c r="P225" s="80"/>
      <c r="Q225" s="80"/>
      <c r="R225" s="17"/>
      <c r="S225" s="17"/>
      <c r="T225" s="17"/>
      <c r="U225" s="17"/>
      <c r="V225" s="117"/>
      <c r="W225" s="117"/>
      <c r="X225" s="82"/>
      <c r="Y225" s="82"/>
      <c r="Z225" s="82"/>
      <c r="AA225" s="82"/>
      <c r="AB225" s="18"/>
      <c r="AC225" s="18"/>
      <c r="AD225" s="86"/>
      <c r="AE225" s="86"/>
      <c r="AF225" s="84"/>
      <c r="AG225" s="84"/>
      <c r="AH225" s="41"/>
      <c r="AI225" s="41"/>
      <c r="AJ225" s="41"/>
      <c r="AK225" s="41"/>
      <c r="AL225" s="185"/>
      <c r="AM225" s="185"/>
      <c r="AN225" s="187"/>
      <c r="AO225" s="187"/>
      <c r="AP225" s="187"/>
      <c r="AQ225" s="187"/>
      <c r="AR225" s="89"/>
      <c r="AS225" s="90"/>
      <c r="AT225" s="118"/>
      <c r="AU225" s="118"/>
      <c r="AV225" s="118"/>
      <c r="AW225" s="118"/>
      <c r="AX225" s="33"/>
      <c r="AY225" s="33"/>
      <c r="AZ225" s="82"/>
      <c r="BA225" s="82"/>
      <c r="BB225" s="82"/>
      <c r="BC225" s="691"/>
    </row>
    <row r="226" spans="1:55" x14ac:dyDescent="0.25">
      <c r="A226" s="358"/>
      <c r="B226" s="91"/>
      <c r="C226" s="91"/>
      <c r="D226" s="76"/>
      <c r="E226" s="76"/>
      <c r="F226" s="15"/>
      <c r="G226" s="15"/>
      <c r="H226" s="15"/>
      <c r="I226" s="15"/>
      <c r="J226" s="78"/>
      <c r="K226" s="78"/>
      <c r="L226" s="16"/>
      <c r="M226" s="16"/>
      <c r="N226" s="16"/>
      <c r="O226" s="16"/>
      <c r="P226" s="80"/>
      <c r="Q226" s="80"/>
      <c r="R226" s="17"/>
      <c r="S226" s="17"/>
      <c r="T226" s="17"/>
      <c r="U226" s="17"/>
      <c r="V226" s="117"/>
      <c r="W226" s="117"/>
      <c r="X226" s="82"/>
      <c r="Y226" s="82"/>
      <c r="Z226" s="82"/>
      <c r="AA226" s="82"/>
      <c r="AB226" s="18"/>
      <c r="AC226" s="18"/>
      <c r="AD226" s="86"/>
      <c r="AE226" s="86"/>
      <c r="AF226" s="84"/>
      <c r="AG226" s="84"/>
      <c r="AH226" s="41"/>
      <c r="AI226" s="41"/>
      <c r="AJ226" s="41"/>
      <c r="AK226" s="41"/>
      <c r="AL226" s="185"/>
      <c r="AM226" s="185"/>
      <c r="AN226" s="187"/>
      <c r="AO226" s="187"/>
      <c r="AP226" s="187"/>
      <c r="AQ226" s="187"/>
      <c r="AR226" s="89"/>
      <c r="AS226" s="90"/>
      <c r="AT226" s="118"/>
      <c r="AU226" s="118"/>
      <c r="AV226" s="118"/>
      <c r="AW226" s="118"/>
      <c r="AX226" s="33"/>
      <c r="AY226" s="33"/>
      <c r="AZ226" s="82"/>
      <c r="BA226" s="82"/>
      <c r="BB226" s="82"/>
      <c r="BC226" s="691"/>
    </row>
    <row r="227" spans="1:55" x14ac:dyDescent="0.25">
      <c r="A227" s="358"/>
      <c r="B227" s="91"/>
      <c r="C227" s="91"/>
      <c r="D227" s="76"/>
      <c r="E227" s="76"/>
      <c r="F227" s="15"/>
      <c r="G227" s="15"/>
      <c r="H227" s="15"/>
      <c r="I227" s="15"/>
      <c r="J227" s="78"/>
      <c r="K227" s="78"/>
      <c r="L227" s="16"/>
      <c r="M227" s="16"/>
      <c r="N227" s="16"/>
      <c r="O227" s="16"/>
      <c r="P227" s="80"/>
      <c r="Q227" s="80"/>
      <c r="R227" s="17"/>
      <c r="S227" s="17"/>
      <c r="T227" s="17"/>
      <c r="U227" s="17"/>
      <c r="V227" s="117"/>
      <c r="W227" s="117"/>
      <c r="X227" s="82"/>
      <c r="Y227" s="82"/>
      <c r="Z227" s="82"/>
      <c r="AA227" s="82"/>
      <c r="AB227" s="18"/>
      <c r="AC227" s="18"/>
      <c r="AD227" s="86"/>
      <c r="AE227" s="86"/>
      <c r="AF227" s="84"/>
      <c r="AG227" s="84"/>
      <c r="AH227" s="41"/>
      <c r="AI227" s="41"/>
      <c r="AJ227" s="41"/>
      <c r="AK227" s="41"/>
      <c r="AL227" s="185"/>
      <c r="AM227" s="185"/>
      <c r="AN227" s="187"/>
      <c r="AO227" s="187"/>
      <c r="AP227" s="187"/>
      <c r="AQ227" s="187"/>
      <c r="AR227" s="89"/>
      <c r="AS227" s="90"/>
      <c r="AT227" s="118"/>
      <c r="AU227" s="118"/>
      <c r="AV227" s="118"/>
      <c r="AW227" s="118"/>
      <c r="AX227" s="33"/>
      <c r="AY227" s="33"/>
      <c r="AZ227" s="82"/>
      <c r="BA227" s="82"/>
      <c r="BB227" s="82"/>
      <c r="BC227" s="691"/>
    </row>
    <row r="228" spans="1:55" x14ac:dyDescent="0.25">
      <c r="A228" s="358"/>
      <c r="B228" s="91"/>
      <c r="C228" s="91"/>
      <c r="D228" s="76"/>
      <c r="E228" s="76"/>
      <c r="F228" s="15"/>
      <c r="G228" s="15"/>
      <c r="H228" s="15"/>
      <c r="I228" s="15"/>
      <c r="J228" s="78"/>
      <c r="K228" s="78"/>
      <c r="L228" s="16"/>
      <c r="M228" s="16"/>
      <c r="N228" s="16"/>
      <c r="O228" s="16"/>
      <c r="P228" s="80"/>
      <c r="Q228" s="80"/>
      <c r="R228" s="17"/>
      <c r="S228" s="17"/>
      <c r="T228" s="17"/>
      <c r="U228" s="17"/>
      <c r="V228" s="117"/>
      <c r="W228" s="117"/>
      <c r="X228" s="82"/>
      <c r="Y228" s="82"/>
      <c r="Z228" s="82"/>
      <c r="AA228" s="82"/>
      <c r="AB228" s="18"/>
      <c r="AC228" s="18"/>
      <c r="AD228" s="86"/>
      <c r="AE228" s="86"/>
      <c r="AF228" s="84"/>
      <c r="AG228" s="84"/>
      <c r="AH228" s="41"/>
      <c r="AI228" s="41"/>
      <c r="AJ228" s="41"/>
      <c r="AK228" s="41"/>
      <c r="AL228" s="185"/>
      <c r="AM228" s="185"/>
      <c r="AN228" s="187"/>
      <c r="AO228" s="187"/>
      <c r="AP228" s="187"/>
      <c r="AQ228" s="187"/>
      <c r="AR228" s="89"/>
      <c r="AS228" s="90"/>
      <c r="AT228" s="118"/>
      <c r="AU228" s="118"/>
      <c r="AV228" s="118"/>
      <c r="AW228" s="118"/>
      <c r="AX228" s="33"/>
      <c r="AY228" s="33"/>
      <c r="AZ228" s="82"/>
      <c r="BA228" s="82"/>
      <c r="BB228" s="82"/>
      <c r="BC228" s="691"/>
    </row>
    <row r="229" spans="1:55" x14ac:dyDescent="0.25">
      <c r="A229" s="358"/>
      <c r="B229" s="91"/>
      <c r="C229" s="91"/>
      <c r="D229" s="76"/>
      <c r="E229" s="76"/>
      <c r="F229" s="15"/>
      <c r="G229" s="15"/>
      <c r="H229" s="15"/>
      <c r="I229" s="15"/>
      <c r="J229" s="78"/>
      <c r="K229" s="78"/>
      <c r="L229" s="16"/>
      <c r="M229" s="16"/>
      <c r="N229" s="16"/>
      <c r="O229" s="16"/>
      <c r="P229" s="80"/>
      <c r="Q229" s="80"/>
      <c r="R229" s="17"/>
      <c r="S229" s="17"/>
      <c r="T229" s="17"/>
      <c r="U229" s="17"/>
      <c r="V229" s="249"/>
      <c r="W229" s="249"/>
      <c r="X229" s="82"/>
      <c r="Y229" s="82"/>
      <c r="Z229" s="82"/>
      <c r="AA229" s="82"/>
      <c r="AB229" s="18"/>
      <c r="AC229" s="18"/>
      <c r="AD229" s="86"/>
      <c r="AE229" s="86"/>
      <c r="AF229" s="84"/>
      <c r="AG229" s="84"/>
      <c r="AH229" s="41"/>
      <c r="AI229" s="41"/>
      <c r="AJ229" s="41"/>
      <c r="AK229" s="41"/>
      <c r="AL229" s="185"/>
      <c r="AM229" s="185"/>
      <c r="AN229" s="187"/>
      <c r="AO229" s="187"/>
      <c r="AP229" s="187"/>
      <c r="AQ229" s="187"/>
      <c r="AR229" s="89"/>
      <c r="AS229" s="90"/>
      <c r="AT229" s="250"/>
      <c r="AU229" s="250"/>
      <c r="AV229" s="250"/>
      <c r="AW229" s="250"/>
      <c r="AX229" s="33"/>
      <c r="AY229" s="33"/>
      <c r="AZ229" s="82"/>
      <c r="BA229" s="82"/>
      <c r="BB229" s="82"/>
      <c r="BC229" s="691"/>
    </row>
    <row r="230" spans="1:55" x14ac:dyDescent="0.25">
      <c r="A230" s="358"/>
      <c r="B230" s="91"/>
      <c r="C230" s="91"/>
      <c r="D230" s="76"/>
      <c r="E230" s="76"/>
      <c r="F230" s="15"/>
      <c r="G230" s="15"/>
      <c r="H230" s="15"/>
      <c r="I230" s="15"/>
      <c r="J230" s="78"/>
      <c r="K230" s="78"/>
      <c r="L230" s="16"/>
      <c r="M230" s="16"/>
      <c r="N230" s="16"/>
      <c r="O230" s="16"/>
      <c r="P230" s="80"/>
      <c r="Q230" s="80"/>
      <c r="R230" s="17"/>
      <c r="S230" s="17"/>
      <c r="T230" s="17"/>
      <c r="U230" s="17"/>
      <c r="V230" s="117"/>
      <c r="W230" s="117"/>
      <c r="X230" s="82"/>
      <c r="Y230" s="82"/>
      <c r="Z230" s="82"/>
      <c r="AA230" s="82"/>
      <c r="AB230" s="18"/>
      <c r="AC230" s="18"/>
      <c r="AD230" s="86"/>
      <c r="AE230" s="86"/>
      <c r="AF230" s="84"/>
      <c r="AG230" s="84"/>
      <c r="AH230" s="41"/>
      <c r="AI230" s="41"/>
      <c r="AJ230" s="41"/>
      <c r="AK230" s="41"/>
      <c r="AL230" s="185"/>
      <c r="AM230" s="185"/>
      <c r="AN230" s="187"/>
      <c r="AO230" s="187"/>
      <c r="AP230" s="187"/>
      <c r="AQ230" s="187"/>
      <c r="AR230" s="89"/>
      <c r="AS230" s="90"/>
      <c r="AT230" s="118"/>
      <c r="AU230" s="118"/>
      <c r="AV230" s="118"/>
      <c r="AW230" s="118"/>
      <c r="AX230" s="33"/>
      <c r="AY230" s="33"/>
      <c r="AZ230" s="82"/>
      <c r="BA230" s="82"/>
      <c r="BB230" s="82"/>
      <c r="BC230" s="691"/>
    </row>
    <row r="231" spans="1:55" x14ac:dyDescent="0.25">
      <c r="A231" s="358"/>
      <c r="B231" s="91"/>
      <c r="C231" s="91"/>
      <c r="D231" s="76"/>
      <c r="E231" s="76"/>
      <c r="F231" s="15"/>
      <c r="G231" s="15"/>
      <c r="H231" s="15"/>
      <c r="I231" s="15"/>
      <c r="J231" s="78"/>
      <c r="K231" s="78"/>
      <c r="L231" s="16"/>
      <c r="M231" s="16"/>
      <c r="N231" s="16"/>
      <c r="O231" s="16"/>
      <c r="P231" s="80"/>
      <c r="Q231" s="80"/>
      <c r="R231" s="17"/>
      <c r="S231" s="17"/>
      <c r="T231" s="17"/>
      <c r="U231" s="17"/>
      <c r="V231" s="117"/>
      <c r="W231" s="117"/>
      <c r="X231" s="82"/>
      <c r="Y231" s="82"/>
      <c r="Z231" s="82"/>
      <c r="AA231" s="82"/>
      <c r="AB231" s="18"/>
      <c r="AC231" s="18"/>
      <c r="AD231" s="86"/>
      <c r="AE231" s="86"/>
      <c r="AF231" s="84"/>
      <c r="AG231" s="84"/>
      <c r="AH231" s="41"/>
      <c r="AI231" s="41"/>
      <c r="AJ231" s="41"/>
      <c r="AK231" s="41"/>
      <c r="AL231" s="185"/>
      <c r="AM231" s="185"/>
      <c r="AN231" s="187"/>
      <c r="AO231" s="187"/>
      <c r="AP231" s="187"/>
      <c r="AQ231" s="187"/>
      <c r="AR231" s="89"/>
      <c r="AS231" s="90"/>
      <c r="AT231" s="118"/>
      <c r="AU231" s="118"/>
      <c r="AV231" s="118"/>
      <c r="AW231" s="118"/>
      <c r="AX231" s="33"/>
      <c r="AY231" s="33"/>
      <c r="AZ231" s="82"/>
      <c r="BA231" s="82"/>
      <c r="BB231" s="82"/>
      <c r="BC231" s="691"/>
    </row>
    <row r="232" spans="1:55" x14ac:dyDescent="0.25">
      <c r="A232" s="358"/>
      <c r="B232" s="91"/>
      <c r="C232" s="91"/>
      <c r="D232" s="76"/>
      <c r="E232" s="76"/>
      <c r="F232" s="15"/>
      <c r="G232" s="15"/>
      <c r="H232" s="15"/>
      <c r="I232" s="15"/>
      <c r="J232" s="78"/>
      <c r="K232" s="78"/>
      <c r="L232" s="16"/>
      <c r="M232" s="16"/>
      <c r="N232" s="16"/>
      <c r="O232" s="16"/>
      <c r="P232" s="80"/>
      <c r="Q232" s="80"/>
      <c r="R232" s="17"/>
      <c r="S232" s="17"/>
      <c r="T232" s="17"/>
      <c r="U232" s="17"/>
      <c r="V232" s="117"/>
      <c r="W232" s="117"/>
      <c r="X232" s="82"/>
      <c r="Y232" s="82"/>
      <c r="Z232" s="82"/>
      <c r="AA232" s="82"/>
      <c r="AB232" s="18"/>
      <c r="AC232" s="18"/>
      <c r="AD232" s="86"/>
      <c r="AE232" s="86"/>
      <c r="AF232" s="84"/>
      <c r="AG232" s="84"/>
      <c r="AH232" s="41"/>
      <c r="AI232" s="41"/>
      <c r="AJ232" s="41"/>
      <c r="AK232" s="41"/>
      <c r="AL232" s="185"/>
      <c r="AM232" s="185"/>
      <c r="AN232" s="187"/>
      <c r="AO232" s="187"/>
      <c r="AP232" s="187"/>
      <c r="AQ232" s="187"/>
      <c r="AR232" s="89"/>
      <c r="AS232" s="89"/>
      <c r="AT232" s="118"/>
      <c r="AU232" s="118"/>
      <c r="AV232" s="118"/>
      <c r="AW232" s="118"/>
      <c r="AX232" s="33"/>
      <c r="AY232" s="33"/>
      <c r="AZ232" s="82"/>
      <c r="BA232" s="82"/>
      <c r="BB232" s="82"/>
      <c r="BC232" s="691"/>
    </row>
    <row r="233" spans="1:55" x14ac:dyDescent="0.25">
      <c r="A233" s="358"/>
      <c r="B233" s="91"/>
      <c r="C233" s="91"/>
      <c r="D233" s="76"/>
      <c r="E233" s="76"/>
      <c r="F233" s="15"/>
      <c r="G233" s="15"/>
      <c r="H233" s="15"/>
      <c r="I233" s="15"/>
      <c r="J233" s="78"/>
      <c r="K233" s="78"/>
      <c r="L233" s="16"/>
      <c r="M233" s="16"/>
      <c r="N233" s="16"/>
      <c r="O233" s="16"/>
      <c r="P233" s="80"/>
      <c r="Q233" s="80"/>
      <c r="R233" s="17"/>
      <c r="S233" s="17"/>
      <c r="T233" s="17"/>
      <c r="U233" s="17"/>
      <c r="V233" s="117"/>
      <c r="W233" s="117"/>
      <c r="X233" s="82"/>
      <c r="Y233" s="82"/>
      <c r="Z233" s="82"/>
      <c r="AA233" s="82"/>
      <c r="AB233" s="18"/>
      <c r="AC233" s="18"/>
      <c r="AD233" s="86"/>
      <c r="AE233" s="86"/>
      <c r="AF233" s="84"/>
      <c r="AG233" s="84"/>
      <c r="AH233" s="41"/>
      <c r="AI233" s="41"/>
      <c r="AJ233" s="41"/>
      <c r="AK233" s="41"/>
      <c r="AL233" s="185"/>
      <c r="AM233" s="185"/>
      <c r="AN233" s="187"/>
      <c r="AO233" s="187"/>
      <c r="AP233" s="187"/>
      <c r="AQ233" s="187"/>
      <c r="AR233" s="89"/>
      <c r="AS233" s="90"/>
      <c r="AT233" s="118"/>
      <c r="AU233" s="118"/>
      <c r="AV233" s="118"/>
      <c r="AW233" s="118"/>
      <c r="AX233" s="33"/>
      <c r="AY233" s="33"/>
      <c r="AZ233" s="82"/>
      <c r="BA233" s="82"/>
      <c r="BB233" s="82"/>
      <c r="BC233" s="691"/>
    </row>
    <row r="234" spans="1:55" x14ac:dyDescent="0.25">
      <c r="A234" s="358"/>
      <c r="B234" s="91"/>
      <c r="C234" s="91"/>
      <c r="D234" s="76"/>
      <c r="E234" s="76"/>
      <c r="F234" s="15"/>
      <c r="G234" s="15"/>
      <c r="H234" s="15"/>
      <c r="I234" s="15"/>
      <c r="J234" s="78"/>
      <c r="K234" s="78"/>
      <c r="L234" s="16"/>
      <c r="M234" s="16"/>
      <c r="N234" s="16"/>
      <c r="O234" s="16"/>
      <c r="P234" s="80"/>
      <c r="Q234" s="80"/>
      <c r="R234" s="17"/>
      <c r="S234" s="17"/>
      <c r="T234" s="17"/>
      <c r="U234" s="17"/>
      <c r="V234" s="117"/>
      <c r="W234" s="158"/>
      <c r="X234" s="82"/>
      <c r="Y234" s="82"/>
      <c r="Z234" s="82"/>
      <c r="AA234" s="82"/>
      <c r="AB234" s="18"/>
      <c r="AC234" s="18"/>
      <c r="AD234" s="86"/>
      <c r="AE234" s="86"/>
      <c r="AF234" s="84"/>
      <c r="AG234" s="84"/>
      <c r="AH234" s="41"/>
      <c r="AI234" s="41"/>
      <c r="AJ234" s="41"/>
      <c r="AK234" s="41"/>
      <c r="AL234" s="185"/>
      <c r="AM234" s="185"/>
      <c r="AN234" s="187"/>
      <c r="AO234" s="187"/>
      <c r="AP234" s="187"/>
      <c r="AQ234" s="187"/>
      <c r="AR234" s="89"/>
      <c r="AS234" s="90"/>
      <c r="AT234" s="118"/>
      <c r="AU234" s="118"/>
      <c r="AV234" s="118"/>
      <c r="AW234" s="118"/>
      <c r="AX234" s="33"/>
      <c r="AY234" s="33"/>
      <c r="AZ234" s="82"/>
      <c r="BA234" s="82"/>
      <c r="BB234" s="82"/>
      <c r="BC234" s="691"/>
    </row>
    <row r="235" spans="1:55" x14ac:dyDescent="0.25">
      <c r="A235" s="358"/>
      <c r="B235" s="91"/>
      <c r="C235" s="91"/>
      <c r="D235" s="76"/>
      <c r="E235" s="76"/>
      <c r="F235" s="15"/>
      <c r="G235" s="15"/>
      <c r="H235" s="15"/>
      <c r="I235" s="15"/>
      <c r="J235" s="78"/>
      <c r="K235" s="78"/>
      <c r="L235" s="16"/>
      <c r="M235" s="16"/>
      <c r="N235" s="16"/>
      <c r="O235" s="16"/>
      <c r="P235" s="80"/>
      <c r="Q235" s="80"/>
      <c r="R235" s="17"/>
      <c r="S235" s="17"/>
      <c r="T235" s="17"/>
      <c r="U235" s="17"/>
      <c r="V235" s="117"/>
      <c r="W235" s="117"/>
      <c r="X235" s="82"/>
      <c r="Y235" s="82"/>
      <c r="Z235" s="82"/>
      <c r="AA235" s="82"/>
      <c r="AB235" s="18"/>
      <c r="AC235" s="18"/>
      <c r="AD235" s="86"/>
      <c r="AE235" s="86"/>
      <c r="AF235" s="84"/>
      <c r="AG235" s="84"/>
      <c r="AH235" s="41"/>
      <c r="AI235" s="41"/>
      <c r="AJ235" s="41"/>
      <c r="AK235" s="41"/>
      <c r="AL235" s="185"/>
      <c r="AM235" s="185"/>
      <c r="AN235" s="187"/>
      <c r="AO235" s="187"/>
      <c r="AP235" s="187"/>
      <c r="AQ235" s="187"/>
      <c r="AR235" s="89"/>
      <c r="AS235" s="90"/>
      <c r="AT235" s="118"/>
      <c r="AU235" s="118"/>
      <c r="AV235" s="118"/>
      <c r="AW235" s="118"/>
      <c r="AX235" s="33"/>
      <c r="AY235" s="33"/>
      <c r="AZ235" s="82"/>
      <c r="BA235" s="82"/>
      <c r="BB235" s="82"/>
      <c r="BC235" s="691"/>
    </row>
    <row r="236" spans="1:55" x14ac:dyDescent="0.25">
      <c r="A236" s="358"/>
      <c r="B236" s="91"/>
      <c r="C236" s="91"/>
      <c r="D236" s="76"/>
      <c r="E236" s="76"/>
      <c r="F236" s="15"/>
      <c r="G236" s="15"/>
      <c r="H236" s="15"/>
      <c r="I236" s="15"/>
      <c r="J236" s="78"/>
      <c r="K236" s="78"/>
      <c r="L236" s="16"/>
      <c r="M236" s="16"/>
      <c r="N236" s="16"/>
      <c r="O236" s="16"/>
      <c r="P236" s="80"/>
      <c r="Q236" s="80"/>
      <c r="R236" s="17"/>
      <c r="S236" s="17"/>
      <c r="T236" s="17"/>
      <c r="U236" s="17"/>
      <c r="V236" s="117"/>
      <c r="W236" s="117"/>
      <c r="X236" s="82"/>
      <c r="Y236" s="82"/>
      <c r="Z236" s="82"/>
      <c r="AA236" s="82"/>
      <c r="AB236" s="18"/>
      <c r="AC236" s="18"/>
      <c r="AD236" s="86"/>
      <c r="AE236" s="86"/>
      <c r="AF236" s="84"/>
      <c r="AG236" s="84"/>
      <c r="AH236" s="41"/>
      <c r="AI236" s="41"/>
      <c r="AJ236" s="41"/>
      <c r="AK236" s="41"/>
      <c r="AL236" s="185"/>
      <c r="AM236" s="185"/>
      <c r="AN236" s="187"/>
      <c r="AO236" s="187"/>
      <c r="AP236" s="187"/>
      <c r="AQ236" s="187"/>
      <c r="AR236" s="89"/>
      <c r="AS236" s="90"/>
      <c r="AT236" s="118"/>
      <c r="AU236" s="118"/>
      <c r="AV236" s="118"/>
      <c r="AW236" s="118"/>
      <c r="AX236" s="33"/>
      <c r="AY236" s="33"/>
      <c r="AZ236" s="82"/>
      <c r="BA236" s="82"/>
      <c r="BB236" s="82"/>
      <c r="BC236" s="691"/>
    </row>
    <row r="237" spans="1:55" x14ac:dyDescent="0.25">
      <c r="A237" s="358"/>
      <c r="B237" s="91"/>
      <c r="C237" s="91"/>
      <c r="D237" s="76"/>
      <c r="E237" s="76"/>
      <c r="F237" s="15"/>
      <c r="G237" s="15"/>
      <c r="H237" s="15"/>
      <c r="I237" s="15"/>
      <c r="J237" s="78"/>
      <c r="K237" s="78"/>
      <c r="L237" s="16"/>
      <c r="M237" s="16"/>
      <c r="N237" s="16"/>
      <c r="O237" s="16"/>
      <c r="P237" s="80"/>
      <c r="Q237" s="80"/>
      <c r="R237" s="17"/>
      <c r="S237" s="17"/>
      <c r="T237" s="17"/>
      <c r="U237" s="17"/>
      <c r="V237" s="117"/>
      <c r="W237" s="117"/>
      <c r="X237" s="82"/>
      <c r="Y237" s="82"/>
      <c r="Z237" s="82"/>
      <c r="AA237" s="82"/>
      <c r="AB237" s="18"/>
      <c r="AC237" s="18"/>
      <c r="AD237" s="86"/>
      <c r="AE237" s="86"/>
      <c r="AF237" s="84"/>
      <c r="AG237" s="84"/>
      <c r="AH237" s="41"/>
      <c r="AI237" s="41"/>
      <c r="AJ237" s="41"/>
      <c r="AK237" s="41"/>
      <c r="AL237" s="185"/>
      <c r="AM237" s="185"/>
      <c r="AN237" s="187"/>
      <c r="AO237" s="187"/>
      <c r="AP237" s="187"/>
      <c r="AQ237" s="187"/>
      <c r="AR237" s="89"/>
      <c r="AS237" s="90"/>
      <c r="AT237" s="118"/>
      <c r="AU237" s="118"/>
      <c r="AV237" s="118"/>
      <c r="AW237" s="118"/>
      <c r="AX237" s="33"/>
      <c r="AY237" s="33"/>
      <c r="AZ237" s="82"/>
      <c r="BA237" s="82"/>
      <c r="BB237" s="82"/>
      <c r="BC237" s="691"/>
    </row>
    <row r="238" spans="1:55" x14ac:dyDescent="0.25">
      <c r="A238" s="358"/>
      <c r="B238" s="91"/>
      <c r="C238" s="91"/>
      <c r="D238" s="76"/>
      <c r="E238" s="76"/>
      <c r="F238" s="15"/>
      <c r="G238" s="15"/>
      <c r="H238" s="15"/>
      <c r="I238" s="15"/>
      <c r="J238" s="78"/>
      <c r="K238" s="78"/>
      <c r="L238" s="16"/>
      <c r="M238" s="16"/>
      <c r="N238" s="16"/>
      <c r="O238" s="16"/>
      <c r="P238" s="80"/>
      <c r="Q238" s="80"/>
      <c r="R238" s="17"/>
      <c r="S238" s="17"/>
      <c r="T238" s="17"/>
      <c r="U238" s="17"/>
      <c r="V238" s="117"/>
      <c r="W238" s="117"/>
      <c r="X238" s="82"/>
      <c r="Y238" s="82"/>
      <c r="Z238" s="82"/>
      <c r="AA238" s="82"/>
      <c r="AB238" s="18"/>
      <c r="AC238" s="18"/>
      <c r="AD238" s="86"/>
      <c r="AE238" s="86"/>
      <c r="AF238" s="84"/>
      <c r="AG238" s="84"/>
      <c r="AH238" s="41"/>
      <c r="AI238" s="41"/>
      <c r="AJ238" s="41"/>
      <c r="AK238" s="41"/>
      <c r="AL238" s="185"/>
      <c r="AM238" s="185"/>
      <c r="AN238" s="187"/>
      <c r="AO238" s="187"/>
      <c r="AP238" s="187"/>
      <c r="AQ238" s="187"/>
      <c r="AR238" s="89"/>
      <c r="AS238" s="90"/>
      <c r="AT238" s="118"/>
      <c r="AU238" s="118"/>
      <c r="AV238" s="118"/>
      <c r="AW238" s="118"/>
      <c r="AX238" s="33"/>
      <c r="AY238" s="33"/>
      <c r="AZ238" s="82"/>
      <c r="BA238" s="82"/>
      <c r="BB238" s="82"/>
      <c r="BC238" s="691"/>
    </row>
    <row r="239" spans="1:55" x14ac:dyDescent="0.25">
      <c r="A239" s="358"/>
      <c r="B239" s="91"/>
      <c r="C239" s="91"/>
      <c r="D239" s="76"/>
      <c r="E239" s="76"/>
      <c r="F239" s="15"/>
      <c r="G239" s="15"/>
      <c r="H239" s="15"/>
      <c r="I239" s="15"/>
      <c r="J239" s="78"/>
      <c r="K239" s="78"/>
      <c r="L239" s="16"/>
      <c r="M239" s="16"/>
      <c r="N239" s="16"/>
      <c r="O239" s="16"/>
      <c r="P239" s="80"/>
      <c r="Q239" s="80"/>
      <c r="R239" s="17"/>
      <c r="S239" s="17"/>
      <c r="T239" s="17"/>
      <c r="U239" s="17"/>
      <c r="V239" s="117"/>
      <c r="W239" s="117"/>
      <c r="X239" s="82"/>
      <c r="Y239" s="82"/>
      <c r="Z239" s="82"/>
      <c r="AA239" s="82"/>
      <c r="AB239" s="18"/>
      <c r="AC239" s="18"/>
      <c r="AD239" s="86"/>
      <c r="AE239" s="86"/>
      <c r="AF239" s="84"/>
      <c r="AG239" s="84"/>
      <c r="AH239" s="41"/>
      <c r="AI239" s="41"/>
      <c r="AJ239" s="41"/>
      <c r="AK239" s="41"/>
      <c r="AL239" s="185"/>
      <c r="AM239" s="185"/>
      <c r="AN239" s="187"/>
      <c r="AO239" s="187"/>
      <c r="AP239" s="187"/>
      <c r="AQ239" s="187"/>
      <c r="AR239" s="89"/>
      <c r="AS239" s="90"/>
      <c r="AT239" s="118"/>
      <c r="AU239" s="118"/>
      <c r="AV239" s="118"/>
      <c r="AW239" s="118"/>
      <c r="AX239" s="33"/>
      <c r="AY239" s="33"/>
      <c r="AZ239" s="82"/>
      <c r="BA239" s="82"/>
      <c r="BB239" s="82"/>
      <c r="BC239" s="691"/>
    </row>
    <row r="240" spans="1:55" x14ac:dyDescent="0.25">
      <c r="A240" s="358"/>
      <c r="B240" s="91"/>
      <c r="C240" s="91"/>
      <c r="D240" s="76"/>
      <c r="E240" s="76"/>
      <c r="F240" s="15"/>
      <c r="G240" s="15"/>
      <c r="H240" s="15"/>
      <c r="I240" s="15"/>
      <c r="J240" s="78"/>
      <c r="K240" s="78"/>
      <c r="L240" s="16"/>
      <c r="M240" s="16"/>
      <c r="N240" s="16"/>
      <c r="O240" s="16"/>
      <c r="P240" s="80"/>
      <c r="Q240" s="80"/>
      <c r="R240" s="17"/>
      <c r="S240" s="17"/>
      <c r="T240" s="17"/>
      <c r="U240" s="17"/>
      <c r="V240" s="251"/>
      <c r="W240" s="251"/>
      <c r="X240" s="82"/>
      <c r="Y240" s="82"/>
      <c r="Z240" s="82"/>
      <c r="AA240" s="82"/>
      <c r="AB240" s="18"/>
      <c r="AC240" s="18"/>
      <c r="AD240" s="86"/>
      <c r="AE240" s="86"/>
      <c r="AF240" s="84"/>
      <c r="AG240" s="84"/>
      <c r="AH240" s="41"/>
      <c r="AI240" s="41"/>
      <c r="AJ240" s="41"/>
      <c r="AK240" s="41"/>
      <c r="AL240" s="185"/>
      <c r="AM240" s="185"/>
      <c r="AN240" s="187"/>
      <c r="AO240" s="187"/>
      <c r="AP240" s="187"/>
      <c r="AQ240" s="187"/>
      <c r="AR240" s="89"/>
      <c r="AS240" s="90"/>
      <c r="AT240" s="252"/>
      <c r="AU240" s="252"/>
      <c r="AV240" s="252"/>
      <c r="AW240" s="252"/>
      <c r="AX240" s="33"/>
      <c r="AY240" s="33"/>
      <c r="AZ240" s="82"/>
      <c r="BA240" s="82"/>
      <c r="BB240" s="82"/>
      <c r="BC240" s="691"/>
    </row>
    <row r="241" spans="1:55" x14ac:dyDescent="0.25">
      <c r="A241" s="68"/>
      <c r="B241" s="91"/>
      <c r="C241" s="288"/>
      <c r="D241" s="76"/>
      <c r="E241" s="76"/>
      <c r="F241" s="15"/>
      <c r="G241" s="15"/>
      <c r="H241" s="15"/>
      <c r="I241" s="15"/>
      <c r="J241" s="78"/>
      <c r="K241" s="78"/>
      <c r="L241" s="16"/>
      <c r="M241" s="16"/>
      <c r="N241" s="16"/>
      <c r="O241" s="16"/>
      <c r="P241" s="80"/>
      <c r="Q241" s="80"/>
      <c r="R241" s="17"/>
      <c r="S241" s="17"/>
      <c r="T241" s="17"/>
      <c r="U241" s="17"/>
      <c r="V241" s="117"/>
      <c r="W241" s="117"/>
      <c r="X241" s="82"/>
      <c r="Y241" s="82"/>
      <c r="Z241" s="82"/>
      <c r="AA241" s="82"/>
      <c r="AB241" s="18"/>
      <c r="AC241" s="18"/>
      <c r="AD241" s="86"/>
      <c r="AE241" s="86"/>
      <c r="AF241" s="84"/>
      <c r="AG241" s="84"/>
      <c r="AH241" s="41"/>
      <c r="AI241" s="41"/>
      <c r="AJ241" s="41"/>
      <c r="AK241" s="41"/>
      <c r="AL241" s="185"/>
      <c r="AM241" s="185"/>
      <c r="AN241" s="187"/>
      <c r="AO241" s="187"/>
      <c r="AP241" s="187"/>
      <c r="AQ241" s="187"/>
      <c r="AR241" s="89"/>
      <c r="AS241" s="90"/>
      <c r="AT241" s="118"/>
      <c r="AU241" s="118"/>
      <c r="AV241" s="118"/>
      <c r="AW241" s="118"/>
      <c r="AX241" s="33"/>
      <c r="AY241" s="33"/>
      <c r="AZ241" s="82"/>
      <c r="BA241" s="82"/>
      <c r="BB241" s="82"/>
      <c r="BC241" s="691"/>
    </row>
    <row r="242" spans="1:55" x14ac:dyDescent="0.25">
      <c r="A242" s="68"/>
      <c r="B242" s="91"/>
      <c r="C242" s="288"/>
      <c r="D242" s="76"/>
      <c r="E242" s="76"/>
      <c r="F242" s="15"/>
      <c r="G242" s="15"/>
      <c r="H242" s="15"/>
      <c r="I242" s="15"/>
      <c r="J242" s="78"/>
      <c r="K242" s="78"/>
      <c r="L242" s="16"/>
      <c r="M242" s="16"/>
      <c r="N242" s="16"/>
      <c r="O242" s="16"/>
      <c r="P242" s="80"/>
      <c r="Q242" s="80"/>
      <c r="R242" s="17"/>
      <c r="S242" s="17"/>
      <c r="T242" s="17"/>
      <c r="U242" s="17"/>
      <c r="V242" s="117"/>
      <c r="W242" s="117"/>
      <c r="X242" s="82"/>
      <c r="Y242" s="82"/>
      <c r="Z242" s="82"/>
      <c r="AA242" s="82"/>
      <c r="AB242" s="18"/>
      <c r="AC242" s="18"/>
      <c r="AD242" s="86"/>
      <c r="AE242" s="86"/>
      <c r="AF242" s="84"/>
      <c r="AG242" s="84"/>
      <c r="AH242" s="41"/>
      <c r="AI242" s="41"/>
      <c r="AJ242" s="41"/>
      <c r="AK242" s="41"/>
      <c r="AL242" s="185"/>
      <c r="AM242" s="185"/>
      <c r="AN242" s="187"/>
      <c r="AO242" s="187"/>
      <c r="AP242" s="187"/>
      <c r="AQ242" s="187"/>
      <c r="AR242" s="89"/>
      <c r="AS242" s="90"/>
      <c r="AT242" s="118"/>
      <c r="AU242" s="118"/>
      <c r="AV242" s="118"/>
      <c r="AW242" s="118"/>
      <c r="AX242" s="33"/>
      <c r="AY242" s="33"/>
      <c r="AZ242" s="82"/>
      <c r="BA242" s="82"/>
      <c r="BB242" s="82"/>
      <c r="BC242" s="691"/>
    </row>
    <row r="243" spans="1:55" x14ac:dyDescent="0.25">
      <c r="A243" s="68"/>
      <c r="B243" s="91"/>
      <c r="C243" s="263"/>
      <c r="D243" s="76"/>
      <c r="E243" s="76"/>
      <c r="F243" s="15"/>
      <c r="G243" s="15"/>
      <c r="H243" s="15"/>
      <c r="I243" s="15"/>
      <c r="J243" s="78"/>
      <c r="K243" s="78"/>
      <c r="L243" s="16"/>
      <c r="M243" s="16"/>
      <c r="N243" s="16"/>
      <c r="O243" s="16"/>
      <c r="P243" s="80"/>
      <c r="Q243" s="80"/>
      <c r="R243" s="17"/>
      <c r="S243" s="17"/>
      <c r="T243" s="17"/>
      <c r="U243" s="17"/>
      <c r="V243" s="167"/>
      <c r="W243" s="167"/>
      <c r="X243" s="82"/>
      <c r="Y243" s="82"/>
      <c r="Z243" s="82"/>
      <c r="AA243" s="82"/>
      <c r="AB243" s="18"/>
      <c r="AC243" s="18"/>
      <c r="AD243" s="86"/>
      <c r="AE243" s="86"/>
      <c r="AF243" s="84"/>
      <c r="AG243" s="84"/>
      <c r="AH243" s="41"/>
      <c r="AI243" s="41"/>
      <c r="AJ243" s="41"/>
      <c r="AK243" s="41"/>
      <c r="AL243" s="185"/>
      <c r="AM243" s="185"/>
      <c r="AN243" s="187"/>
      <c r="AO243" s="187"/>
      <c r="AP243" s="187"/>
      <c r="AQ243" s="187"/>
      <c r="AR243" s="89"/>
      <c r="AS243" s="90"/>
      <c r="AT243" s="168"/>
      <c r="AU243" s="168"/>
      <c r="AV243" s="168"/>
      <c r="AW243" s="168"/>
      <c r="AX243" s="33"/>
      <c r="AY243" s="33"/>
      <c r="AZ243" s="82"/>
      <c r="BA243" s="82"/>
      <c r="BB243" s="82"/>
      <c r="BC243" s="691"/>
    </row>
    <row r="244" spans="1:55" x14ac:dyDescent="0.25">
      <c r="A244" s="68"/>
      <c r="B244" s="91"/>
      <c r="C244" s="263"/>
      <c r="D244" s="76"/>
      <c r="E244" s="76"/>
      <c r="F244" s="15"/>
      <c r="G244" s="15"/>
      <c r="H244" s="15"/>
      <c r="I244" s="15"/>
      <c r="J244" s="78"/>
      <c r="K244" s="78"/>
      <c r="L244" s="16"/>
      <c r="M244" s="16"/>
      <c r="N244" s="16"/>
      <c r="O244" s="16"/>
      <c r="P244" s="80"/>
      <c r="Q244" s="80"/>
      <c r="R244" s="17"/>
      <c r="S244" s="17"/>
      <c r="T244" s="17"/>
      <c r="U244" s="17"/>
      <c r="V244" s="117"/>
      <c r="W244" s="117"/>
      <c r="X244" s="82"/>
      <c r="Y244" s="82"/>
      <c r="Z244" s="82"/>
      <c r="AA244" s="82"/>
      <c r="AB244" s="18"/>
      <c r="AC244" s="18"/>
      <c r="AD244" s="86"/>
      <c r="AE244" s="86"/>
      <c r="AF244" s="84"/>
      <c r="AG244" s="84"/>
      <c r="AH244" s="41"/>
      <c r="AI244" s="41"/>
      <c r="AJ244" s="41"/>
      <c r="AK244" s="41"/>
      <c r="AL244" s="185"/>
      <c r="AM244" s="185"/>
      <c r="AN244" s="187"/>
      <c r="AO244" s="187"/>
      <c r="AP244" s="187"/>
      <c r="AQ244" s="187"/>
      <c r="AR244" s="89"/>
      <c r="AS244" s="90"/>
      <c r="AT244" s="118"/>
      <c r="AU244" s="118"/>
      <c r="AV244" s="118"/>
      <c r="AW244" s="118"/>
      <c r="AX244" s="33"/>
      <c r="AY244" s="33"/>
      <c r="AZ244" s="82"/>
      <c r="BA244" s="82"/>
      <c r="BB244" s="82"/>
      <c r="BC244" s="691"/>
    </row>
    <row r="245" spans="1:55" x14ac:dyDescent="0.25">
      <c r="A245" s="68"/>
      <c r="B245" s="91"/>
      <c r="C245" s="288"/>
      <c r="D245" s="76"/>
      <c r="E245" s="76"/>
      <c r="F245" s="15"/>
      <c r="G245" s="15"/>
      <c r="H245" s="15"/>
      <c r="I245" s="15"/>
      <c r="J245" s="78"/>
      <c r="K245" s="78"/>
      <c r="L245" s="16"/>
      <c r="M245" s="16"/>
      <c r="N245" s="16"/>
      <c r="O245" s="16"/>
      <c r="P245" s="80"/>
      <c r="Q245" s="80"/>
      <c r="R245" s="17"/>
      <c r="S245" s="17"/>
      <c r="T245" s="17"/>
      <c r="U245" s="17"/>
      <c r="V245" s="175"/>
      <c r="W245" s="175"/>
      <c r="X245" s="82"/>
      <c r="Y245" s="82"/>
      <c r="Z245" s="82"/>
      <c r="AA245" s="82"/>
      <c r="AB245" s="18"/>
      <c r="AC245" s="18"/>
      <c r="AD245" s="86"/>
      <c r="AE245" s="86"/>
      <c r="AF245" s="84"/>
      <c r="AG245" s="84"/>
      <c r="AH245" s="41"/>
      <c r="AI245" s="41"/>
      <c r="AJ245" s="41"/>
      <c r="AK245" s="41"/>
      <c r="AL245" s="185"/>
      <c r="AM245" s="185"/>
      <c r="AN245" s="187"/>
      <c r="AO245" s="187"/>
      <c r="AP245" s="187"/>
      <c r="AQ245" s="187"/>
      <c r="AR245" s="89"/>
      <c r="AS245" s="90"/>
      <c r="AT245" s="176"/>
      <c r="AU245" s="176"/>
      <c r="AV245" s="176"/>
      <c r="AW245" s="176"/>
      <c r="AX245" s="33"/>
      <c r="AY245" s="33"/>
      <c r="AZ245" s="82"/>
      <c r="BA245" s="82"/>
      <c r="BB245" s="82"/>
      <c r="BC245" s="691"/>
    </row>
    <row r="246" spans="1:55" x14ac:dyDescent="0.25">
      <c r="A246" s="68"/>
      <c r="B246" s="91"/>
      <c r="C246" s="288"/>
      <c r="D246" s="76"/>
      <c r="E246" s="76"/>
      <c r="F246" s="15"/>
      <c r="G246" s="15"/>
      <c r="H246" s="15"/>
      <c r="I246" s="15"/>
      <c r="J246" s="78"/>
      <c r="K246" s="78"/>
      <c r="L246" s="16"/>
      <c r="M246" s="16"/>
      <c r="N246" s="16"/>
      <c r="O246" s="16"/>
      <c r="P246" s="80"/>
      <c r="Q246" s="80"/>
      <c r="R246" s="17"/>
      <c r="S246" s="17"/>
      <c r="T246" s="17"/>
      <c r="U246" s="17"/>
      <c r="V246" s="117"/>
      <c r="W246" s="117"/>
      <c r="X246" s="82"/>
      <c r="Y246" s="82"/>
      <c r="Z246" s="82"/>
      <c r="AA246" s="82"/>
      <c r="AB246" s="18"/>
      <c r="AC246" s="18"/>
      <c r="AD246" s="86"/>
      <c r="AE246" s="86"/>
      <c r="AF246" s="84"/>
      <c r="AG246" s="84"/>
      <c r="AH246" s="41"/>
      <c r="AI246" s="41"/>
      <c r="AJ246" s="41"/>
      <c r="AK246" s="41"/>
      <c r="AL246" s="185"/>
      <c r="AM246" s="185"/>
      <c r="AN246" s="187"/>
      <c r="AO246" s="187"/>
      <c r="AP246" s="187"/>
      <c r="AQ246" s="187"/>
      <c r="AR246" s="89"/>
      <c r="AS246" s="90"/>
      <c r="AT246" s="118"/>
      <c r="AU246" s="118"/>
      <c r="AV246" s="118"/>
      <c r="AW246" s="118"/>
      <c r="AX246" s="33"/>
      <c r="AY246" s="33"/>
      <c r="AZ246" s="82"/>
      <c r="BA246" s="82"/>
      <c r="BB246" s="82"/>
      <c r="BC246" s="691"/>
    </row>
    <row r="247" spans="1:55" x14ac:dyDescent="0.25">
      <c r="A247" s="68"/>
      <c r="B247" s="91"/>
      <c r="C247" s="263"/>
      <c r="D247" s="76"/>
      <c r="E247" s="76"/>
      <c r="F247" s="15"/>
      <c r="G247" s="15"/>
      <c r="H247" s="15"/>
      <c r="I247" s="15"/>
      <c r="J247" s="78"/>
      <c r="K247" s="78"/>
      <c r="L247" s="16"/>
      <c r="M247" s="16"/>
      <c r="N247" s="16"/>
      <c r="O247" s="16"/>
      <c r="P247" s="80"/>
      <c r="Q247" s="80"/>
      <c r="R247" s="17"/>
      <c r="S247" s="17"/>
      <c r="T247" s="17"/>
      <c r="U247" s="17"/>
      <c r="V247" s="117"/>
      <c r="W247" s="117"/>
      <c r="X247" s="82"/>
      <c r="Y247" s="82"/>
      <c r="Z247" s="82"/>
      <c r="AA247" s="82"/>
      <c r="AB247" s="18"/>
      <c r="AC247" s="18"/>
      <c r="AD247" s="86"/>
      <c r="AE247" s="86"/>
      <c r="AF247" s="84"/>
      <c r="AG247" s="84"/>
      <c r="AH247" s="41"/>
      <c r="AI247" s="41"/>
      <c r="AJ247" s="41"/>
      <c r="AK247" s="41"/>
      <c r="AL247" s="185"/>
      <c r="AM247" s="185"/>
      <c r="AN247" s="187"/>
      <c r="AO247" s="187"/>
      <c r="AP247" s="187"/>
      <c r="AQ247" s="187"/>
      <c r="AR247" s="89"/>
      <c r="AS247" s="90"/>
      <c r="AT247" s="118"/>
      <c r="AU247" s="118"/>
      <c r="AV247" s="118"/>
      <c r="AW247" s="118"/>
      <c r="AX247" s="33"/>
      <c r="AY247" s="33"/>
      <c r="AZ247" s="82"/>
      <c r="BA247" s="82"/>
      <c r="BB247" s="82"/>
      <c r="BC247" s="691"/>
    </row>
    <row r="248" spans="1:55" x14ac:dyDescent="0.25">
      <c r="A248" s="68"/>
      <c r="B248" s="91"/>
      <c r="C248" s="263"/>
      <c r="D248" s="76"/>
      <c r="E248" s="76"/>
      <c r="F248" s="15"/>
      <c r="G248" s="15"/>
      <c r="H248" s="15"/>
      <c r="I248" s="15"/>
      <c r="J248" s="78"/>
      <c r="K248" s="78"/>
      <c r="L248" s="16"/>
      <c r="M248" s="16"/>
      <c r="N248" s="16"/>
      <c r="O248" s="16"/>
      <c r="P248" s="80"/>
      <c r="Q248" s="80"/>
      <c r="R248" s="17"/>
      <c r="S248" s="17"/>
      <c r="T248" s="17"/>
      <c r="U248" s="17"/>
      <c r="V248" s="117"/>
      <c r="W248" s="117"/>
      <c r="X248" s="82"/>
      <c r="Y248" s="82"/>
      <c r="Z248" s="82"/>
      <c r="AA248" s="82"/>
      <c r="AB248" s="18"/>
      <c r="AC248" s="18"/>
      <c r="AD248" s="86"/>
      <c r="AE248" s="86"/>
      <c r="AF248" s="84"/>
      <c r="AG248" s="84"/>
      <c r="AH248" s="41"/>
      <c r="AI248" s="41"/>
      <c r="AJ248" s="41"/>
      <c r="AK248" s="41"/>
      <c r="AL248" s="185"/>
      <c r="AM248" s="185"/>
      <c r="AN248" s="187"/>
      <c r="AO248" s="187"/>
      <c r="AP248" s="187"/>
      <c r="AQ248" s="187"/>
      <c r="AR248" s="89"/>
      <c r="AS248" s="90"/>
      <c r="AT248" s="118"/>
      <c r="AU248" s="118"/>
      <c r="AV248" s="118"/>
      <c r="AW248" s="118"/>
      <c r="AX248" s="33"/>
      <c r="AY248" s="33"/>
      <c r="AZ248" s="82"/>
      <c r="BA248" s="82"/>
      <c r="BB248" s="82"/>
      <c r="BC248" s="691"/>
    </row>
    <row r="249" spans="1:55" x14ac:dyDescent="0.25">
      <c r="A249" s="68"/>
      <c r="B249" s="91"/>
      <c r="C249" s="288"/>
      <c r="D249" s="76"/>
      <c r="E249" s="76"/>
      <c r="F249" s="15"/>
      <c r="G249" s="15"/>
      <c r="H249" s="15"/>
      <c r="I249" s="15"/>
      <c r="J249" s="78"/>
      <c r="K249" s="78"/>
      <c r="L249" s="16"/>
      <c r="M249" s="16"/>
      <c r="N249" s="16"/>
      <c r="O249" s="16"/>
      <c r="P249" s="80"/>
      <c r="Q249" s="80"/>
      <c r="R249" s="17"/>
      <c r="S249" s="17"/>
      <c r="T249" s="17"/>
      <c r="U249" s="17"/>
      <c r="V249" s="117"/>
      <c r="W249" s="117"/>
      <c r="X249" s="82"/>
      <c r="Y249" s="82"/>
      <c r="Z249" s="82"/>
      <c r="AA249" s="82"/>
      <c r="AB249" s="18"/>
      <c r="AC249" s="18"/>
      <c r="AD249" s="86"/>
      <c r="AE249" s="86"/>
      <c r="AF249" s="84"/>
      <c r="AG249" s="84"/>
      <c r="AH249" s="41"/>
      <c r="AI249" s="41"/>
      <c r="AJ249" s="41"/>
      <c r="AK249" s="41"/>
      <c r="AL249" s="185"/>
      <c r="AM249" s="185"/>
      <c r="AN249" s="187"/>
      <c r="AO249" s="187"/>
      <c r="AP249" s="187"/>
      <c r="AQ249" s="187"/>
      <c r="AR249" s="89"/>
      <c r="AS249" s="90"/>
      <c r="AT249" s="118"/>
      <c r="AU249" s="118"/>
      <c r="AV249" s="118"/>
      <c r="AW249" s="118"/>
      <c r="AX249" s="33"/>
      <c r="AY249" s="33"/>
      <c r="AZ249" s="82"/>
      <c r="BA249" s="82"/>
      <c r="BB249" s="82"/>
      <c r="BC249" s="691"/>
    </row>
    <row r="250" spans="1:55" x14ac:dyDescent="0.25">
      <c r="A250" s="68"/>
      <c r="B250" s="91"/>
      <c r="C250" s="288"/>
      <c r="D250" s="76"/>
      <c r="E250" s="76"/>
      <c r="F250" s="15"/>
      <c r="G250" s="15"/>
      <c r="H250" s="15"/>
      <c r="I250" s="15"/>
      <c r="J250" s="78"/>
      <c r="K250" s="78"/>
      <c r="L250" s="16"/>
      <c r="M250" s="16"/>
      <c r="N250" s="16"/>
      <c r="O250" s="16"/>
      <c r="P250" s="80"/>
      <c r="Q250" s="80"/>
      <c r="R250" s="17"/>
      <c r="S250" s="17"/>
      <c r="T250" s="17"/>
      <c r="U250" s="17"/>
      <c r="V250" s="251"/>
      <c r="W250" s="251"/>
      <c r="X250" s="82"/>
      <c r="Y250" s="82"/>
      <c r="Z250" s="82"/>
      <c r="AA250" s="82"/>
      <c r="AB250" s="18"/>
      <c r="AC250" s="18"/>
      <c r="AD250" s="86"/>
      <c r="AE250" s="86"/>
      <c r="AF250" s="84"/>
      <c r="AG250" s="84"/>
      <c r="AH250" s="41"/>
      <c r="AI250" s="41"/>
      <c r="AJ250" s="41"/>
      <c r="AK250" s="41"/>
      <c r="AL250" s="185"/>
      <c r="AM250" s="185"/>
      <c r="AN250" s="187"/>
      <c r="AO250" s="187"/>
      <c r="AP250" s="187"/>
      <c r="AQ250" s="187"/>
      <c r="AR250" s="89"/>
      <c r="AS250" s="90"/>
      <c r="AT250" s="252"/>
      <c r="AU250" s="252"/>
      <c r="AV250" s="252"/>
      <c r="AW250" s="252"/>
      <c r="AX250" s="33"/>
      <c r="AY250" s="33"/>
      <c r="AZ250" s="82"/>
      <c r="BA250" s="82"/>
      <c r="BB250" s="82"/>
      <c r="BC250" s="691"/>
    </row>
    <row r="251" spans="1:55" x14ac:dyDescent="0.25">
      <c r="A251" s="68"/>
      <c r="B251" s="91"/>
      <c r="C251" s="263"/>
      <c r="D251" s="76"/>
      <c r="E251" s="76"/>
      <c r="F251" s="15"/>
      <c r="G251" s="15"/>
      <c r="H251" s="15"/>
      <c r="I251" s="15"/>
      <c r="J251" s="78"/>
      <c r="K251" s="78"/>
      <c r="L251" s="16"/>
      <c r="M251" s="16"/>
      <c r="N251" s="16"/>
      <c r="O251" s="16"/>
      <c r="P251" s="80"/>
      <c r="Q251" s="80"/>
      <c r="R251" s="17"/>
      <c r="S251" s="17"/>
      <c r="T251" s="17"/>
      <c r="U251" s="17"/>
      <c r="V251" s="117"/>
      <c r="W251" s="117"/>
      <c r="X251" s="82"/>
      <c r="Y251" s="82"/>
      <c r="Z251" s="82"/>
      <c r="AA251" s="82"/>
      <c r="AB251" s="18"/>
      <c r="AC251" s="18"/>
      <c r="AD251" s="86"/>
      <c r="AE251" s="86"/>
      <c r="AF251" s="84"/>
      <c r="AG251" s="84"/>
      <c r="AH251" s="41"/>
      <c r="AI251" s="41"/>
      <c r="AJ251" s="41"/>
      <c r="AK251" s="41"/>
      <c r="AL251" s="185"/>
      <c r="AM251" s="185"/>
      <c r="AN251" s="187"/>
      <c r="AO251" s="187"/>
      <c r="AP251" s="187"/>
      <c r="AQ251" s="187"/>
      <c r="AR251" s="89"/>
      <c r="AS251" s="90"/>
      <c r="AT251" s="118"/>
      <c r="AU251" s="118"/>
      <c r="AV251" s="118"/>
      <c r="AW251" s="118"/>
      <c r="AX251" s="33"/>
      <c r="AY251" s="33"/>
      <c r="AZ251" s="82"/>
      <c r="BA251" s="82"/>
      <c r="BB251" s="82"/>
      <c r="BC251" s="691"/>
    </row>
    <row r="252" spans="1:55" x14ac:dyDescent="0.25">
      <c r="A252" s="68"/>
      <c r="B252" s="91"/>
      <c r="C252" s="263"/>
      <c r="D252" s="76"/>
      <c r="E252" s="76"/>
      <c r="F252" s="15"/>
      <c r="G252" s="15"/>
      <c r="H252" s="15"/>
      <c r="I252" s="15"/>
      <c r="J252" s="78"/>
      <c r="K252" s="78"/>
      <c r="L252" s="16"/>
      <c r="M252" s="16"/>
      <c r="N252" s="16"/>
      <c r="O252" s="16"/>
      <c r="P252" s="80"/>
      <c r="Q252" s="80"/>
      <c r="R252" s="17"/>
      <c r="S252" s="17"/>
      <c r="T252" s="17"/>
      <c r="U252" s="17"/>
      <c r="V252" s="117"/>
      <c r="W252" s="117"/>
      <c r="X252" s="82"/>
      <c r="Y252" s="82"/>
      <c r="Z252" s="82"/>
      <c r="AA252" s="82"/>
      <c r="AB252" s="18"/>
      <c r="AC252" s="18"/>
      <c r="AD252" s="86"/>
      <c r="AE252" s="86"/>
      <c r="AF252" s="84"/>
      <c r="AG252" s="84"/>
      <c r="AH252" s="41"/>
      <c r="AI252" s="41"/>
      <c r="AJ252" s="41"/>
      <c r="AK252" s="41"/>
      <c r="AL252" s="185"/>
      <c r="AM252" s="185"/>
      <c r="AN252" s="187"/>
      <c r="AO252" s="187"/>
      <c r="AP252" s="187"/>
      <c r="AQ252" s="187"/>
      <c r="AR252" s="89"/>
      <c r="AS252" s="90"/>
      <c r="AT252" s="118"/>
      <c r="AU252" s="118"/>
      <c r="AV252" s="118"/>
      <c r="AW252" s="118"/>
      <c r="AX252" s="33"/>
      <c r="AY252" s="33"/>
      <c r="AZ252" s="82"/>
      <c r="BA252" s="82"/>
      <c r="BB252" s="82"/>
      <c r="BC252" s="691"/>
    </row>
    <row r="253" spans="1:55" x14ac:dyDescent="0.25">
      <c r="A253" s="68"/>
      <c r="B253" s="91"/>
      <c r="C253" s="263"/>
      <c r="D253" s="76"/>
      <c r="E253" s="76"/>
      <c r="F253" s="15"/>
      <c r="G253" s="15"/>
      <c r="H253" s="15"/>
      <c r="I253" s="15"/>
      <c r="J253" s="78"/>
      <c r="K253" s="78"/>
      <c r="L253" s="16"/>
      <c r="M253" s="16"/>
      <c r="N253" s="16"/>
      <c r="O253" s="16"/>
      <c r="P253" s="80"/>
      <c r="Q253" s="80"/>
      <c r="R253" s="17"/>
      <c r="S253" s="17"/>
      <c r="T253" s="17"/>
      <c r="U253" s="17"/>
      <c r="V253" s="253"/>
      <c r="W253" s="253"/>
      <c r="X253" s="82"/>
      <c r="Y253" s="82"/>
      <c r="Z253" s="82"/>
      <c r="AA253" s="82"/>
      <c r="AB253" s="18"/>
      <c r="AC253" s="18"/>
      <c r="AD253" s="86"/>
      <c r="AE253" s="86"/>
      <c r="AF253" s="84"/>
      <c r="AG253" s="84"/>
      <c r="AH253" s="41"/>
      <c r="AI253" s="41"/>
      <c r="AJ253" s="41"/>
      <c r="AK253" s="41"/>
      <c r="AL253" s="185"/>
      <c r="AM253" s="185"/>
      <c r="AN253" s="187"/>
      <c r="AO253" s="187"/>
      <c r="AP253" s="187"/>
      <c r="AQ253" s="187"/>
      <c r="AR253" s="89"/>
      <c r="AS253" s="90"/>
      <c r="AT253" s="254"/>
      <c r="AU253" s="254"/>
      <c r="AV253" s="254"/>
      <c r="AW253" s="254"/>
      <c r="AX253" s="33"/>
      <c r="AY253" s="33"/>
      <c r="AZ253" s="82"/>
      <c r="BA253" s="82"/>
      <c r="BB253" s="82"/>
      <c r="BC253" s="691"/>
    </row>
    <row r="254" spans="1:55" x14ac:dyDescent="0.25">
      <c r="A254" s="68"/>
      <c r="B254" s="91"/>
      <c r="C254" s="263"/>
      <c r="D254" s="76"/>
      <c r="E254" s="76"/>
      <c r="F254" s="15"/>
      <c r="G254" s="15"/>
      <c r="H254" s="15"/>
      <c r="I254" s="15"/>
      <c r="J254" s="78"/>
      <c r="K254" s="78"/>
      <c r="L254" s="16"/>
      <c r="M254" s="16"/>
      <c r="N254" s="16"/>
      <c r="O254" s="16"/>
      <c r="P254" s="80"/>
      <c r="Q254" s="80"/>
      <c r="R254" s="17"/>
      <c r="S254" s="17"/>
      <c r="T254" s="17"/>
      <c r="U254" s="17"/>
      <c r="V254" s="117"/>
      <c r="W254" s="117"/>
      <c r="X254" s="82"/>
      <c r="Y254" s="82"/>
      <c r="Z254" s="82"/>
      <c r="AA254" s="82"/>
      <c r="AB254" s="18"/>
      <c r="AC254" s="18"/>
      <c r="AD254" s="86"/>
      <c r="AE254" s="86"/>
      <c r="AF254" s="84"/>
      <c r="AG254" s="84"/>
      <c r="AH254" s="41"/>
      <c r="AI254" s="41"/>
      <c r="AJ254" s="41"/>
      <c r="AK254" s="41"/>
      <c r="AL254" s="185"/>
      <c r="AM254" s="185"/>
      <c r="AN254" s="187"/>
      <c r="AO254" s="187"/>
      <c r="AP254" s="187"/>
      <c r="AQ254" s="187"/>
      <c r="AR254" s="89"/>
      <c r="AS254" s="90"/>
      <c r="AT254" s="118"/>
      <c r="AU254" s="118"/>
      <c r="AV254" s="118"/>
      <c r="AW254" s="118"/>
      <c r="AX254" s="33"/>
      <c r="AY254" s="33"/>
      <c r="AZ254" s="82"/>
      <c r="BA254" s="82"/>
      <c r="BB254" s="82"/>
      <c r="BC254" s="691"/>
    </row>
    <row r="255" spans="1:55" x14ac:dyDescent="0.25">
      <c r="A255" s="68"/>
      <c r="B255" s="91"/>
      <c r="C255" s="263"/>
      <c r="D255" s="76"/>
      <c r="E255" s="76"/>
      <c r="F255" s="15"/>
      <c r="G255" s="15"/>
      <c r="H255" s="15"/>
      <c r="I255" s="15"/>
      <c r="J255" s="78"/>
      <c r="K255" s="78"/>
      <c r="L255" s="16"/>
      <c r="M255" s="16"/>
      <c r="N255" s="16"/>
      <c r="O255" s="16"/>
      <c r="P255" s="80"/>
      <c r="Q255" s="80"/>
      <c r="R255" s="17"/>
      <c r="S255" s="17"/>
      <c r="T255" s="17"/>
      <c r="U255" s="17"/>
      <c r="V255" s="117"/>
      <c r="W255" s="117"/>
      <c r="X255" s="82"/>
      <c r="Y255" s="82"/>
      <c r="Z255" s="82"/>
      <c r="AA255" s="82"/>
      <c r="AB255" s="18"/>
      <c r="AC255" s="18"/>
      <c r="AD255" s="86"/>
      <c r="AE255" s="86"/>
      <c r="AF255" s="84"/>
      <c r="AG255" s="84"/>
      <c r="AH255" s="41"/>
      <c r="AI255" s="41"/>
      <c r="AJ255" s="41"/>
      <c r="AK255" s="41"/>
      <c r="AL255" s="185"/>
      <c r="AM255" s="185"/>
      <c r="AN255" s="187"/>
      <c r="AO255" s="187"/>
      <c r="AP255" s="187"/>
      <c r="AQ255" s="187"/>
      <c r="AR255" s="89"/>
      <c r="AS255" s="90"/>
      <c r="AT255" s="118"/>
      <c r="AU255" s="118"/>
      <c r="AV255" s="118"/>
      <c r="AW255" s="118"/>
      <c r="AX255" s="33"/>
      <c r="AY255" s="33"/>
      <c r="AZ255" s="82"/>
      <c r="BA255" s="82"/>
      <c r="BB255" s="82"/>
      <c r="BC255" s="691"/>
    </row>
    <row r="256" spans="1:55" x14ac:dyDescent="0.25">
      <c r="A256" s="68"/>
      <c r="B256" s="91"/>
      <c r="C256" s="263"/>
      <c r="D256" s="76"/>
      <c r="E256" s="76"/>
      <c r="F256" s="15"/>
      <c r="G256" s="15"/>
      <c r="H256" s="15"/>
      <c r="I256" s="15"/>
      <c r="J256" s="78"/>
      <c r="K256" s="78"/>
      <c r="L256" s="16"/>
      <c r="M256" s="16"/>
      <c r="N256" s="16"/>
      <c r="O256" s="16"/>
      <c r="P256" s="80"/>
      <c r="Q256" s="80"/>
      <c r="R256" s="17"/>
      <c r="S256" s="17"/>
      <c r="T256" s="17"/>
      <c r="U256" s="17"/>
      <c r="V256" s="161"/>
      <c r="W256" s="117"/>
      <c r="X256" s="82"/>
      <c r="Y256" s="82"/>
      <c r="Z256" s="82"/>
      <c r="AA256" s="82"/>
      <c r="AB256" s="18"/>
      <c r="AC256" s="18"/>
      <c r="AD256" s="86"/>
      <c r="AE256" s="86"/>
      <c r="AF256" s="84"/>
      <c r="AG256" s="84"/>
      <c r="AH256" s="41"/>
      <c r="AI256" s="41"/>
      <c r="AJ256" s="41"/>
      <c r="AK256" s="41"/>
      <c r="AL256" s="185"/>
      <c r="AM256" s="185"/>
      <c r="AN256" s="187"/>
      <c r="AO256" s="187"/>
      <c r="AP256" s="187"/>
      <c r="AQ256" s="187"/>
      <c r="AR256" s="89"/>
      <c r="AS256" s="90"/>
      <c r="AT256" s="118"/>
      <c r="AU256" s="118"/>
      <c r="AV256" s="118"/>
      <c r="AW256" s="118"/>
      <c r="AX256" s="33"/>
      <c r="AY256" s="33"/>
      <c r="AZ256" s="82"/>
      <c r="BA256" s="82"/>
      <c r="BB256" s="82"/>
      <c r="BC256" s="691"/>
    </row>
    <row r="257" spans="1:55" x14ac:dyDescent="0.25">
      <c r="A257" s="68"/>
      <c r="B257" s="91"/>
      <c r="C257" s="263"/>
      <c r="D257" s="76"/>
      <c r="E257" s="76"/>
      <c r="F257" s="15"/>
      <c r="G257" s="15"/>
      <c r="H257" s="15"/>
      <c r="I257" s="15"/>
      <c r="J257" s="78"/>
      <c r="K257" s="78"/>
      <c r="L257" s="16"/>
      <c r="M257" s="16"/>
      <c r="N257" s="16"/>
      <c r="O257" s="16"/>
      <c r="P257" s="80"/>
      <c r="Q257" s="80"/>
      <c r="R257" s="17"/>
      <c r="S257" s="17"/>
      <c r="T257" s="17"/>
      <c r="U257" s="17"/>
      <c r="V257" s="259"/>
      <c r="W257" s="259"/>
      <c r="X257" s="82"/>
      <c r="Y257" s="82"/>
      <c r="Z257" s="82"/>
      <c r="AA257" s="82"/>
      <c r="AB257" s="18"/>
      <c r="AC257" s="18"/>
      <c r="AD257" s="86"/>
      <c r="AE257" s="86"/>
      <c r="AF257" s="84"/>
      <c r="AG257" s="84"/>
      <c r="AH257" s="41"/>
      <c r="AI257" s="41"/>
      <c r="AJ257" s="41"/>
      <c r="AK257" s="41"/>
      <c r="AL257" s="185"/>
      <c r="AM257" s="185"/>
      <c r="AN257" s="187"/>
      <c r="AO257" s="187"/>
      <c r="AP257" s="187"/>
      <c r="AQ257" s="187"/>
      <c r="AR257" s="89"/>
      <c r="AS257" s="90"/>
      <c r="AT257" s="260"/>
      <c r="AU257" s="260"/>
      <c r="AV257" s="260"/>
      <c r="AW257" s="260"/>
      <c r="AX257" s="33"/>
      <c r="AY257" s="33"/>
      <c r="AZ257" s="82"/>
      <c r="BA257" s="82"/>
      <c r="BB257" s="82"/>
      <c r="BC257" s="691"/>
    </row>
    <row r="258" spans="1:55" x14ac:dyDescent="0.25">
      <c r="A258" s="68"/>
      <c r="B258" s="91"/>
      <c r="C258" s="263"/>
      <c r="D258" s="76"/>
      <c r="E258" s="76"/>
      <c r="F258" s="15"/>
      <c r="G258" s="15"/>
      <c r="H258" s="15"/>
      <c r="I258" s="15"/>
      <c r="J258" s="78"/>
      <c r="K258" s="78"/>
      <c r="L258" s="16"/>
      <c r="M258" s="16"/>
      <c r="N258" s="16"/>
      <c r="O258" s="16"/>
      <c r="P258" s="80"/>
      <c r="Q258" s="80"/>
      <c r="R258" s="17"/>
      <c r="S258" s="17"/>
      <c r="T258" s="17"/>
      <c r="U258" s="17"/>
      <c r="V258" s="163"/>
      <c r="W258" s="163"/>
      <c r="X258" s="82"/>
      <c r="Y258" s="82"/>
      <c r="Z258" s="82"/>
      <c r="AA258" s="82"/>
      <c r="AB258" s="18"/>
      <c r="AC258" s="18"/>
      <c r="AD258" s="86"/>
      <c r="AE258" s="86"/>
      <c r="AF258" s="84"/>
      <c r="AG258" s="84"/>
      <c r="AH258" s="41"/>
      <c r="AI258" s="41"/>
      <c r="AJ258" s="41"/>
      <c r="AK258" s="41"/>
      <c r="AL258" s="185"/>
      <c r="AM258" s="185"/>
      <c r="AN258" s="187"/>
      <c r="AO258" s="187"/>
      <c r="AP258" s="187"/>
      <c r="AQ258" s="187"/>
      <c r="AR258" s="89"/>
      <c r="AS258" s="90"/>
      <c r="AT258" s="164"/>
      <c r="AU258" s="164"/>
      <c r="AV258" s="164"/>
      <c r="AW258" s="164"/>
      <c r="AX258" s="33"/>
      <c r="AY258" s="33"/>
      <c r="AZ258" s="82"/>
      <c r="BA258" s="82"/>
      <c r="BB258" s="82"/>
      <c r="BC258" s="691"/>
    </row>
    <row r="259" spans="1:55" x14ac:dyDescent="0.25">
      <c r="A259" s="68"/>
      <c r="B259" s="91"/>
      <c r="C259" s="263"/>
      <c r="D259" s="76"/>
      <c r="E259" s="76"/>
      <c r="F259" s="15"/>
      <c r="G259" s="15"/>
      <c r="H259" s="15"/>
      <c r="I259" s="15"/>
      <c r="J259" s="78"/>
      <c r="K259" s="78"/>
      <c r="L259" s="16"/>
      <c r="M259" s="16"/>
      <c r="N259" s="16"/>
      <c r="O259" s="16"/>
      <c r="P259" s="80"/>
      <c r="Q259" s="80"/>
      <c r="R259" s="17"/>
      <c r="S259" s="17"/>
      <c r="T259" s="17"/>
      <c r="U259" s="17"/>
      <c r="V259" s="117"/>
      <c r="W259" s="117"/>
      <c r="X259" s="82"/>
      <c r="Y259" s="82"/>
      <c r="Z259" s="82"/>
      <c r="AA259" s="82"/>
      <c r="AB259" s="18"/>
      <c r="AC259" s="18"/>
      <c r="AD259" s="86"/>
      <c r="AE259" s="86"/>
      <c r="AF259" s="84"/>
      <c r="AG259" s="84"/>
      <c r="AH259" s="41"/>
      <c r="AI259" s="41"/>
      <c r="AJ259" s="41"/>
      <c r="AK259" s="41"/>
      <c r="AL259" s="185"/>
      <c r="AM259" s="185"/>
      <c r="AN259" s="187"/>
      <c r="AO259" s="187"/>
      <c r="AP259" s="187"/>
      <c r="AQ259" s="187"/>
      <c r="AR259" s="89"/>
      <c r="AS259" s="90"/>
      <c r="AT259" s="118"/>
      <c r="AU259" s="118"/>
      <c r="AV259" s="118"/>
      <c r="AW259" s="118"/>
      <c r="AX259" s="33"/>
      <c r="AY259" s="33"/>
      <c r="AZ259" s="82"/>
      <c r="BA259" s="82"/>
      <c r="BB259" s="82"/>
      <c r="BC259" s="691"/>
    </row>
    <row r="260" spans="1:55" x14ac:dyDescent="0.25">
      <c r="A260" s="68"/>
      <c r="B260" s="91"/>
      <c r="C260" s="263"/>
      <c r="D260" s="76"/>
      <c r="E260" s="76"/>
      <c r="F260" s="15"/>
      <c r="G260" s="15"/>
      <c r="H260" s="15"/>
      <c r="I260" s="15"/>
      <c r="J260" s="78"/>
      <c r="K260" s="78"/>
      <c r="L260" s="16"/>
      <c r="M260" s="16"/>
      <c r="N260" s="16"/>
      <c r="O260" s="16"/>
      <c r="P260" s="80"/>
      <c r="Q260" s="80"/>
      <c r="R260" s="17"/>
      <c r="S260" s="17"/>
      <c r="T260" s="17"/>
      <c r="U260" s="17"/>
      <c r="V260" s="117"/>
      <c r="W260" s="117"/>
      <c r="X260" s="82"/>
      <c r="Y260" s="82"/>
      <c r="Z260" s="82"/>
      <c r="AA260" s="82"/>
      <c r="AB260" s="18"/>
      <c r="AC260" s="18"/>
      <c r="AD260" s="86"/>
      <c r="AE260" s="86"/>
      <c r="AF260" s="84"/>
      <c r="AG260" s="84"/>
      <c r="AH260" s="41"/>
      <c r="AI260" s="41"/>
      <c r="AJ260" s="41"/>
      <c r="AK260" s="41"/>
      <c r="AL260" s="185"/>
      <c r="AM260" s="185"/>
      <c r="AN260" s="187"/>
      <c r="AO260" s="187"/>
      <c r="AP260" s="187"/>
      <c r="AQ260" s="187"/>
      <c r="AR260" s="89"/>
      <c r="AS260" s="90"/>
      <c r="AT260" s="118"/>
      <c r="AU260" s="118"/>
      <c r="AV260" s="118"/>
      <c r="AW260" s="118"/>
      <c r="AX260" s="33"/>
      <c r="AY260" s="33"/>
      <c r="AZ260" s="82"/>
      <c r="BA260" s="82"/>
      <c r="BB260" s="82"/>
      <c r="BC260" s="691"/>
    </row>
    <row r="261" spans="1:55" x14ac:dyDescent="0.25">
      <c r="A261" s="68"/>
      <c r="B261" s="91"/>
      <c r="C261" s="263"/>
      <c r="D261" s="76"/>
      <c r="E261" s="76"/>
      <c r="F261" s="15"/>
      <c r="G261" s="15"/>
      <c r="H261" s="15"/>
      <c r="I261" s="15"/>
      <c r="J261" s="78"/>
      <c r="K261" s="78"/>
      <c r="L261" s="16"/>
      <c r="M261" s="16"/>
      <c r="N261" s="16"/>
      <c r="O261" s="16"/>
      <c r="P261" s="80"/>
      <c r="Q261" s="80"/>
      <c r="R261" s="17"/>
      <c r="S261" s="17"/>
      <c r="T261" s="17"/>
      <c r="U261" s="17"/>
      <c r="V261" s="117"/>
      <c r="W261" s="117"/>
      <c r="X261" s="82"/>
      <c r="Y261" s="82"/>
      <c r="Z261" s="82"/>
      <c r="AA261" s="82"/>
      <c r="AB261" s="18"/>
      <c r="AC261" s="18"/>
      <c r="AD261" s="86"/>
      <c r="AE261" s="86"/>
      <c r="AF261" s="84"/>
      <c r="AG261" s="84"/>
      <c r="AH261" s="41"/>
      <c r="AI261" s="41"/>
      <c r="AJ261" s="41"/>
      <c r="AK261" s="41"/>
      <c r="AL261" s="185"/>
      <c r="AM261" s="185"/>
      <c r="AN261" s="187"/>
      <c r="AO261" s="187"/>
      <c r="AP261" s="187"/>
      <c r="AQ261" s="187"/>
      <c r="AR261" s="89"/>
      <c r="AS261" s="90"/>
      <c r="AT261" s="118"/>
      <c r="AU261" s="118"/>
      <c r="AV261" s="118"/>
      <c r="AW261" s="118"/>
      <c r="AX261" s="33"/>
      <c r="AY261" s="33"/>
      <c r="AZ261" s="82"/>
      <c r="BA261" s="82"/>
      <c r="BB261" s="82"/>
      <c r="BC261" s="691"/>
    </row>
    <row r="262" spans="1:55" x14ac:dyDescent="0.25">
      <c r="A262" s="68"/>
      <c r="B262" s="91"/>
      <c r="C262" s="263"/>
      <c r="D262" s="76"/>
      <c r="E262" s="76"/>
      <c r="F262" s="15"/>
      <c r="G262" s="15"/>
      <c r="H262" s="15"/>
      <c r="I262" s="15"/>
      <c r="J262" s="78"/>
      <c r="K262" s="78"/>
      <c r="L262" s="16"/>
      <c r="M262" s="16"/>
      <c r="N262" s="16"/>
      <c r="O262" s="16"/>
      <c r="P262" s="80"/>
      <c r="Q262" s="80"/>
      <c r="R262" s="17"/>
      <c r="S262" s="17"/>
      <c r="T262" s="17"/>
      <c r="U262" s="17"/>
      <c r="V262" s="162"/>
      <c r="W262" s="117"/>
      <c r="X262" s="82"/>
      <c r="Y262" s="82"/>
      <c r="Z262" s="82"/>
      <c r="AA262" s="82"/>
      <c r="AB262" s="18"/>
      <c r="AC262" s="18"/>
      <c r="AD262" s="86"/>
      <c r="AE262" s="86"/>
      <c r="AF262" s="84"/>
      <c r="AG262" s="84"/>
      <c r="AH262" s="41"/>
      <c r="AI262" s="41"/>
      <c r="AJ262" s="41"/>
      <c r="AK262" s="41"/>
      <c r="AL262" s="185"/>
      <c r="AM262" s="185"/>
      <c r="AN262" s="187"/>
      <c r="AO262" s="187"/>
      <c r="AP262" s="187"/>
      <c r="AQ262" s="187"/>
      <c r="AR262" s="89"/>
      <c r="AS262" s="90"/>
      <c r="AT262" s="118"/>
      <c r="AU262" s="118"/>
      <c r="AV262" s="118"/>
      <c r="AW262" s="118"/>
      <c r="AX262" s="33"/>
      <c r="AY262" s="33"/>
      <c r="AZ262" s="82"/>
      <c r="BA262" s="82"/>
      <c r="BB262" s="82"/>
      <c r="BC262" s="691"/>
    </row>
    <row r="263" spans="1:55" x14ac:dyDescent="0.25">
      <c r="A263" s="68"/>
      <c r="B263" s="91"/>
      <c r="C263" s="263"/>
      <c r="D263" s="76"/>
      <c r="E263" s="76"/>
      <c r="F263" s="15"/>
      <c r="G263" s="15"/>
      <c r="H263" s="15"/>
      <c r="I263" s="15"/>
      <c r="J263" s="78"/>
      <c r="K263" s="78"/>
      <c r="L263" s="16"/>
      <c r="M263" s="16"/>
      <c r="N263" s="16"/>
      <c r="O263" s="16"/>
      <c r="P263" s="80"/>
      <c r="Q263" s="80"/>
      <c r="R263" s="17"/>
      <c r="S263" s="17"/>
      <c r="T263" s="17"/>
      <c r="U263" s="17"/>
      <c r="V263" s="253"/>
      <c r="W263" s="253"/>
      <c r="X263" s="82"/>
      <c r="Y263" s="82"/>
      <c r="Z263" s="82"/>
      <c r="AA263" s="82"/>
      <c r="AB263" s="18"/>
      <c r="AC263" s="18"/>
      <c r="AD263" s="86"/>
      <c r="AE263" s="86"/>
      <c r="AF263" s="84"/>
      <c r="AG263" s="84"/>
      <c r="AH263" s="41"/>
      <c r="AI263" s="41"/>
      <c r="AJ263" s="41"/>
      <c r="AK263" s="41"/>
      <c r="AL263" s="185"/>
      <c r="AM263" s="185"/>
      <c r="AN263" s="187"/>
      <c r="AO263" s="187"/>
      <c r="AP263" s="187"/>
      <c r="AQ263" s="187"/>
      <c r="AR263" s="89"/>
      <c r="AS263" s="90"/>
      <c r="AT263" s="254"/>
      <c r="AU263" s="254"/>
      <c r="AV263" s="254"/>
      <c r="AW263" s="254"/>
      <c r="AX263" s="33"/>
      <c r="AY263" s="33"/>
      <c r="AZ263" s="82"/>
      <c r="BA263" s="82"/>
      <c r="BB263" s="82"/>
      <c r="BC263" s="691"/>
    </row>
    <row r="264" spans="1:55" x14ac:dyDescent="0.25">
      <c r="A264" s="68"/>
      <c r="B264" s="91"/>
      <c r="C264" s="263"/>
      <c r="D264" s="76"/>
      <c r="E264" s="76"/>
      <c r="F264" s="15"/>
      <c r="G264" s="15"/>
      <c r="H264" s="15"/>
      <c r="I264" s="15"/>
      <c r="J264" s="78"/>
      <c r="K264" s="78"/>
      <c r="L264" s="16"/>
      <c r="M264" s="16"/>
      <c r="N264" s="16"/>
      <c r="O264" s="16"/>
      <c r="P264" s="80"/>
      <c r="Q264" s="80"/>
      <c r="R264" s="17"/>
      <c r="S264" s="17"/>
      <c r="T264" s="17"/>
      <c r="U264" s="17"/>
      <c r="V264" s="253"/>
      <c r="W264" s="253"/>
      <c r="X264" s="82"/>
      <c r="Y264" s="82"/>
      <c r="Z264" s="82"/>
      <c r="AA264" s="82"/>
      <c r="AB264" s="18"/>
      <c r="AC264" s="18"/>
      <c r="AD264" s="86"/>
      <c r="AE264" s="86"/>
      <c r="AF264" s="84"/>
      <c r="AG264" s="84"/>
      <c r="AH264" s="41"/>
      <c r="AI264" s="41"/>
      <c r="AJ264" s="41"/>
      <c r="AK264" s="41"/>
      <c r="AL264" s="185"/>
      <c r="AM264" s="185"/>
      <c r="AN264" s="187"/>
      <c r="AO264" s="187"/>
      <c r="AP264" s="187"/>
      <c r="AQ264" s="187"/>
      <c r="AR264" s="89"/>
      <c r="AS264" s="90"/>
      <c r="AT264" s="254"/>
      <c r="AU264" s="254"/>
      <c r="AV264" s="254"/>
      <c r="AW264" s="254"/>
      <c r="AX264" s="33"/>
      <c r="AY264" s="33"/>
      <c r="AZ264" s="82"/>
      <c r="BA264" s="82"/>
      <c r="BB264" s="82"/>
      <c r="BC264" s="691"/>
    </row>
    <row r="265" spans="1:55" x14ac:dyDescent="0.25">
      <c r="A265" s="68"/>
      <c r="B265" s="91"/>
      <c r="C265" s="263"/>
      <c r="D265" s="76"/>
      <c r="E265" s="76"/>
      <c r="F265" s="15"/>
      <c r="G265" s="15"/>
      <c r="H265" s="15"/>
      <c r="I265" s="15"/>
      <c r="J265" s="78"/>
      <c r="K265" s="78"/>
      <c r="L265" s="16"/>
      <c r="M265" s="16"/>
      <c r="N265" s="16"/>
      <c r="O265" s="16"/>
      <c r="P265" s="80"/>
      <c r="Q265" s="80"/>
      <c r="R265" s="17"/>
      <c r="S265" s="17"/>
      <c r="T265" s="17"/>
      <c r="U265" s="17"/>
      <c r="V265" s="165"/>
      <c r="W265" s="165"/>
      <c r="X265" s="82"/>
      <c r="Y265" s="82"/>
      <c r="Z265" s="82"/>
      <c r="AA265" s="82"/>
      <c r="AB265" s="18"/>
      <c r="AC265" s="18"/>
      <c r="AD265" s="86"/>
      <c r="AE265" s="86"/>
      <c r="AF265" s="84"/>
      <c r="AG265" s="84"/>
      <c r="AH265" s="41"/>
      <c r="AI265" s="41"/>
      <c r="AJ265" s="41"/>
      <c r="AK265" s="41"/>
      <c r="AL265" s="185"/>
      <c r="AM265" s="185"/>
      <c r="AN265" s="187"/>
      <c r="AO265" s="187"/>
      <c r="AP265" s="187"/>
      <c r="AQ265" s="187"/>
      <c r="AR265" s="89"/>
      <c r="AS265" s="90"/>
      <c r="AT265" s="166"/>
      <c r="AU265" s="166"/>
      <c r="AV265" s="166"/>
      <c r="AW265" s="166"/>
      <c r="AX265" s="33"/>
      <c r="AY265" s="33"/>
      <c r="AZ265" s="82"/>
      <c r="BA265" s="82"/>
      <c r="BB265" s="82"/>
      <c r="BC265" s="691"/>
    </row>
    <row r="266" spans="1:55" x14ac:dyDescent="0.25">
      <c r="A266" s="68"/>
      <c r="B266" s="91"/>
      <c r="C266" s="263"/>
      <c r="D266" s="76"/>
      <c r="E266" s="76"/>
      <c r="F266" s="15"/>
      <c r="G266" s="15"/>
      <c r="H266" s="15"/>
      <c r="I266" s="15"/>
      <c r="J266" s="78"/>
      <c r="K266" s="78"/>
      <c r="L266" s="16"/>
      <c r="M266" s="16"/>
      <c r="N266" s="16"/>
      <c r="O266" s="16"/>
      <c r="P266" s="80"/>
      <c r="Q266" s="80"/>
      <c r="R266" s="17"/>
      <c r="S266" s="17"/>
      <c r="T266" s="17"/>
      <c r="U266" s="17"/>
      <c r="V266" s="117"/>
      <c r="W266" s="117"/>
      <c r="X266" s="82"/>
      <c r="Y266" s="82"/>
      <c r="Z266" s="82"/>
      <c r="AA266" s="82"/>
      <c r="AB266" s="18"/>
      <c r="AC266" s="18"/>
      <c r="AD266" s="86"/>
      <c r="AE266" s="86"/>
      <c r="AF266" s="84"/>
      <c r="AG266" s="84"/>
      <c r="AH266" s="41"/>
      <c r="AI266" s="41"/>
      <c r="AJ266" s="41"/>
      <c r="AK266" s="41"/>
      <c r="AL266" s="185"/>
      <c r="AM266" s="185"/>
      <c r="AN266" s="187"/>
      <c r="AO266" s="187"/>
      <c r="AP266" s="187"/>
      <c r="AQ266" s="187"/>
      <c r="AR266" s="89"/>
      <c r="AS266" s="90"/>
      <c r="AT266" s="118"/>
      <c r="AU266" s="118"/>
      <c r="AV266" s="118"/>
      <c r="AW266" s="118"/>
      <c r="AX266" s="33"/>
      <c r="AY266" s="33"/>
      <c r="AZ266" s="82"/>
      <c r="BA266" s="82"/>
      <c r="BB266" s="82"/>
      <c r="BC266" s="691"/>
    </row>
    <row r="267" spans="1:55" x14ac:dyDescent="0.25">
      <c r="A267" s="68"/>
      <c r="B267" s="91"/>
      <c r="C267" s="263"/>
      <c r="D267" s="76"/>
      <c r="E267" s="76"/>
      <c r="F267" s="15"/>
      <c r="G267" s="15"/>
      <c r="H267" s="15"/>
      <c r="I267" s="15"/>
      <c r="J267" s="78"/>
      <c r="K267" s="78"/>
      <c r="L267" s="16"/>
      <c r="M267" s="16"/>
      <c r="N267" s="16"/>
      <c r="O267" s="16"/>
      <c r="P267" s="80"/>
      <c r="Q267" s="80"/>
      <c r="R267" s="17"/>
      <c r="S267" s="17"/>
      <c r="T267" s="17"/>
      <c r="U267" s="17"/>
      <c r="V267" s="127"/>
      <c r="W267" s="165"/>
      <c r="X267" s="82"/>
      <c r="Y267" s="82"/>
      <c r="Z267" s="82"/>
      <c r="AA267" s="82"/>
      <c r="AB267" s="18"/>
      <c r="AC267" s="18"/>
      <c r="AD267" s="86"/>
      <c r="AE267" s="86"/>
      <c r="AF267" s="84"/>
      <c r="AG267" s="84"/>
      <c r="AH267" s="41"/>
      <c r="AI267" s="41"/>
      <c r="AJ267" s="41"/>
      <c r="AK267" s="41"/>
      <c r="AL267" s="185"/>
      <c r="AM267" s="185"/>
      <c r="AN267" s="187"/>
      <c r="AO267" s="187"/>
      <c r="AP267" s="187"/>
      <c r="AQ267" s="187"/>
      <c r="AR267" s="89"/>
      <c r="AS267" s="90"/>
      <c r="AT267" s="118"/>
      <c r="AU267" s="118"/>
      <c r="AV267" s="118"/>
      <c r="AW267" s="118"/>
      <c r="AX267" s="33"/>
      <c r="AY267" s="33"/>
      <c r="AZ267" s="82"/>
      <c r="BA267" s="82"/>
      <c r="BB267" s="82"/>
      <c r="BC267" s="691"/>
    </row>
    <row r="268" spans="1:55" x14ac:dyDescent="0.25">
      <c r="A268" s="68"/>
      <c r="B268" s="91"/>
      <c r="C268" s="263"/>
      <c r="D268" s="76"/>
      <c r="E268" s="76"/>
      <c r="F268" s="15"/>
      <c r="G268" s="15"/>
      <c r="H268" s="15"/>
      <c r="I268" s="15"/>
      <c r="J268" s="78"/>
      <c r="K268" s="78"/>
      <c r="L268" s="16"/>
      <c r="M268" s="16"/>
      <c r="N268" s="16"/>
      <c r="O268" s="16"/>
      <c r="P268" s="80"/>
      <c r="Q268" s="80"/>
      <c r="R268" s="17"/>
      <c r="S268" s="17"/>
      <c r="T268" s="17"/>
      <c r="U268" s="17"/>
      <c r="V268" s="170"/>
      <c r="W268" s="170"/>
      <c r="X268" s="82"/>
      <c r="Y268" s="82"/>
      <c r="Z268" s="82"/>
      <c r="AA268" s="82"/>
      <c r="AB268" s="18"/>
      <c r="AC268" s="18"/>
      <c r="AD268" s="86"/>
      <c r="AE268" s="86"/>
      <c r="AF268" s="84"/>
      <c r="AG268" s="84"/>
      <c r="AH268" s="41"/>
      <c r="AI268" s="41"/>
      <c r="AJ268" s="41"/>
      <c r="AK268" s="41"/>
      <c r="AL268" s="185"/>
      <c r="AM268" s="185"/>
      <c r="AN268" s="187"/>
      <c r="AO268" s="187"/>
      <c r="AP268" s="187"/>
      <c r="AQ268" s="187"/>
      <c r="AR268" s="89"/>
      <c r="AS268" s="90"/>
      <c r="AT268" s="171"/>
      <c r="AU268" s="171"/>
      <c r="AV268" s="171"/>
      <c r="AW268" s="171"/>
      <c r="AX268" s="33"/>
      <c r="AY268" s="33"/>
      <c r="AZ268" s="82"/>
      <c r="BA268" s="82"/>
      <c r="BB268" s="82"/>
      <c r="BC268" s="691"/>
    </row>
    <row r="269" spans="1:55" x14ac:dyDescent="0.25">
      <c r="A269" s="68"/>
      <c r="B269" s="91"/>
      <c r="C269" s="263"/>
      <c r="D269" s="76"/>
      <c r="E269" s="76"/>
      <c r="F269" s="15"/>
      <c r="G269" s="15"/>
      <c r="H269" s="15"/>
      <c r="I269" s="15"/>
      <c r="J269" s="78"/>
      <c r="K269" s="78"/>
      <c r="L269" s="16"/>
      <c r="M269" s="16"/>
      <c r="N269" s="16"/>
      <c r="O269" s="16"/>
      <c r="P269" s="80"/>
      <c r="Q269" s="80"/>
      <c r="R269" s="17"/>
      <c r="S269" s="17"/>
      <c r="T269" s="17"/>
      <c r="U269" s="17"/>
      <c r="V269" s="117"/>
      <c r="W269" s="117"/>
      <c r="X269" s="82"/>
      <c r="Y269" s="82"/>
      <c r="Z269" s="82"/>
      <c r="AA269" s="82"/>
      <c r="AB269" s="18"/>
      <c r="AC269" s="18"/>
      <c r="AD269" s="86"/>
      <c r="AE269" s="86"/>
      <c r="AF269" s="84"/>
      <c r="AG269" s="84"/>
      <c r="AH269" s="41"/>
      <c r="AI269" s="41"/>
      <c r="AJ269" s="41"/>
      <c r="AK269" s="41"/>
      <c r="AL269" s="185"/>
      <c r="AM269" s="185"/>
      <c r="AN269" s="187"/>
      <c r="AO269" s="187"/>
      <c r="AP269" s="187"/>
      <c r="AQ269" s="187"/>
      <c r="AR269" s="89"/>
      <c r="AS269" s="90"/>
      <c r="AT269" s="118"/>
      <c r="AU269" s="118"/>
      <c r="AV269" s="118"/>
      <c r="AW269" s="118"/>
      <c r="AX269" s="33"/>
      <c r="AY269" s="33"/>
      <c r="AZ269" s="82"/>
      <c r="BA269" s="82"/>
      <c r="BB269" s="82"/>
      <c r="BC269" s="691"/>
    </row>
    <row r="270" spans="1:55" x14ac:dyDescent="0.25">
      <c r="A270" s="68"/>
      <c r="B270" s="91"/>
      <c r="C270" s="290"/>
      <c r="D270" s="76"/>
      <c r="E270" s="76"/>
      <c r="F270" s="15"/>
      <c r="G270" s="15"/>
      <c r="H270" s="15"/>
      <c r="I270" s="15"/>
      <c r="J270" s="78"/>
      <c r="K270" s="78"/>
      <c r="L270" s="16"/>
      <c r="M270" s="16"/>
      <c r="N270" s="16"/>
      <c r="O270" s="16"/>
      <c r="P270" s="80"/>
      <c r="Q270" s="80"/>
      <c r="R270" s="17"/>
      <c r="S270" s="17"/>
      <c r="T270" s="17"/>
      <c r="U270" s="17"/>
      <c r="V270" s="172"/>
      <c r="W270" s="172"/>
      <c r="X270" s="82"/>
      <c r="Y270" s="82"/>
      <c r="Z270" s="82"/>
      <c r="AA270" s="82"/>
      <c r="AB270" s="18"/>
      <c r="AC270" s="18"/>
      <c r="AD270" s="86"/>
      <c r="AE270" s="86"/>
      <c r="AF270" s="84"/>
      <c r="AG270" s="84"/>
      <c r="AH270" s="41"/>
      <c r="AI270" s="41"/>
      <c r="AJ270" s="41"/>
      <c r="AK270" s="41"/>
      <c r="AL270" s="185"/>
      <c r="AM270" s="185"/>
      <c r="AN270" s="187"/>
      <c r="AO270" s="187"/>
      <c r="AP270" s="187"/>
      <c r="AQ270" s="187"/>
      <c r="AR270" s="89"/>
      <c r="AS270" s="90"/>
      <c r="AT270" s="173"/>
      <c r="AU270" s="173"/>
      <c r="AV270" s="173"/>
      <c r="AW270" s="173"/>
      <c r="AX270" s="33"/>
      <c r="AY270" s="33"/>
      <c r="AZ270" s="82"/>
      <c r="BA270" s="82"/>
      <c r="BB270" s="82"/>
      <c r="BC270" s="691"/>
    </row>
    <row r="271" spans="1:55" x14ac:dyDescent="0.25">
      <c r="A271" s="68"/>
      <c r="B271" s="91"/>
      <c r="C271" s="290"/>
      <c r="D271" s="76"/>
      <c r="E271" s="76"/>
      <c r="F271" s="15"/>
      <c r="G271" s="15"/>
      <c r="H271" s="15"/>
      <c r="I271" s="15"/>
      <c r="J271" s="78"/>
      <c r="K271" s="78"/>
      <c r="L271" s="16"/>
      <c r="M271" s="16"/>
      <c r="N271" s="16"/>
      <c r="O271" s="16"/>
      <c r="P271" s="80"/>
      <c r="Q271" s="80"/>
      <c r="R271" s="17"/>
      <c r="S271" s="17"/>
      <c r="T271" s="17"/>
      <c r="U271" s="17"/>
      <c r="V271" s="170"/>
      <c r="W271" s="170"/>
      <c r="X271" s="82"/>
      <c r="Y271" s="82"/>
      <c r="Z271" s="82"/>
      <c r="AA271" s="82"/>
      <c r="AB271" s="18"/>
      <c r="AC271" s="18"/>
      <c r="AD271" s="86"/>
      <c r="AE271" s="86"/>
      <c r="AF271" s="84"/>
      <c r="AG271" s="84"/>
      <c r="AH271" s="41"/>
      <c r="AI271" s="41"/>
      <c r="AJ271" s="41"/>
      <c r="AK271" s="41"/>
      <c r="AL271" s="185"/>
      <c r="AM271" s="185"/>
      <c r="AN271" s="187"/>
      <c r="AO271" s="187"/>
      <c r="AP271" s="187"/>
      <c r="AQ271" s="187"/>
      <c r="AR271" s="89"/>
      <c r="AS271" s="90"/>
      <c r="AT271" s="171"/>
      <c r="AU271" s="171"/>
      <c r="AV271" s="171"/>
      <c r="AW271" s="171"/>
      <c r="AX271" s="33"/>
      <c r="AY271" s="33"/>
      <c r="AZ271" s="82"/>
      <c r="BA271" s="82"/>
      <c r="BB271" s="82"/>
      <c r="BC271" s="691"/>
    </row>
    <row r="272" spans="1:55" x14ac:dyDescent="0.25">
      <c r="A272" s="68"/>
      <c r="B272" s="91"/>
      <c r="C272" s="290"/>
      <c r="D272" s="76"/>
      <c r="E272" s="76"/>
      <c r="F272" s="15"/>
      <c r="G272" s="15"/>
      <c r="H272" s="15"/>
      <c r="I272" s="15"/>
      <c r="J272" s="78"/>
      <c r="K272" s="78"/>
      <c r="L272" s="16"/>
      <c r="M272" s="16"/>
      <c r="N272" s="16"/>
      <c r="O272" s="16"/>
      <c r="P272" s="80"/>
      <c r="Q272" s="80"/>
      <c r="R272" s="17"/>
      <c r="S272" s="17"/>
      <c r="T272" s="17"/>
      <c r="U272" s="17"/>
      <c r="V272" s="117"/>
      <c r="W272" s="117"/>
      <c r="X272" s="82"/>
      <c r="Y272" s="82"/>
      <c r="Z272" s="82"/>
      <c r="AA272" s="82"/>
      <c r="AB272" s="18"/>
      <c r="AC272" s="18"/>
      <c r="AD272" s="86"/>
      <c r="AE272" s="86"/>
      <c r="AF272" s="84"/>
      <c r="AG272" s="84"/>
      <c r="AH272" s="41"/>
      <c r="AI272" s="41"/>
      <c r="AJ272" s="41"/>
      <c r="AK272" s="41"/>
      <c r="AL272" s="185"/>
      <c r="AM272" s="185"/>
      <c r="AN272" s="187"/>
      <c r="AO272" s="187"/>
      <c r="AP272" s="187"/>
      <c r="AQ272" s="187"/>
      <c r="AR272" s="89"/>
      <c r="AS272" s="90"/>
      <c r="AT272" s="171"/>
      <c r="AU272" s="118"/>
      <c r="AV272" s="171"/>
      <c r="AW272" s="118"/>
      <c r="AX272" s="33"/>
      <c r="AY272" s="33"/>
      <c r="AZ272" s="82"/>
      <c r="BA272" s="82"/>
      <c r="BB272" s="82"/>
      <c r="BC272" s="691"/>
    </row>
    <row r="273" spans="1:55" x14ac:dyDescent="0.25">
      <c r="A273" s="68"/>
      <c r="B273" s="91"/>
      <c r="C273" s="290"/>
      <c r="D273" s="76"/>
      <c r="E273" s="76"/>
      <c r="F273" s="15"/>
      <c r="G273" s="15"/>
      <c r="H273" s="15"/>
      <c r="I273" s="15"/>
      <c r="J273" s="78"/>
      <c r="K273" s="78"/>
      <c r="L273" s="16"/>
      <c r="M273" s="16"/>
      <c r="N273" s="16"/>
      <c r="O273" s="16"/>
      <c r="P273" s="80"/>
      <c r="Q273" s="80"/>
      <c r="R273" s="17"/>
      <c r="S273" s="17"/>
      <c r="T273" s="17"/>
      <c r="U273" s="17"/>
      <c r="V273" s="117"/>
      <c r="W273" s="117"/>
      <c r="X273" s="82"/>
      <c r="Y273" s="82"/>
      <c r="Z273" s="82"/>
      <c r="AA273" s="82"/>
      <c r="AB273" s="18"/>
      <c r="AC273" s="18"/>
      <c r="AD273" s="86"/>
      <c r="AE273" s="86"/>
      <c r="AF273" s="84"/>
      <c r="AG273" s="84"/>
      <c r="AH273" s="41"/>
      <c r="AI273" s="41"/>
      <c r="AJ273" s="41"/>
      <c r="AK273" s="41"/>
      <c r="AL273" s="185"/>
      <c r="AM273" s="185"/>
      <c r="AN273" s="187"/>
      <c r="AO273" s="187"/>
      <c r="AP273" s="187"/>
      <c r="AQ273" s="187"/>
      <c r="AR273" s="89"/>
      <c r="AS273" s="90"/>
      <c r="AT273" s="171"/>
      <c r="AU273" s="118"/>
      <c r="AV273" s="171"/>
      <c r="AW273" s="118"/>
      <c r="AX273" s="33"/>
      <c r="AY273" s="33"/>
      <c r="AZ273" s="82"/>
      <c r="BA273" s="82"/>
      <c r="BB273" s="82"/>
      <c r="BC273" s="691"/>
    </row>
    <row r="274" spans="1:55" x14ac:dyDescent="0.25">
      <c r="A274" s="68"/>
      <c r="B274" s="91"/>
      <c r="C274" s="290"/>
      <c r="D274" s="76"/>
      <c r="E274" s="76"/>
      <c r="F274" s="15"/>
      <c r="G274" s="15"/>
      <c r="H274" s="15"/>
      <c r="I274" s="15"/>
      <c r="J274" s="78"/>
      <c r="K274" s="78"/>
      <c r="L274" s="16"/>
      <c r="M274" s="16"/>
      <c r="N274" s="16"/>
      <c r="O274" s="16"/>
      <c r="P274" s="80"/>
      <c r="Q274" s="80"/>
      <c r="R274" s="17"/>
      <c r="S274" s="17"/>
      <c r="T274" s="17"/>
      <c r="U274" s="17"/>
      <c r="V274" s="117"/>
      <c r="W274" s="117"/>
      <c r="X274" s="82"/>
      <c r="Y274" s="82"/>
      <c r="Z274" s="82"/>
      <c r="AA274" s="82"/>
      <c r="AB274" s="18"/>
      <c r="AC274" s="18"/>
      <c r="AD274" s="86"/>
      <c r="AE274" s="86"/>
      <c r="AF274" s="84"/>
      <c r="AG274" s="84"/>
      <c r="AH274" s="41"/>
      <c r="AI274" s="41"/>
      <c r="AJ274" s="41"/>
      <c r="AK274" s="41"/>
      <c r="AL274" s="185"/>
      <c r="AM274" s="185"/>
      <c r="AN274" s="187"/>
      <c r="AO274" s="187"/>
      <c r="AP274" s="187"/>
      <c r="AQ274" s="187"/>
      <c r="AR274" s="89"/>
      <c r="AS274" s="90"/>
      <c r="AT274" s="118"/>
      <c r="AU274" s="118"/>
      <c r="AV274" s="118"/>
      <c r="AW274" s="118"/>
      <c r="AX274" s="33"/>
      <c r="AY274" s="33"/>
      <c r="AZ274" s="82"/>
      <c r="BA274" s="82"/>
      <c r="BB274" s="82"/>
      <c r="BC274" s="691"/>
    </row>
    <row r="275" spans="1:55" x14ac:dyDescent="0.25">
      <c r="A275" s="68"/>
      <c r="B275" s="91"/>
      <c r="C275" s="290"/>
      <c r="D275" s="76"/>
      <c r="E275" s="76"/>
      <c r="F275" s="15"/>
      <c r="G275" s="15"/>
      <c r="H275" s="15"/>
      <c r="I275" s="15"/>
      <c r="J275" s="78"/>
      <c r="K275" s="78"/>
      <c r="L275" s="16"/>
      <c r="M275" s="16"/>
      <c r="N275" s="16"/>
      <c r="O275" s="16"/>
      <c r="P275" s="80"/>
      <c r="Q275" s="80"/>
      <c r="R275" s="17"/>
      <c r="S275" s="17"/>
      <c r="T275" s="17"/>
      <c r="U275" s="17"/>
      <c r="V275" s="117"/>
      <c r="W275" s="117"/>
      <c r="X275" s="82"/>
      <c r="Y275" s="82"/>
      <c r="Z275" s="82"/>
      <c r="AA275" s="82"/>
      <c r="AB275" s="18"/>
      <c r="AC275" s="18"/>
      <c r="AD275" s="86"/>
      <c r="AE275" s="86"/>
      <c r="AF275" s="84"/>
      <c r="AG275" s="84"/>
      <c r="AH275" s="41"/>
      <c r="AI275" s="41"/>
      <c r="AJ275" s="41"/>
      <c r="AK275" s="41"/>
      <c r="AL275" s="185"/>
      <c r="AM275" s="185"/>
      <c r="AN275" s="187"/>
      <c r="AO275" s="187"/>
      <c r="AP275" s="187"/>
      <c r="AQ275" s="187"/>
      <c r="AR275" s="89"/>
      <c r="AS275" s="90"/>
      <c r="AT275" s="118"/>
      <c r="AU275" s="118"/>
      <c r="AV275" s="118"/>
      <c r="AW275" s="118"/>
      <c r="AX275" s="33"/>
      <c r="AY275" s="33"/>
      <c r="AZ275" s="82"/>
      <c r="BA275" s="82"/>
      <c r="BB275" s="82"/>
      <c r="BC275" s="691"/>
    </row>
    <row r="276" spans="1:55" x14ac:dyDescent="0.25">
      <c r="A276" s="68"/>
      <c r="B276" s="91"/>
      <c r="C276" s="290"/>
      <c r="D276" s="76"/>
      <c r="E276" s="76"/>
      <c r="F276" s="15"/>
      <c r="G276" s="15"/>
      <c r="H276" s="15"/>
      <c r="I276" s="15"/>
      <c r="J276" s="78"/>
      <c r="K276" s="78"/>
      <c r="L276" s="16"/>
      <c r="M276" s="16"/>
      <c r="N276" s="16"/>
      <c r="O276" s="16"/>
      <c r="P276" s="80"/>
      <c r="Q276" s="80"/>
      <c r="R276" s="17"/>
      <c r="S276" s="17"/>
      <c r="T276" s="17"/>
      <c r="U276" s="17"/>
      <c r="V276" s="117"/>
      <c r="W276" s="117"/>
      <c r="X276" s="82"/>
      <c r="Y276" s="82"/>
      <c r="Z276" s="82"/>
      <c r="AA276" s="82"/>
      <c r="AB276" s="18"/>
      <c r="AC276" s="18"/>
      <c r="AD276" s="86"/>
      <c r="AE276" s="86"/>
      <c r="AF276" s="84"/>
      <c r="AG276" s="84"/>
      <c r="AH276" s="41"/>
      <c r="AI276" s="41"/>
      <c r="AJ276" s="41"/>
      <c r="AK276" s="41"/>
      <c r="AL276" s="185"/>
      <c r="AM276" s="185"/>
      <c r="AN276" s="187"/>
      <c r="AO276" s="187"/>
      <c r="AP276" s="187"/>
      <c r="AQ276" s="187"/>
      <c r="AR276" s="89"/>
      <c r="AS276" s="90"/>
      <c r="AT276" s="118"/>
      <c r="AU276" s="118"/>
      <c r="AV276" s="118"/>
      <c r="AW276" s="118"/>
      <c r="AX276" s="33"/>
      <c r="AY276" s="33"/>
      <c r="AZ276" s="82"/>
      <c r="BA276" s="82"/>
      <c r="BB276" s="82"/>
      <c r="BC276" s="691"/>
    </row>
    <row r="277" spans="1:55" x14ac:dyDescent="0.25">
      <c r="A277" s="68"/>
      <c r="B277" s="91"/>
      <c r="C277" s="290"/>
      <c r="D277" s="76"/>
      <c r="E277" s="76"/>
      <c r="F277" s="15"/>
      <c r="G277" s="15"/>
      <c r="H277" s="15"/>
      <c r="I277" s="15"/>
      <c r="J277" s="78"/>
      <c r="K277" s="78"/>
      <c r="L277" s="16"/>
      <c r="M277" s="16"/>
      <c r="N277" s="16"/>
      <c r="O277" s="16"/>
      <c r="P277" s="80"/>
      <c r="Q277" s="80"/>
      <c r="R277" s="17"/>
      <c r="S277" s="17"/>
      <c r="T277" s="17"/>
      <c r="U277" s="17"/>
      <c r="V277" s="117"/>
      <c r="W277" s="117"/>
      <c r="X277" s="82"/>
      <c r="Y277" s="82"/>
      <c r="Z277" s="82"/>
      <c r="AA277" s="82"/>
      <c r="AB277" s="18"/>
      <c r="AC277" s="18"/>
      <c r="AD277" s="86"/>
      <c r="AE277" s="86"/>
      <c r="AF277" s="84"/>
      <c r="AG277" s="84"/>
      <c r="AH277" s="41"/>
      <c r="AI277" s="41"/>
      <c r="AJ277" s="41"/>
      <c r="AK277" s="41"/>
      <c r="AL277" s="185"/>
      <c r="AM277" s="185"/>
      <c r="AN277" s="187"/>
      <c r="AO277" s="187"/>
      <c r="AP277" s="187"/>
      <c r="AQ277" s="187"/>
      <c r="AR277" s="89"/>
      <c r="AS277" s="90"/>
      <c r="AT277" s="118"/>
      <c r="AU277" s="118"/>
      <c r="AV277" s="118"/>
      <c r="AW277" s="118"/>
      <c r="AX277" s="33"/>
      <c r="AY277" s="33"/>
      <c r="AZ277" s="82"/>
      <c r="BA277" s="82"/>
      <c r="BB277" s="82"/>
      <c r="BC277" s="691"/>
    </row>
    <row r="278" spans="1:55" x14ac:dyDescent="0.25">
      <c r="A278" s="68"/>
      <c r="B278" s="91"/>
      <c r="C278" s="290"/>
      <c r="D278" s="76"/>
      <c r="E278" s="76"/>
      <c r="F278" s="15"/>
      <c r="G278" s="15"/>
      <c r="H278" s="15"/>
      <c r="I278" s="15"/>
      <c r="J278" s="78"/>
      <c r="K278" s="78"/>
      <c r="L278" s="16"/>
      <c r="M278" s="16"/>
      <c r="N278" s="16"/>
      <c r="O278" s="16"/>
      <c r="P278" s="80"/>
      <c r="Q278" s="80"/>
      <c r="R278" s="17"/>
      <c r="S278" s="17"/>
      <c r="T278" s="17"/>
      <c r="U278" s="17"/>
      <c r="V278" s="117"/>
      <c r="W278" s="117"/>
      <c r="X278" s="82"/>
      <c r="Y278" s="82"/>
      <c r="Z278" s="82"/>
      <c r="AA278" s="82"/>
      <c r="AB278" s="18"/>
      <c r="AC278" s="18"/>
      <c r="AD278" s="86"/>
      <c r="AE278" s="86"/>
      <c r="AF278" s="84"/>
      <c r="AG278" s="84"/>
      <c r="AH278" s="41"/>
      <c r="AI278" s="41"/>
      <c r="AJ278" s="41"/>
      <c r="AK278" s="41"/>
      <c r="AL278" s="185"/>
      <c r="AM278" s="185"/>
      <c r="AN278" s="187"/>
      <c r="AO278" s="187"/>
      <c r="AP278" s="187"/>
      <c r="AQ278" s="187"/>
      <c r="AR278" s="89"/>
      <c r="AS278" s="90"/>
      <c r="AT278" s="118"/>
      <c r="AU278" s="118"/>
      <c r="AV278" s="118"/>
      <c r="AW278" s="118"/>
      <c r="AX278" s="33"/>
      <c r="AY278" s="33"/>
      <c r="AZ278" s="82"/>
      <c r="BA278" s="82"/>
      <c r="BB278" s="82"/>
      <c r="BC278" s="691"/>
    </row>
    <row r="279" spans="1:55" x14ac:dyDescent="0.25">
      <c r="A279" s="68"/>
      <c r="B279" s="91"/>
      <c r="C279" s="263"/>
      <c r="D279" s="76"/>
      <c r="E279" s="76"/>
      <c r="F279" s="15"/>
      <c r="G279" s="15"/>
      <c r="H279" s="15"/>
      <c r="I279" s="15"/>
      <c r="J279" s="78"/>
      <c r="K279" s="78"/>
      <c r="L279" s="16"/>
      <c r="M279" s="16"/>
      <c r="N279" s="16"/>
      <c r="O279" s="16"/>
      <c r="P279" s="80"/>
      <c r="Q279" s="80"/>
      <c r="R279" s="17"/>
      <c r="S279" s="17"/>
      <c r="T279" s="17"/>
      <c r="U279" s="17"/>
      <c r="V279" s="117"/>
      <c r="W279" s="117"/>
      <c r="X279" s="82"/>
      <c r="Y279" s="82"/>
      <c r="Z279" s="82"/>
      <c r="AA279" s="82"/>
      <c r="AB279" s="18"/>
      <c r="AC279" s="18"/>
      <c r="AD279" s="86"/>
      <c r="AE279" s="86"/>
      <c r="AF279" s="84"/>
      <c r="AG279" s="84"/>
      <c r="AH279" s="41"/>
      <c r="AI279" s="41"/>
      <c r="AJ279" s="41"/>
      <c r="AK279" s="41"/>
      <c r="AL279" s="185"/>
      <c r="AM279" s="185"/>
      <c r="AN279" s="187"/>
      <c r="AO279" s="187"/>
      <c r="AP279" s="187"/>
      <c r="AQ279" s="187"/>
      <c r="AR279" s="89"/>
      <c r="AS279" s="90"/>
      <c r="AT279" s="118"/>
      <c r="AU279" s="118"/>
      <c r="AV279" s="118"/>
      <c r="AW279" s="118"/>
      <c r="AX279" s="33"/>
      <c r="AY279" s="33"/>
      <c r="AZ279" s="82"/>
      <c r="BA279" s="82"/>
      <c r="BB279" s="82"/>
      <c r="BC279" s="691"/>
    </row>
    <row r="280" spans="1:55" x14ac:dyDescent="0.25">
      <c r="A280" s="68"/>
      <c r="B280" s="91"/>
      <c r="C280" s="263"/>
      <c r="D280" s="76"/>
      <c r="E280" s="76"/>
      <c r="F280" s="15"/>
      <c r="G280" s="15"/>
      <c r="H280" s="15"/>
      <c r="I280" s="15"/>
      <c r="J280" s="78"/>
      <c r="K280" s="78"/>
      <c r="L280" s="16"/>
      <c r="M280" s="16"/>
      <c r="N280" s="16"/>
      <c r="O280" s="16"/>
      <c r="P280" s="80"/>
      <c r="Q280" s="80"/>
      <c r="R280" s="17"/>
      <c r="S280" s="17"/>
      <c r="T280" s="17"/>
      <c r="U280" s="17"/>
      <c r="V280" s="117"/>
      <c r="W280" s="117"/>
      <c r="X280" s="82"/>
      <c r="Y280" s="82"/>
      <c r="Z280" s="82"/>
      <c r="AA280" s="82"/>
      <c r="AB280" s="18"/>
      <c r="AC280" s="18"/>
      <c r="AD280" s="86"/>
      <c r="AE280" s="86"/>
      <c r="AF280" s="84"/>
      <c r="AG280" s="84"/>
      <c r="AH280" s="41"/>
      <c r="AI280" s="41"/>
      <c r="AJ280" s="41"/>
      <c r="AK280" s="41"/>
      <c r="AL280" s="185"/>
      <c r="AM280" s="185"/>
      <c r="AN280" s="187"/>
      <c r="AO280" s="187"/>
      <c r="AP280" s="187"/>
      <c r="AQ280" s="187"/>
      <c r="AR280" s="89"/>
      <c r="AS280" s="90"/>
      <c r="AT280" s="118"/>
      <c r="AU280" s="118"/>
      <c r="AV280" s="118"/>
      <c r="AW280" s="118"/>
      <c r="AX280" s="33"/>
      <c r="AY280" s="33"/>
      <c r="AZ280" s="82"/>
      <c r="BA280" s="82"/>
      <c r="BB280" s="82"/>
      <c r="BC280" s="691"/>
    </row>
    <row r="281" spans="1:55" x14ac:dyDescent="0.25">
      <c r="A281" s="68"/>
      <c r="B281" s="91"/>
      <c r="C281" s="263"/>
      <c r="D281" s="76"/>
      <c r="E281" s="76"/>
      <c r="F281" s="15"/>
      <c r="G281" s="15"/>
      <c r="H281" s="15"/>
      <c r="I281" s="15"/>
      <c r="J281" s="78"/>
      <c r="K281" s="78"/>
      <c r="L281" s="16"/>
      <c r="M281" s="16"/>
      <c r="N281" s="16"/>
      <c r="O281" s="16"/>
      <c r="P281" s="80"/>
      <c r="Q281" s="80"/>
      <c r="R281" s="17"/>
      <c r="S281" s="17"/>
      <c r="T281" s="17"/>
      <c r="U281" s="17"/>
      <c r="V281" s="117"/>
      <c r="W281" s="117"/>
      <c r="X281" s="82"/>
      <c r="Y281" s="82"/>
      <c r="Z281" s="82"/>
      <c r="AA281" s="82"/>
      <c r="AB281" s="18"/>
      <c r="AC281" s="18"/>
      <c r="AD281" s="86"/>
      <c r="AE281" s="86"/>
      <c r="AF281" s="84"/>
      <c r="AG281" s="84"/>
      <c r="AH281" s="41"/>
      <c r="AI281" s="41"/>
      <c r="AJ281" s="41"/>
      <c r="AK281" s="41"/>
      <c r="AL281" s="185"/>
      <c r="AM281" s="185"/>
      <c r="AN281" s="187"/>
      <c r="AO281" s="187"/>
      <c r="AP281" s="187"/>
      <c r="AQ281" s="187"/>
      <c r="AR281" s="89"/>
      <c r="AS281" s="90"/>
      <c r="AT281" s="118"/>
      <c r="AU281" s="118"/>
      <c r="AV281" s="118"/>
      <c r="AW281" s="118"/>
      <c r="AX281" s="33"/>
      <c r="AY281" s="33"/>
      <c r="AZ281" s="82"/>
      <c r="BA281" s="82"/>
      <c r="BB281" s="82"/>
      <c r="BC281" s="691"/>
    </row>
    <row r="282" spans="1:55" x14ac:dyDescent="0.25">
      <c r="A282" s="68"/>
      <c r="B282" s="91"/>
      <c r="C282" s="263"/>
      <c r="D282" s="76"/>
      <c r="E282" s="76"/>
      <c r="F282" s="15"/>
      <c r="G282" s="15"/>
      <c r="H282" s="15"/>
      <c r="I282" s="15"/>
      <c r="J282" s="78"/>
      <c r="K282" s="78"/>
      <c r="L282" s="16"/>
      <c r="M282" s="16"/>
      <c r="N282" s="16"/>
      <c r="O282" s="16"/>
      <c r="P282" s="80"/>
      <c r="Q282" s="80"/>
      <c r="R282" s="17"/>
      <c r="S282" s="17"/>
      <c r="T282" s="17"/>
      <c r="U282" s="17"/>
      <c r="V282" s="117"/>
      <c r="W282" s="117"/>
      <c r="X282" s="82"/>
      <c r="Y282" s="82"/>
      <c r="Z282" s="82"/>
      <c r="AA282" s="82"/>
      <c r="AB282" s="18"/>
      <c r="AC282" s="18"/>
      <c r="AD282" s="86"/>
      <c r="AE282" s="86"/>
      <c r="AF282" s="84"/>
      <c r="AG282" s="84"/>
      <c r="AH282" s="41"/>
      <c r="AI282" s="41"/>
      <c r="AJ282" s="41"/>
      <c r="AK282" s="41"/>
      <c r="AL282" s="185"/>
      <c r="AM282" s="185"/>
      <c r="AN282" s="187"/>
      <c r="AO282" s="187"/>
      <c r="AP282" s="187"/>
      <c r="AQ282" s="187"/>
      <c r="AR282" s="89"/>
      <c r="AS282" s="90"/>
      <c r="AT282" s="118"/>
      <c r="AU282" s="118"/>
      <c r="AV282" s="118"/>
      <c r="AW282" s="118"/>
      <c r="AX282" s="33"/>
      <c r="AY282" s="33"/>
      <c r="AZ282" s="82"/>
      <c r="BA282" s="82"/>
      <c r="BB282" s="82"/>
      <c r="BC282" s="691"/>
    </row>
    <row r="283" spans="1:55" x14ac:dyDescent="0.25">
      <c r="A283" s="68"/>
      <c r="B283" s="91"/>
      <c r="C283" s="263"/>
      <c r="D283" s="76"/>
      <c r="E283" s="76"/>
      <c r="F283" s="15"/>
      <c r="G283" s="15"/>
      <c r="H283" s="15"/>
      <c r="I283" s="15"/>
      <c r="J283" s="78"/>
      <c r="K283" s="78"/>
      <c r="L283" s="16"/>
      <c r="M283" s="16"/>
      <c r="N283" s="16"/>
      <c r="O283" s="16"/>
      <c r="P283" s="80"/>
      <c r="Q283" s="80"/>
      <c r="R283" s="17"/>
      <c r="S283" s="17"/>
      <c r="T283" s="17"/>
      <c r="U283" s="17"/>
      <c r="V283" s="208"/>
      <c r="W283" s="208"/>
      <c r="X283" s="82"/>
      <c r="Y283" s="82"/>
      <c r="Z283" s="82"/>
      <c r="AA283" s="82"/>
      <c r="AB283" s="18"/>
      <c r="AC283" s="18"/>
      <c r="AD283" s="86"/>
      <c r="AE283" s="86"/>
      <c r="AF283" s="84"/>
      <c r="AG283" s="84"/>
      <c r="AH283" s="41"/>
      <c r="AI283" s="41"/>
      <c r="AJ283" s="41"/>
      <c r="AK283" s="41"/>
      <c r="AL283" s="185"/>
      <c r="AM283" s="185"/>
      <c r="AN283" s="187"/>
      <c r="AO283" s="187"/>
      <c r="AP283" s="187"/>
      <c r="AQ283" s="187"/>
      <c r="AR283" s="89"/>
      <c r="AS283" s="90"/>
      <c r="AT283" s="209"/>
      <c r="AU283" s="209"/>
      <c r="AV283" s="209"/>
      <c r="AW283" s="209"/>
      <c r="AX283" s="33"/>
      <c r="AY283" s="33"/>
      <c r="AZ283" s="82"/>
      <c r="BA283" s="82"/>
      <c r="BB283" s="82"/>
      <c r="BC283" s="691"/>
    </row>
    <row r="284" spans="1:55" x14ac:dyDescent="0.25">
      <c r="A284" s="68"/>
      <c r="B284" s="91"/>
      <c r="C284" s="263"/>
      <c r="D284" s="76"/>
      <c r="E284" s="76"/>
      <c r="F284" s="15"/>
      <c r="G284" s="15"/>
      <c r="H284" s="15"/>
      <c r="I284" s="15"/>
      <c r="J284" s="78"/>
      <c r="K284" s="78"/>
      <c r="L284" s="16"/>
      <c r="M284" s="16"/>
      <c r="N284" s="16"/>
      <c r="O284" s="16"/>
      <c r="P284" s="80"/>
      <c r="Q284" s="80"/>
      <c r="R284" s="17"/>
      <c r="S284" s="17"/>
      <c r="T284" s="17"/>
      <c r="U284" s="17"/>
      <c r="V284" s="117"/>
      <c r="W284" s="117"/>
      <c r="X284" s="82"/>
      <c r="Y284" s="82"/>
      <c r="Z284" s="82"/>
      <c r="AA284" s="82"/>
      <c r="AB284" s="18"/>
      <c r="AC284" s="18"/>
      <c r="AD284" s="86"/>
      <c r="AE284" s="86"/>
      <c r="AF284" s="84"/>
      <c r="AG284" s="84"/>
      <c r="AH284" s="41"/>
      <c r="AI284" s="41"/>
      <c r="AJ284" s="41"/>
      <c r="AK284" s="41"/>
      <c r="AL284" s="185"/>
      <c r="AM284" s="185"/>
      <c r="AN284" s="187"/>
      <c r="AO284" s="187"/>
      <c r="AP284" s="187"/>
      <c r="AQ284" s="187"/>
      <c r="AR284" s="89"/>
      <c r="AS284" s="90"/>
      <c r="AT284" s="118"/>
      <c r="AU284" s="118"/>
      <c r="AV284" s="118"/>
      <c r="AW284" s="118"/>
      <c r="AX284" s="33"/>
      <c r="AY284" s="33"/>
      <c r="AZ284" s="82"/>
      <c r="BA284" s="82"/>
      <c r="BB284" s="82"/>
      <c r="BC284" s="691"/>
    </row>
    <row r="285" spans="1:55" x14ac:dyDescent="0.25">
      <c r="A285" s="68"/>
      <c r="B285" s="91"/>
      <c r="C285" s="263"/>
      <c r="D285" s="76"/>
      <c r="E285" s="76"/>
      <c r="F285" s="15"/>
      <c r="G285" s="15"/>
      <c r="H285" s="15"/>
      <c r="I285" s="15"/>
      <c r="J285" s="78"/>
      <c r="K285" s="78"/>
      <c r="L285" s="16"/>
      <c r="M285" s="16"/>
      <c r="N285" s="16"/>
      <c r="O285" s="16"/>
      <c r="P285" s="80"/>
      <c r="Q285" s="80"/>
      <c r="R285" s="17"/>
      <c r="S285" s="17"/>
      <c r="T285" s="17"/>
      <c r="U285" s="17"/>
      <c r="V285" s="117"/>
      <c r="W285" s="117"/>
      <c r="X285" s="82"/>
      <c r="Y285" s="82"/>
      <c r="Z285" s="82"/>
      <c r="AA285" s="82"/>
      <c r="AB285" s="18"/>
      <c r="AC285" s="18"/>
      <c r="AD285" s="86"/>
      <c r="AE285" s="86"/>
      <c r="AF285" s="84"/>
      <c r="AG285" s="84"/>
      <c r="AH285" s="41"/>
      <c r="AI285" s="41"/>
      <c r="AJ285" s="41"/>
      <c r="AK285" s="41"/>
      <c r="AL285" s="185"/>
      <c r="AM285" s="185"/>
      <c r="AN285" s="187"/>
      <c r="AO285" s="187"/>
      <c r="AP285" s="187"/>
      <c r="AQ285" s="187"/>
      <c r="AR285" s="89"/>
      <c r="AS285" s="90"/>
      <c r="AT285" s="118"/>
      <c r="AU285" s="118"/>
      <c r="AV285" s="118"/>
      <c r="AW285" s="118"/>
      <c r="AX285" s="33"/>
      <c r="AY285" s="33"/>
      <c r="AZ285" s="82"/>
      <c r="BA285" s="82"/>
      <c r="BB285" s="82"/>
      <c r="BC285" s="691"/>
    </row>
    <row r="286" spans="1:55" x14ac:dyDescent="0.25">
      <c r="A286" s="68"/>
      <c r="B286" s="91"/>
      <c r="C286" s="263"/>
      <c r="D286" s="76"/>
      <c r="E286" s="76"/>
      <c r="F286" s="15"/>
      <c r="G286" s="15"/>
      <c r="H286" s="15"/>
      <c r="I286" s="15"/>
      <c r="J286" s="78"/>
      <c r="K286" s="78"/>
      <c r="L286" s="16"/>
      <c r="M286" s="16"/>
      <c r="N286" s="16"/>
      <c r="O286" s="16"/>
      <c r="P286" s="80"/>
      <c r="Q286" s="80"/>
      <c r="R286" s="17"/>
      <c r="S286" s="17"/>
      <c r="T286" s="17"/>
      <c r="U286" s="17"/>
      <c r="V286" s="117"/>
      <c r="W286" s="117"/>
      <c r="X286" s="82"/>
      <c r="Y286" s="82"/>
      <c r="Z286" s="82"/>
      <c r="AA286" s="82"/>
      <c r="AB286" s="18"/>
      <c r="AC286" s="18"/>
      <c r="AD286" s="86"/>
      <c r="AE286" s="86"/>
      <c r="AF286" s="84"/>
      <c r="AG286" s="84"/>
      <c r="AH286" s="41"/>
      <c r="AI286" s="41"/>
      <c r="AJ286" s="41"/>
      <c r="AK286" s="41"/>
      <c r="AL286" s="185"/>
      <c r="AM286" s="185"/>
      <c r="AN286" s="187"/>
      <c r="AO286" s="187"/>
      <c r="AP286" s="187"/>
      <c r="AQ286" s="187"/>
      <c r="AR286" s="89"/>
      <c r="AS286" s="90"/>
      <c r="AT286" s="118"/>
      <c r="AU286" s="118"/>
      <c r="AV286" s="118"/>
      <c r="AW286" s="118"/>
      <c r="AX286" s="33"/>
      <c r="AY286" s="33"/>
      <c r="AZ286" s="82"/>
      <c r="BA286" s="82"/>
      <c r="BB286" s="82"/>
      <c r="BC286" s="691"/>
    </row>
    <row r="287" spans="1:55" x14ac:dyDescent="0.25">
      <c r="A287" s="68"/>
      <c r="B287" s="91"/>
      <c r="C287" s="263"/>
      <c r="D287" s="76"/>
      <c r="E287" s="76"/>
      <c r="F287" s="15"/>
      <c r="G287" s="15"/>
      <c r="H287" s="15"/>
      <c r="I287" s="15"/>
      <c r="J287" s="78"/>
      <c r="K287" s="78"/>
      <c r="L287" s="16"/>
      <c r="M287" s="16"/>
      <c r="N287" s="16"/>
      <c r="O287" s="16"/>
      <c r="P287" s="80"/>
      <c r="Q287" s="80"/>
      <c r="R287" s="17"/>
      <c r="S287" s="17"/>
      <c r="T287" s="17"/>
      <c r="U287" s="17"/>
      <c r="V287" s="253"/>
      <c r="W287" s="253"/>
      <c r="X287" s="82"/>
      <c r="Y287" s="82"/>
      <c r="Z287" s="82"/>
      <c r="AA287" s="82"/>
      <c r="AB287" s="18"/>
      <c r="AC287" s="18"/>
      <c r="AD287" s="86"/>
      <c r="AE287" s="86"/>
      <c r="AF287" s="84"/>
      <c r="AG287" s="84"/>
      <c r="AH287" s="41"/>
      <c r="AI287" s="41"/>
      <c r="AJ287" s="41"/>
      <c r="AK287" s="41"/>
      <c r="AL287" s="185"/>
      <c r="AM287" s="185"/>
      <c r="AN287" s="187"/>
      <c r="AO287" s="187"/>
      <c r="AP287" s="187"/>
      <c r="AQ287" s="187"/>
      <c r="AR287" s="89"/>
      <c r="AS287" s="90"/>
      <c r="AT287" s="254"/>
      <c r="AU287" s="254"/>
      <c r="AV287" s="254"/>
      <c r="AW287" s="254"/>
      <c r="AX287" s="33"/>
      <c r="AY287" s="33"/>
      <c r="AZ287" s="82"/>
      <c r="BA287" s="82"/>
      <c r="BB287" s="82"/>
      <c r="BC287" s="691"/>
    </row>
    <row r="288" spans="1:55" x14ac:dyDescent="0.25">
      <c r="A288" s="68"/>
      <c r="B288" s="91"/>
      <c r="C288" s="263"/>
      <c r="D288" s="76"/>
      <c r="E288" s="76"/>
      <c r="F288" s="15"/>
      <c r="G288" s="15"/>
      <c r="H288" s="15"/>
      <c r="I288" s="15"/>
      <c r="J288" s="78"/>
      <c r="K288" s="78"/>
      <c r="L288" s="16"/>
      <c r="M288" s="16"/>
      <c r="N288" s="16"/>
      <c r="O288" s="16"/>
      <c r="P288" s="80"/>
      <c r="Q288" s="80"/>
      <c r="R288" s="17"/>
      <c r="S288" s="17"/>
      <c r="T288" s="17"/>
      <c r="U288" s="17"/>
      <c r="V288" s="117"/>
      <c r="W288" s="117"/>
      <c r="X288" s="82"/>
      <c r="Y288" s="82"/>
      <c r="Z288" s="82"/>
      <c r="AA288" s="82"/>
      <c r="AB288" s="18"/>
      <c r="AC288" s="18"/>
      <c r="AD288" s="86"/>
      <c r="AE288" s="86"/>
      <c r="AF288" s="84"/>
      <c r="AG288" s="84"/>
      <c r="AH288" s="41"/>
      <c r="AI288" s="41"/>
      <c r="AJ288" s="41"/>
      <c r="AK288" s="41"/>
      <c r="AL288" s="185"/>
      <c r="AM288" s="185"/>
      <c r="AN288" s="187"/>
      <c r="AO288" s="187"/>
      <c r="AP288" s="187"/>
      <c r="AQ288" s="187"/>
      <c r="AR288" s="89"/>
      <c r="AS288" s="90"/>
      <c r="AT288" s="118"/>
      <c r="AU288" s="118"/>
      <c r="AV288" s="118"/>
      <c r="AW288" s="118"/>
      <c r="AX288" s="33"/>
      <c r="AY288" s="33"/>
      <c r="AZ288" s="82"/>
      <c r="BA288" s="82"/>
      <c r="BB288" s="82"/>
      <c r="BC288" s="691"/>
    </row>
    <row r="289" spans="1:55" x14ac:dyDescent="0.25">
      <c r="A289" s="68"/>
      <c r="B289" s="91"/>
      <c r="C289" s="263"/>
      <c r="D289" s="76"/>
      <c r="E289" s="76"/>
      <c r="F289" s="15"/>
      <c r="G289" s="15"/>
      <c r="H289" s="15"/>
      <c r="I289" s="15"/>
      <c r="J289" s="78"/>
      <c r="K289" s="78"/>
      <c r="L289" s="16"/>
      <c r="M289" s="16"/>
      <c r="N289" s="16"/>
      <c r="O289" s="16"/>
      <c r="P289" s="80"/>
      <c r="Q289" s="80"/>
      <c r="R289" s="17"/>
      <c r="S289" s="17"/>
      <c r="T289" s="17"/>
      <c r="U289" s="17"/>
      <c r="V289" s="117"/>
      <c r="W289" s="117"/>
      <c r="X289" s="82"/>
      <c r="Y289" s="82"/>
      <c r="Z289" s="82"/>
      <c r="AA289" s="82"/>
      <c r="AB289" s="18"/>
      <c r="AC289" s="18"/>
      <c r="AD289" s="86"/>
      <c r="AE289" s="86"/>
      <c r="AF289" s="84"/>
      <c r="AG289" s="84"/>
      <c r="AH289" s="41"/>
      <c r="AI289" s="41"/>
      <c r="AJ289" s="41"/>
      <c r="AK289" s="41"/>
      <c r="AL289" s="185"/>
      <c r="AM289" s="185"/>
      <c r="AN289" s="187"/>
      <c r="AO289" s="187"/>
      <c r="AP289" s="187"/>
      <c r="AQ289" s="187"/>
      <c r="AR289" s="89"/>
      <c r="AS289" s="90"/>
      <c r="AT289" s="118"/>
      <c r="AU289" s="118"/>
      <c r="AV289" s="118"/>
      <c r="AW289" s="118"/>
      <c r="AX289" s="33"/>
      <c r="AY289" s="33"/>
      <c r="AZ289" s="82"/>
      <c r="BA289" s="82"/>
      <c r="BB289" s="82"/>
      <c r="BC289" s="691"/>
    </row>
    <row r="290" spans="1:55" x14ac:dyDescent="0.25">
      <c r="A290" s="68"/>
      <c r="B290" s="91"/>
      <c r="C290" s="263"/>
      <c r="D290" s="76"/>
      <c r="E290" s="76"/>
      <c r="F290" s="15"/>
      <c r="G290" s="15"/>
      <c r="H290" s="15"/>
      <c r="I290" s="15"/>
      <c r="J290" s="78"/>
      <c r="K290" s="78"/>
      <c r="L290" s="16"/>
      <c r="M290" s="16"/>
      <c r="N290" s="16"/>
      <c r="O290" s="16"/>
      <c r="P290" s="80"/>
      <c r="Q290" s="80"/>
      <c r="R290" s="17"/>
      <c r="S290" s="17"/>
      <c r="T290" s="17"/>
      <c r="U290" s="17"/>
      <c r="V290" s="117"/>
      <c r="W290" s="117"/>
      <c r="X290" s="82"/>
      <c r="Y290" s="82"/>
      <c r="Z290" s="82"/>
      <c r="AA290" s="82"/>
      <c r="AB290" s="18"/>
      <c r="AC290" s="18"/>
      <c r="AD290" s="86"/>
      <c r="AE290" s="86"/>
      <c r="AF290" s="84"/>
      <c r="AG290" s="84"/>
      <c r="AH290" s="41"/>
      <c r="AI290" s="41"/>
      <c r="AJ290" s="41"/>
      <c r="AK290" s="41"/>
      <c r="AL290" s="185"/>
      <c r="AM290" s="185"/>
      <c r="AN290" s="187"/>
      <c r="AO290" s="187"/>
      <c r="AP290" s="187"/>
      <c r="AQ290" s="187"/>
      <c r="AR290" s="89"/>
      <c r="AS290" s="90"/>
      <c r="AT290" s="118"/>
      <c r="AU290" s="118"/>
      <c r="AV290" s="118"/>
      <c r="AW290" s="118"/>
      <c r="AX290" s="33"/>
      <c r="AY290" s="33"/>
      <c r="AZ290" s="82"/>
      <c r="BA290" s="82"/>
      <c r="BB290" s="82"/>
      <c r="BC290" s="691"/>
    </row>
    <row r="291" spans="1:55" x14ac:dyDescent="0.25">
      <c r="A291" s="68"/>
      <c r="B291" s="91"/>
      <c r="C291" s="263"/>
      <c r="D291" s="76"/>
      <c r="E291" s="76"/>
      <c r="F291" s="15"/>
      <c r="G291" s="15"/>
      <c r="H291" s="15"/>
      <c r="I291" s="15"/>
      <c r="J291" s="78"/>
      <c r="K291" s="78"/>
      <c r="L291" s="16"/>
      <c r="M291" s="16"/>
      <c r="N291" s="16"/>
      <c r="O291" s="16"/>
      <c r="P291" s="80"/>
      <c r="Q291" s="80"/>
      <c r="R291" s="17"/>
      <c r="S291" s="17"/>
      <c r="T291" s="17"/>
      <c r="U291" s="17"/>
      <c r="V291" s="117"/>
      <c r="W291" s="117"/>
      <c r="X291" s="82"/>
      <c r="Y291" s="82"/>
      <c r="Z291" s="82"/>
      <c r="AA291" s="82"/>
      <c r="AB291" s="18"/>
      <c r="AC291" s="18"/>
      <c r="AD291" s="86"/>
      <c r="AE291" s="86"/>
      <c r="AF291" s="84"/>
      <c r="AG291" s="84"/>
      <c r="AH291" s="41"/>
      <c r="AI291" s="41"/>
      <c r="AJ291" s="41"/>
      <c r="AK291" s="41"/>
      <c r="AL291" s="185"/>
      <c r="AM291" s="185"/>
      <c r="AN291" s="187"/>
      <c r="AO291" s="187"/>
      <c r="AP291" s="187"/>
      <c r="AQ291" s="187"/>
      <c r="AR291" s="89"/>
      <c r="AS291" s="90"/>
      <c r="AT291" s="118"/>
      <c r="AU291" s="118"/>
      <c r="AV291" s="118"/>
      <c r="AW291" s="118"/>
      <c r="AX291" s="33"/>
      <c r="AY291" s="33"/>
      <c r="AZ291" s="82"/>
      <c r="BA291" s="82"/>
      <c r="BB291" s="82"/>
      <c r="BC291" s="691"/>
    </row>
    <row r="292" spans="1:55" x14ac:dyDescent="0.25">
      <c r="A292" s="68"/>
      <c r="B292" s="91"/>
      <c r="C292" s="263"/>
      <c r="D292" s="76"/>
      <c r="E292" s="76"/>
      <c r="F292" s="15"/>
      <c r="G292" s="15"/>
      <c r="H292" s="15"/>
      <c r="I292" s="15"/>
      <c r="J292" s="78"/>
      <c r="K292" s="78"/>
      <c r="L292" s="16"/>
      <c r="M292" s="16"/>
      <c r="N292" s="16"/>
      <c r="O292" s="16"/>
      <c r="P292" s="80"/>
      <c r="Q292" s="80"/>
      <c r="R292" s="17"/>
      <c r="S292" s="17"/>
      <c r="T292" s="17"/>
      <c r="U292" s="17"/>
      <c r="V292" s="117"/>
      <c r="W292" s="117"/>
      <c r="X292" s="82"/>
      <c r="Y292" s="82"/>
      <c r="Z292" s="82"/>
      <c r="AA292" s="82"/>
      <c r="AB292" s="18"/>
      <c r="AC292" s="18"/>
      <c r="AD292" s="86"/>
      <c r="AE292" s="86"/>
      <c r="AF292" s="84"/>
      <c r="AG292" s="84"/>
      <c r="AH292" s="41"/>
      <c r="AI292" s="41"/>
      <c r="AJ292" s="41"/>
      <c r="AK292" s="41"/>
      <c r="AL292" s="185"/>
      <c r="AM292" s="185"/>
      <c r="AN292" s="187"/>
      <c r="AO292" s="187"/>
      <c r="AP292" s="187"/>
      <c r="AQ292" s="187"/>
      <c r="AR292" s="89"/>
      <c r="AS292" s="90"/>
      <c r="AT292" s="118"/>
      <c r="AU292" s="118"/>
      <c r="AV292" s="118"/>
      <c r="AW292" s="118"/>
      <c r="AX292" s="33"/>
      <c r="AY292" s="33"/>
      <c r="AZ292" s="82"/>
      <c r="BA292" s="82"/>
      <c r="BB292" s="82"/>
      <c r="BC292" s="691"/>
    </row>
    <row r="293" spans="1:55" x14ac:dyDescent="0.25">
      <c r="A293" s="68"/>
      <c r="B293" s="91"/>
      <c r="C293" s="263"/>
      <c r="D293" s="76"/>
      <c r="E293" s="76"/>
      <c r="F293" s="15"/>
      <c r="G293" s="15"/>
      <c r="H293" s="15"/>
      <c r="I293" s="15"/>
      <c r="J293" s="78"/>
      <c r="K293" s="78"/>
      <c r="L293" s="16"/>
      <c r="M293" s="16"/>
      <c r="N293" s="16"/>
      <c r="O293" s="16"/>
      <c r="P293" s="80"/>
      <c r="Q293" s="80"/>
      <c r="R293" s="17"/>
      <c r="S293" s="17"/>
      <c r="T293" s="17"/>
      <c r="U293" s="17"/>
      <c r="V293" s="259"/>
      <c r="W293" s="259"/>
      <c r="X293" s="82"/>
      <c r="Y293" s="82"/>
      <c r="Z293" s="82"/>
      <c r="AA293" s="82"/>
      <c r="AB293" s="18"/>
      <c r="AC293" s="18"/>
      <c r="AD293" s="86"/>
      <c r="AE293" s="86"/>
      <c r="AF293" s="84"/>
      <c r="AG293" s="84"/>
      <c r="AH293" s="41"/>
      <c r="AI293" s="41"/>
      <c r="AJ293" s="41"/>
      <c r="AK293" s="41"/>
      <c r="AL293" s="185"/>
      <c r="AM293" s="185"/>
      <c r="AN293" s="187"/>
      <c r="AO293" s="187"/>
      <c r="AP293" s="187"/>
      <c r="AQ293" s="187"/>
      <c r="AR293" s="89"/>
      <c r="AS293" s="90"/>
      <c r="AT293" s="260"/>
      <c r="AU293" s="260"/>
      <c r="AV293" s="260"/>
      <c r="AW293" s="260"/>
      <c r="AX293" s="33"/>
      <c r="AY293" s="33"/>
      <c r="AZ293" s="82"/>
      <c r="BA293" s="82"/>
      <c r="BB293" s="82"/>
      <c r="BC293" s="691"/>
    </row>
    <row r="294" spans="1:55" x14ac:dyDescent="0.25">
      <c r="A294" s="68"/>
      <c r="B294" s="91"/>
      <c r="C294" s="263"/>
      <c r="D294" s="76"/>
      <c r="E294" s="76"/>
      <c r="F294" s="15"/>
      <c r="G294" s="15"/>
      <c r="H294" s="15"/>
      <c r="I294" s="15"/>
      <c r="J294" s="78"/>
      <c r="K294" s="78"/>
      <c r="L294" s="16"/>
      <c r="M294" s="16"/>
      <c r="N294" s="16"/>
      <c r="O294" s="16"/>
      <c r="P294" s="80"/>
      <c r="Q294" s="80"/>
      <c r="R294" s="17"/>
      <c r="S294" s="17"/>
      <c r="T294" s="17"/>
      <c r="U294" s="17"/>
      <c r="V294" s="210"/>
      <c r="W294" s="210"/>
      <c r="X294" s="82"/>
      <c r="Y294" s="82"/>
      <c r="Z294" s="82"/>
      <c r="AA294" s="82"/>
      <c r="AB294" s="18"/>
      <c r="AC294" s="18"/>
      <c r="AD294" s="86"/>
      <c r="AE294" s="86"/>
      <c r="AF294" s="84"/>
      <c r="AG294" s="84"/>
      <c r="AH294" s="41"/>
      <c r="AI294" s="41"/>
      <c r="AJ294" s="41"/>
      <c r="AK294" s="41"/>
      <c r="AL294" s="185"/>
      <c r="AM294" s="185"/>
      <c r="AN294" s="187"/>
      <c r="AO294" s="187"/>
      <c r="AP294" s="187"/>
      <c r="AQ294" s="187"/>
      <c r="AR294" s="89"/>
      <c r="AS294" s="90"/>
      <c r="AT294" s="211"/>
      <c r="AU294" s="211"/>
      <c r="AV294" s="211"/>
      <c r="AW294" s="211"/>
      <c r="AX294" s="33"/>
      <c r="AY294" s="33"/>
      <c r="AZ294" s="82"/>
      <c r="BA294" s="82"/>
      <c r="BB294" s="82"/>
      <c r="BC294" s="691"/>
    </row>
    <row r="295" spans="1:55" x14ac:dyDescent="0.25">
      <c r="A295" s="68"/>
      <c r="B295" s="91"/>
      <c r="C295" s="263"/>
      <c r="D295" s="76"/>
      <c r="E295" s="76"/>
      <c r="F295" s="15"/>
      <c r="G295" s="15"/>
      <c r="H295" s="15"/>
      <c r="I295" s="15"/>
      <c r="J295" s="78"/>
      <c r="K295" s="78"/>
      <c r="L295" s="16"/>
      <c r="M295" s="16"/>
      <c r="N295" s="16"/>
      <c r="O295" s="16"/>
      <c r="P295" s="80"/>
      <c r="Q295" s="80"/>
      <c r="R295" s="17"/>
      <c r="S295" s="17"/>
      <c r="T295" s="17"/>
      <c r="U295" s="17"/>
      <c r="V295" s="117"/>
      <c r="W295" s="117"/>
      <c r="X295" s="82"/>
      <c r="Y295" s="82"/>
      <c r="Z295" s="82"/>
      <c r="AA295" s="82"/>
      <c r="AB295" s="18"/>
      <c r="AC295" s="18"/>
      <c r="AD295" s="86"/>
      <c r="AE295" s="86"/>
      <c r="AF295" s="84"/>
      <c r="AG295" s="84"/>
      <c r="AH295" s="41"/>
      <c r="AI295" s="41"/>
      <c r="AJ295" s="41"/>
      <c r="AK295" s="41"/>
      <c r="AL295" s="185"/>
      <c r="AM295" s="185"/>
      <c r="AN295" s="187"/>
      <c r="AO295" s="187"/>
      <c r="AP295" s="187"/>
      <c r="AQ295" s="187"/>
      <c r="AR295" s="89"/>
      <c r="AS295" s="90"/>
      <c r="AT295" s="118"/>
      <c r="AU295" s="118"/>
      <c r="AV295" s="118"/>
      <c r="AW295" s="118"/>
      <c r="AX295" s="33"/>
      <c r="AY295" s="33"/>
      <c r="AZ295" s="82"/>
      <c r="BA295" s="82"/>
      <c r="BB295" s="82"/>
      <c r="BC295" s="691"/>
    </row>
    <row r="296" spans="1:55" x14ac:dyDescent="0.25">
      <c r="A296" s="68"/>
      <c r="B296" s="91"/>
      <c r="C296" s="263"/>
      <c r="D296" s="76"/>
      <c r="E296" s="76"/>
      <c r="F296" s="15"/>
      <c r="G296" s="15"/>
      <c r="H296" s="15"/>
      <c r="I296" s="15"/>
      <c r="J296" s="78"/>
      <c r="K296" s="78"/>
      <c r="L296" s="16"/>
      <c r="M296" s="16"/>
      <c r="N296" s="16"/>
      <c r="O296" s="16"/>
      <c r="P296" s="80"/>
      <c r="Q296" s="80"/>
      <c r="R296" s="17"/>
      <c r="S296" s="17"/>
      <c r="T296" s="17"/>
      <c r="U296" s="17"/>
      <c r="V296" s="117"/>
      <c r="W296" s="117"/>
      <c r="X296" s="82"/>
      <c r="Y296" s="82"/>
      <c r="Z296" s="82"/>
      <c r="AA296" s="82"/>
      <c r="AB296" s="18"/>
      <c r="AC296" s="18"/>
      <c r="AD296" s="86"/>
      <c r="AE296" s="86"/>
      <c r="AF296" s="84"/>
      <c r="AG296" s="84"/>
      <c r="AH296" s="41"/>
      <c r="AI296" s="41"/>
      <c r="AJ296" s="41"/>
      <c r="AK296" s="41"/>
      <c r="AL296" s="185"/>
      <c r="AM296" s="185"/>
      <c r="AN296" s="187"/>
      <c r="AO296" s="187"/>
      <c r="AP296" s="187"/>
      <c r="AQ296" s="187"/>
      <c r="AR296" s="89"/>
      <c r="AS296" s="90"/>
      <c r="AT296" s="118"/>
      <c r="AU296" s="118"/>
      <c r="AV296" s="118"/>
      <c r="AW296" s="118"/>
      <c r="AX296" s="33"/>
      <c r="AY296" s="33"/>
      <c r="AZ296" s="82"/>
      <c r="BA296" s="82"/>
      <c r="BB296" s="82"/>
      <c r="BC296" s="691"/>
    </row>
    <row r="297" spans="1:55" x14ac:dyDescent="0.25">
      <c r="A297" s="68"/>
      <c r="B297" s="91"/>
      <c r="C297" s="263"/>
      <c r="D297" s="76"/>
      <c r="E297" s="76"/>
      <c r="F297" s="15"/>
      <c r="G297" s="15"/>
      <c r="H297" s="15"/>
      <c r="I297" s="15"/>
      <c r="J297" s="78"/>
      <c r="K297" s="78"/>
      <c r="L297" s="16"/>
      <c r="M297" s="16"/>
      <c r="N297" s="16"/>
      <c r="O297" s="16"/>
      <c r="P297" s="80"/>
      <c r="Q297" s="80"/>
      <c r="R297" s="17"/>
      <c r="S297" s="17"/>
      <c r="T297" s="17"/>
      <c r="U297" s="17"/>
      <c r="V297" s="117"/>
      <c r="W297" s="117"/>
      <c r="X297" s="82"/>
      <c r="Y297" s="82"/>
      <c r="Z297" s="82"/>
      <c r="AA297" s="82"/>
      <c r="AB297" s="18"/>
      <c r="AC297" s="18"/>
      <c r="AD297" s="86"/>
      <c r="AE297" s="86"/>
      <c r="AF297" s="84"/>
      <c r="AG297" s="84"/>
      <c r="AH297" s="41"/>
      <c r="AI297" s="41"/>
      <c r="AJ297" s="41"/>
      <c r="AK297" s="41"/>
      <c r="AL297" s="185"/>
      <c r="AM297" s="185"/>
      <c r="AN297" s="187"/>
      <c r="AO297" s="187"/>
      <c r="AP297" s="187"/>
      <c r="AQ297" s="187"/>
      <c r="AR297" s="89"/>
      <c r="AS297" s="90"/>
      <c r="AT297" s="118"/>
      <c r="AU297" s="118"/>
      <c r="AV297" s="118"/>
      <c r="AW297" s="118"/>
      <c r="AX297" s="33"/>
      <c r="AY297" s="33"/>
      <c r="AZ297" s="82"/>
      <c r="BA297" s="82"/>
      <c r="BB297" s="82"/>
      <c r="BC297" s="691"/>
    </row>
    <row r="298" spans="1:55" x14ac:dyDescent="0.25">
      <c r="A298" s="68"/>
      <c r="B298" s="91"/>
      <c r="C298" s="263"/>
      <c r="D298" s="76"/>
      <c r="E298" s="76"/>
      <c r="F298" s="15"/>
      <c r="G298" s="15"/>
      <c r="H298" s="15"/>
      <c r="I298" s="15"/>
      <c r="J298" s="78"/>
      <c r="K298" s="78"/>
      <c r="L298" s="16"/>
      <c r="M298" s="16"/>
      <c r="N298" s="16"/>
      <c r="O298" s="16"/>
      <c r="P298" s="80"/>
      <c r="Q298" s="80"/>
      <c r="R298" s="17"/>
      <c r="S298" s="17"/>
      <c r="T298" s="17"/>
      <c r="U298" s="17"/>
      <c r="V298" s="117"/>
      <c r="W298" s="117"/>
      <c r="X298" s="82"/>
      <c r="Y298" s="82"/>
      <c r="Z298" s="82"/>
      <c r="AA298" s="82"/>
      <c r="AB298" s="18"/>
      <c r="AC298" s="18"/>
      <c r="AD298" s="86"/>
      <c r="AE298" s="86"/>
      <c r="AF298" s="84"/>
      <c r="AG298" s="84"/>
      <c r="AH298" s="41"/>
      <c r="AI298" s="41"/>
      <c r="AJ298" s="41"/>
      <c r="AK298" s="41"/>
      <c r="AL298" s="185"/>
      <c r="AM298" s="185"/>
      <c r="AN298" s="187"/>
      <c r="AO298" s="187"/>
      <c r="AP298" s="187"/>
      <c r="AQ298" s="187"/>
      <c r="AR298" s="89"/>
      <c r="AS298" s="90"/>
      <c r="AT298" s="118"/>
      <c r="AU298" s="118"/>
      <c r="AV298" s="118"/>
      <c r="AW298" s="118"/>
      <c r="AX298" s="33"/>
      <c r="AY298" s="33"/>
      <c r="AZ298" s="82"/>
      <c r="BA298" s="82"/>
      <c r="BB298" s="82"/>
      <c r="BC298" s="691"/>
    </row>
    <row r="299" spans="1:55" x14ac:dyDescent="0.25">
      <c r="A299" s="68"/>
      <c r="B299" s="91"/>
      <c r="C299" s="263"/>
      <c r="D299" s="76"/>
      <c r="E299" s="76"/>
      <c r="F299" s="15"/>
      <c r="G299" s="15"/>
      <c r="H299" s="15"/>
      <c r="I299" s="15"/>
      <c r="J299" s="78"/>
      <c r="K299" s="78"/>
      <c r="L299" s="16"/>
      <c r="M299" s="16"/>
      <c r="N299" s="16"/>
      <c r="O299" s="16"/>
      <c r="P299" s="80"/>
      <c r="Q299" s="80"/>
      <c r="R299" s="17"/>
      <c r="S299" s="17"/>
      <c r="T299" s="17"/>
      <c r="U299" s="17"/>
      <c r="V299" s="117"/>
      <c r="W299" s="117"/>
      <c r="X299" s="82"/>
      <c r="Y299" s="82"/>
      <c r="Z299" s="82"/>
      <c r="AA299" s="82"/>
      <c r="AB299" s="18"/>
      <c r="AC299" s="18"/>
      <c r="AD299" s="86"/>
      <c r="AE299" s="86"/>
      <c r="AF299" s="84"/>
      <c r="AG299" s="84"/>
      <c r="AH299" s="41"/>
      <c r="AI299" s="41"/>
      <c r="AJ299" s="41"/>
      <c r="AK299" s="41"/>
      <c r="AL299" s="185"/>
      <c r="AM299" s="185"/>
      <c r="AN299" s="187"/>
      <c r="AO299" s="187"/>
      <c r="AP299" s="187"/>
      <c r="AQ299" s="187"/>
      <c r="AR299" s="89"/>
      <c r="AS299" s="90"/>
      <c r="AT299" s="118"/>
      <c r="AU299" s="118"/>
      <c r="AV299" s="118"/>
      <c r="AW299" s="118"/>
      <c r="AX299" s="33"/>
      <c r="AY299" s="33"/>
      <c r="AZ299" s="82"/>
      <c r="BA299" s="82"/>
      <c r="BB299" s="82"/>
      <c r="BC299" s="691"/>
    </row>
    <row r="300" spans="1:55" x14ac:dyDescent="0.25">
      <c r="A300" s="68"/>
      <c r="B300" s="91"/>
      <c r="C300" s="290"/>
      <c r="D300" s="76"/>
      <c r="E300" s="76"/>
      <c r="F300" s="15"/>
      <c r="G300" s="15"/>
      <c r="H300" s="15"/>
      <c r="I300" s="15"/>
      <c r="J300" s="78"/>
      <c r="K300" s="78"/>
      <c r="L300" s="16"/>
      <c r="M300" s="16"/>
      <c r="N300" s="16"/>
      <c r="O300" s="16"/>
      <c r="P300" s="80"/>
      <c r="Q300" s="80"/>
      <c r="R300" s="17"/>
      <c r="S300" s="17"/>
      <c r="T300" s="17"/>
      <c r="U300" s="17"/>
      <c r="V300" s="117"/>
      <c r="W300" s="117"/>
      <c r="X300" s="82"/>
      <c r="Y300" s="82"/>
      <c r="Z300" s="82"/>
      <c r="AA300" s="82"/>
      <c r="AB300" s="18"/>
      <c r="AC300" s="18"/>
      <c r="AD300" s="86"/>
      <c r="AE300" s="86"/>
      <c r="AF300" s="84"/>
      <c r="AG300" s="84"/>
      <c r="AH300" s="41"/>
      <c r="AI300" s="41"/>
      <c r="AJ300" s="41"/>
      <c r="AK300" s="41"/>
      <c r="AL300" s="185"/>
      <c r="AM300" s="185"/>
      <c r="AN300" s="187"/>
      <c r="AO300" s="187"/>
      <c r="AP300" s="187"/>
      <c r="AQ300" s="187"/>
      <c r="AR300" s="89"/>
      <c r="AS300" s="90"/>
      <c r="AT300" s="118"/>
      <c r="AU300" s="118"/>
      <c r="AV300" s="118"/>
      <c r="AW300" s="118"/>
      <c r="AX300" s="33"/>
      <c r="AY300" s="33"/>
      <c r="AZ300" s="82"/>
      <c r="BA300" s="82"/>
      <c r="BB300" s="82"/>
      <c r="BC300" s="691"/>
    </row>
    <row r="301" spans="1:55" x14ac:dyDescent="0.25">
      <c r="A301" s="68"/>
      <c r="B301" s="91"/>
      <c r="C301" s="290"/>
      <c r="D301" s="76"/>
      <c r="E301" s="76"/>
      <c r="F301" s="15"/>
      <c r="G301" s="15"/>
      <c r="H301" s="15"/>
      <c r="I301" s="15"/>
      <c r="J301" s="78"/>
      <c r="K301" s="78"/>
      <c r="L301" s="16"/>
      <c r="M301" s="16"/>
      <c r="N301" s="16"/>
      <c r="O301" s="16"/>
      <c r="P301" s="80"/>
      <c r="Q301" s="80"/>
      <c r="R301" s="17"/>
      <c r="S301" s="17"/>
      <c r="T301" s="17"/>
      <c r="U301" s="17"/>
      <c r="V301" s="117"/>
      <c r="W301" s="117"/>
      <c r="X301" s="82"/>
      <c r="Y301" s="82"/>
      <c r="Z301" s="82"/>
      <c r="AA301" s="82"/>
      <c r="AB301" s="18"/>
      <c r="AC301" s="18"/>
      <c r="AD301" s="86"/>
      <c r="AE301" s="86"/>
      <c r="AF301" s="84"/>
      <c r="AG301" s="84"/>
      <c r="AH301" s="41"/>
      <c r="AI301" s="41"/>
      <c r="AJ301" s="41"/>
      <c r="AK301" s="41"/>
      <c r="AL301" s="185"/>
      <c r="AM301" s="185"/>
      <c r="AN301" s="187"/>
      <c r="AO301" s="187"/>
      <c r="AP301" s="187"/>
      <c r="AQ301" s="187"/>
      <c r="AR301" s="89"/>
      <c r="AS301" s="90"/>
      <c r="AT301" s="118"/>
      <c r="AU301" s="118"/>
      <c r="AV301" s="118"/>
      <c r="AW301" s="118"/>
      <c r="AX301" s="33"/>
      <c r="AY301" s="33"/>
      <c r="AZ301" s="82"/>
      <c r="BA301" s="82"/>
      <c r="BB301" s="82"/>
      <c r="BC301" s="691"/>
    </row>
    <row r="302" spans="1:55" x14ac:dyDescent="0.25">
      <c r="A302" s="68"/>
      <c r="B302" s="91"/>
      <c r="C302" s="290"/>
      <c r="D302" s="76"/>
      <c r="E302" s="76"/>
      <c r="F302" s="15"/>
      <c r="G302" s="15"/>
      <c r="H302" s="15"/>
      <c r="I302" s="15"/>
      <c r="J302" s="78"/>
      <c r="K302" s="78"/>
      <c r="L302" s="16"/>
      <c r="M302" s="16"/>
      <c r="N302" s="16"/>
      <c r="O302" s="16"/>
      <c r="P302" s="80"/>
      <c r="Q302" s="80"/>
      <c r="R302" s="17"/>
      <c r="S302" s="17"/>
      <c r="T302" s="17"/>
      <c r="U302" s="17"/>
      <c r="V302" s="117"/>
      <c r="W302" s="117"/>
      <c r="X302" s="82"/>
      <c r="Y302" s="82"/>
      <c r="Z302" s="82"/>
      <c r="AA302" s="82"/>
      <c r="AB302" s="18"/>
      <c r="AC302" s="18"/>
      <c r="AD302" s="86"/>
      <c r="AE302" s="86"/>
      <c r="AF302" s="84"/>
      <c r="AG302" s="84"/>
      <c r="AH302" s="41"/>
      <c r="AI302" s="41"/>
      <c r="AJ302" s="41"/>
      <c r="AK302" s="41"/>
      <c r="AL302" s="185"/>
      <c r="AM302" s="185"/>
      <c r="AN302" s="187"/>
      <c r="AO302" s="187"/>
      <c r="AP302" s="187"/>
      <c r="AQ302" s="187"/>
      <c r="AR302" s="89"/>
      <c r="AS302" s="90"/>
      <c r="AT302" s="118"/>
      <c r="AU302" s="118"/>
      <c r="AV302" s="118"/>
      <c r="AW302" s="118"/>
      <c r="AX302" s="33"/>
      <c r="AY302" s="33"/>
      <c r="AZ302" s="82"/>
      <c r="BA302" s="82"/>
      <c r="BB302" s="82"/>
      <c r="BC302" s="691"/>
    </row>
    <row r="303" spans="1:55" x14ac:dyDescent="0.25">
      <c r="A303" s="68"/>
      <c r="B303" s="91"/>
      <c r="C303" s="290"/>
      <c r="D303" s="76"/>
      <c r="E303" s="76"/>
      <c r="F303" s="15"/>
      <c r="G303" s="15"/>
      <c r="H303" s="15"/>
      <c r="I303" s="15"/>
      <c r="J303" s="78"/>
      <c r="K303" s="78"/>
      <c r="L303" s="16"/>
      <c r="M303" s="16"/>
      <c r="N303" s="16"/>
      <c r="O303" s="16"/>
      <c r="P303" s="80"/>
      <c r="Q303" s="80"/>
      <c r="R303" s="17"/>
      <c r="S303" s="17"/>
      <c r="T303" s="17"/>
      <c r="U303" s="17"/>
      <c r="V303" s="117"/>
      <c r="W303" s="117"/>
      <c r="X303" s="82"/>
      <c r="Y303" s="82"/>
      <c r="Z303" s="82"/>
      <c r="AA303" s="82"/>
      <c r="AB303" s="18"/>
      <c r="AC303" s="18"/>
      <c r="AD303" s="86"/>
      <c r="AE303" s="86"/>
      <c r="AF303" s="84"/>
      <c r="AG303" s="84"/>
      <c r="AH303" s="41"/>
      <c r="AI303" s="41"/>
      <c r="AJ303" s="41"/>
      <c r="AK303" s="41"/>
      <c r="AL303" s="185"/>
      <c r="AM303" s="185"/>
      <c r="AN303" s="187"/>
      <c r="AO303" s="187"/>
      <c r="AP303" s="187"/>
      <c r="AQ303" s="187"/>
      <c r="AR303" s="89"/>
      <c r="AS303" s="90"/>
      <c r="AT303" s="118"/>
      <c r="AU303" s="118"/>
      <c r="AV303" s="118"/>
      <c r="AW303" s="118"/>
      <c r="AX303" s="33"/>
      <c r="AY303" s="33"/>
      <c r="AZ303" s="82"/>
      <c r="BA303" s="82"/>
      <c r="BB303" s="82"/>
      <c r="BC303" s="691"/>
    </row>
    <row r="304" spans="1:55" x14ac:dyDescent="0.25">
      <c r="A304" s="68"/>
      <c r="B304" s="91"/>
      <c r="C304" s="290"/>
      <c r="D304" s="76"/>
      <c r="E304" s="76"/>
      <c r="F304" s="15"/>
      <c r="G304" s="15"/>
      <c r="H304" s="15"/>
      <c r="I304" s="15"/>
      <c r="J304" s="78"/>
      <c r="K304" s="78"/>
      <c r="L304" s="16"/>
      <c r="M304" s="16"/>
      <c r="N304" s="16"/>
      <c r="O304" s="16"/>
      <c r="P304" s="80"/>
      <c r="Q304" s="80"/>
      <c r="R304" s="17"/>
      <c r="S304" s="17"/>
      <c r="T304" s="17"/>
      <c r="U304" s="17"/>
      <c r="V304" s="117"/>
      <c r="W304" s="117"/>
      <c r="X304" s="82"/>
      <c r="Y304" s="82"/>
      <c r="Z304" s="82"/>
      <c r="AA304" s="82"/>
      <c r="AB304" s="18"/>
      <c r="AC304" s="18"/>
      <c r="AD304" s="86"/>
      <c r="AE304" s="86"/>
      <c r="AF304" s="84"/>
      <c r="AG304" s="84"/>
      <c r="AH304" s="41"/>
      <c r="AI304" s="41"/>
      <c r="AJ304" s="41"/>
      <c r="AK304" s="41"/>
      <c r="AL304" s="185"/>
      <c r="AM304" s="185"/>
      <c r="AN304" s="187"/>
      <c r="AO304" s="187"/>
      <c r="AP304" s="187"/>
      <c r="AQ304" s="187"/>
      <c r="AR304" s="89"/>
      <c r="AS304" s="90"/>
      <c r="AT304" s="118"/>
      <c r="AU304" s="118"/>
      <c r="AV304" s="118"/>
      <c r="AW304" s="118"/>
      <c r="AX304" s="33"/>
      <c r="AY304" s="33"/>
      <c r="AZ304" s="82"/>
      <c r="BA304" s="82"/>
      <c r="BB304" s="82"/>
      <c r="BC304" s="691"/>
    </row>
    <row r="305" spans="1:55" x14ac:dyDescent="0.25">
      <c r="A305" s="68"/>
      <c r="B305" s="91"/>
      <c r="C305" s="290"/>
      <c r="D305" s="76"/>
      <c r="E305" s="76"/>
      <c r="F305" s="15"/>
      <c r="G305" s="15"/>
      <c r="H305" s="15"/>
      <c r="I305" s="15"/>
      <c r="J305" s="78"/>
      <c r="K305" s="78"/>
      <c r="L305" s="16"/>
      <c r="M305" s="16"/>
      <c r="N305" s="16"/>
      <c r="O305" s="16"/>
      <c r="P305" s="80"/>
      <c r="Q305" s="80"/>
      <c r="R305" s="17"/>
      <c r="S305" s="17"/>
      <c r="T305" s="17"/>
      <c r="U305" s="17"/>
      <c r="V305" s="117"/>
      <c r="W305" s="117"/>
      <c r="X305" s="82"/>
      <c r="Y305" s="82"/>
      <c r="Z305" s="82"/>
      <c r="AA305" s="82"/>
      <c r="AB305" s="18"/>
      <c r="AC305" s="18"/>
      <c r="AD305" s="86"/>
      <c r="AE305" s="86"/>
      <c r="AF305" s="84"/>
      <c r="AG305" s="84"/>
      <c r="AH305" s="41"/>
      <c r="AI305" s="41"/>
      <c r="AJ305" s="41"/>
      <c r="AK305" s="41"/>
      <c r="AL305" s="185"/>
      <c r="AM305" s="185"/>
      <c r="AN305" s="187"/>
      <c r="AO305" s="187"/>
      <c r="AP305" s="187"/>
      <c r="AQ305" s="187"/>
      <c r="AR305" s="89"/>
      <c r="AS305" s="90"/>
      <c r="AT305" s="118"/>
      <c r="AU305" s="118"/>
      <c r="AV305" s="118"/>
      <c r="AW305" s="118"/>
      <c r="AX305" s="33"/>
      <c r="AY305" s="33"/>
      <c r="AZ305" s="82"/>
      <c r="BA305" s="82"/>
      <c r="BB305" s="82"/>
      <c r="BC305" s="691"/>
    </row>
    <row r="306" spans="1:55" x14ac:dyDescent="0.25">
      <c r="A306" s="68"/>
      <c r="B306" s="91"/>
      <c r="C306" s="263"/>
      <c r="D306" s="76"/>
      <c r="E306" s="76"/>
      <c r="F306" s="15"/>
      <c r="G306" s="15"/>
      <c r="H306" s="15"/>
      <c r="I306" s="15"/>
      <c r="J306" s="78"/>
      <c r="K306" s="78"/>
      <c r="L306" s="16"/>
      <c r="M306" s="16"/>
      <c r="N306" s="16"/>
      <c r="O306" s="16"/>
      <c r="P306" s="80"/>
      <c r="Q306" s="80"/>
      <c r="R306" s="17"/>
      <c r="S306" s="17"/>
      <c r="T306" s="17"/>
      <c r="U306" s="17"/>
      <c r="V306" s="117"/>
      <c r="W306" s="117"/>
      <c r="X306" s="82"/>
      <c r="Y306" s="82"/>
      <c r="Z306" s="82"/>
      <c r="AA306" s="82"/>
      <c r="AB306" s="18"/>
      <c r="AC306" s="18"/>
      <c r="AD306" s="86"/>
      <c r="AE306" s="86"/>
      <c r="AF306" s="84"/>
      <c r="AG306" s="84"/>
      <c r="AH306" s="41"/>
      <c r="AI306" s="41"/>
      <c r="AJ306" s="41"/>
      <c r="AK306" s="41"/>
      <c r="AL306" s="185"/>
      <c r="AM306" s="185"/>
      <c r="AN306" s="187"/>
      <c r="AO306" s="187"/>
      <c r="AP306" s="187"/>
      <c r="AQ306" s="187"/>
      <c r="AR306" s="89"/>
      <c r="AS306" s="90"/>
      <c r="AT306" s="118"/>
      <c r="AU306" s="118"/>
      <c r="AV306" s="118"/>
      <c r="AW306" s="118"/>
      <c r="AX306" s="33"/>
      <c r="AY306" s="33"/>
      <c r="AZ306" s="82"/>
      <c r="BA306" s="82"/>
      <c r="BB306" s="82"/>
      <c r="BC306" s="691"/>
    </row>
    <row r="307" spans="1:55" x14ac:dyDescent="0.25">
      <c r="A307" s="68"/>
      <c r="B307" s="91"/>
      <c r="C307" s="263"/>
      <c r="D307" s="76"/>
      <c r="E307" s="76"/>
      <c r="F307" s="15"/>
      <c r="G307" s="15"/>
      <c r="H307" s="15"/>
      <c r="I307" s="15"/>
      <c r="J307" s="78"/>
      <c r="K307" s="78"/>
      <c r="L307" s="16"/>
      <c r="M307" s="16"/>
      <c r="N307" s="16"/>
      <c r="O307" s="16"/>
      <c r="P307" s="80"/>
      <c r="Q307" s="80"/>
      <c r="R307" s="17"/>
      <c r="S307" s="17"/>
      <c r="T307" s="17"/>
      <c r="U307" s="17"/>
      <c r="V307" s="255"/>
      <c r="W307" s="255"/>
      <c r="X307" s="82"/>
      <c r="Y307" s="82"/>
      <c r="Z307" s="82"/>
      <c r="AA307" s="82"/>
      <c r="AB307" s="18"/>
      <c r="AC307" s="18"/>
      <c r="AD307" s="86"/>
      <c r="AE307" s="86"/>
      <c r="AF307" s="84"/>
      <c r="AG307" s="84"/>
      <c r="AH307" s="41"/>
      <c r="AI307" s="41"/>
      <c r="AJ307" s="41"/>
      <c r="AK307" s="41"/>
      <c r="AL307" s="185"/>
      <c r="AM307" s="185"/>
      <c r="AN307" s="187"/>
      <c r="AO307" s="187"/>
      <c r="AP307" s="187"/>
      <c r="AQ307" s="187"/>
      <c r="AR307" s="89"/>
      <c r="AS307" s="90"/>
      <c r="AT307" s="256"/>
      <c r="AU307" s="256"/>
      <c r="AV307" s="256"/>
      <c r="AW307" s="256"/>
      <c r="AX307" s="33"/>
      <c r="AY307" s="33"/>
      <c r="AZ307" s="82"/>
      <c r="BA307" s="82"/>
      <c r="BB307" s="82"/>
      <c r="BC307" s="691"/>
    </row>
    <row r="308" spans="1:55" x14ac:dyDescent="0.25">
      <c r="A308" s="68"/>
      <c r="B308" s="91"/>
      <c r="C308" s="292"/>
      <c r="D308" s="76"/>
      <c r="E308" s="76"/>
      <c r="F308" s="15"/>
      <c r="G308" s="15"/>
      <c r="H308" s="15"/>
      <c r="I308" s="15"/>
      <c r="J308" s="78"/>
      <c r="K308" s="78"/>
      <c r="L308" s="16"/>
      <c r="M308" s="16"/>
      <c r="N308" s="16"/>
      <c r="O308" s="16"/>
      <c r="P308" s="80"/>
      <c r="Q308" s="80"/>
      <c r="R308" s="17"/>
      <c r="S308" s="17"/>
      <c r="T308" s="17"/>
      <c r="U308" s="17"/>
      <c r="V308" s="117"/>
      <c r="W308" s="117"/>
      <c r="X308" s="82"/>
      <c r="Y308" s="82"/>
      <c r="Z308" s="82"/>
      <c r="AA308" s="82"/>
      <c r="AB308" s="18"/>
      <c r="AC308" s="18"/>
      <c r="AD308" s="86"/>
      <c r="AE308" s="86"/>
      <c r="AF308" s="84"/>
      <c r="AG308" s="84"/>
      <c r="AH308" s="41"/>
      <c r="AI308" s="41"/>
      <c r="AJ308" s="41"/>
      <c r="AK308" s="41"/>
      <c r="AL308" s="185"/>
      <c r="AM308" s="185"/>
      <c r="AN308" s="187"/>
      <c r="AO308" s="187"/>
      <c r="AP308" s="187"/>
      <c r="AQ308" s="187"/>
      <c r="AR308" s="89"/>
      <c r="AS308" s="90"/>
      <c r="AT308" s="118"/>
      <c r="AU308" s="118"/>
      <c r="AV308" s="118"/>
      <c r="AW308" s="118"/>
      <c r="AX308" s="33"/>
      <c r="AY308" s="33"/>
      <c r="AZ308" s="82"/>
      <c r="BA308" s="82"/>
      <c r="BB308" s="82"/>
      <c r="BC308" s="691"/>
    </row>
    <row r="309" spans="1:55" x14ac:dyDescent="0.25">
      <c r="A309" s="68"/>
      <c r="B309" s="91"/>
      <c r="C309" s="292"/>
      <c r="D309" s="76"/>
      <c r="E309" s="76"/>
      <c r="F309" s="15"/>
      <c r="G309" s="15"/>
      <c r="H309" s="15"/>
      <c r="I309" s="15"/>
      <c r="J309" s="78"/>
      <c r="K309" s="78"/>
      <c r="L309" s="16"/>
      <c r="M309" s="16"/>
      <c r="N309" s="16"/>
      <c r="O309" s="16"/>
      <c r="P309" s="80"/>
      <c r="Q309" s="80"/>
      <c r="R309" s="17"/>
      <c r="S309" s="17"/>
      <c r="T309" s="17"/>
      <c r="U309" s="17"/>
      <c r="V309" s="117"/>
      <c r="W309" s="117"/>
      <c r="X309" s="82"/>
      <c r="Y309" s="82"/>
      <c r="Z309" s="82"/>
      <c r="AA309" s="82"/>
      <c r="AB309" s="18"/>
      <c r="AC309" s="18"/>
      <c r="AD309" s="86"/>
      <c r="AE309" s="86"/>
      <c r="AF309" s="84"/>
      <c r="AG309" s="84"/>
      <c r="AH309" s="41"/>
      <c r="AI309" s="41"/>
      <c r="AJ309" s="41"/>
      <c r="AK309" s="41"/>
      <c r="AL309" s="185"/>
      <c r="AM309" s="185"/>
      <c r="AN309" s="187"/>
      <c r="AO309" s="187"/>
      <c r="AP309" s="187"/>
      <c r="AQ309" s="187"/>
      <c r="AR309" s="89"/>
      <c r="AS309" s="90"/>
      <c r="AT309" s="118"/>
      <c r="AU309" s="118"/>
      <c r="AV309" s="118"/>
      <c r="AW309" s="118"/>
      <c r="AX309" s="33"/>
      <c r="AY309" s="33"/>
      <c r="AZ309" s="82"/>
      <c r="BA309" s="82"/>
      <c r="BB309" s="82"/>
      <c r="BC309" s="691"/>
    </row>
    <row r="310" spans="1:55" x14ac:dyDescent="0.25">
      <c r="A310" s="68"/>
      <c r="B310" s="91"/>
      <c r="C310" s="263"/>
      <c r="D310" s="76"/>
      <c r="E310" s="76"/>
      <c r="F310" s="15"/>
      <c r="G310" s="15"/>
      <c r="H310" s="15"/>
      <c r="I310" s="15"/>
      <c r="J310" s="78"/>
      <c r="K310" s="78"/>
      <c r="L310" s="16"/>
      <c r="M310" s="16"/>
      <c r="N310" s="16"/>
      <c r="O310" s="16"/>
      <c r="P310" s="80"/>
      <c r="Q310" s="80"/>
      <c r="R310" s="17"/>
      <c r="S310" s="17"/>
      <c r="T310" s="17"/>
      <c r="U310" s="17"/>
      <c r="V310" s="117"/>
      <c r="W310" s="117"/>
      <c r="X310" s="82"/>
      <c r="Y310" s="82"/>
      <c r="Z310" s="82"/>
      <c r="AA310" s="82"/>
      <c r="AB310" s="18"/>
      <c r="AC310" s="18"/>
      <c r="AD310" s="86"/>
      <c r="AE310" s="86"/>
      <c r="AF310" s="84"/>
      <c r="AG310" s="84"/>
      <c r="AH310" s="41"/>
      <c r="AI310" s="41"/>
      <c r="AJ310" s="41"/>
      <c r="AK310" s="41"/>
      <c r="AL310" s="185"/>
      <c r="AM310" s="185"/>
      <c r="AN310" s="187"/>
      <c r="AO310" s="187"/>
      <c r="AP310" s="187"/>
      <c r="AQ310" s="187"/>
      <c r="AR310" s="89"/>
      <c r="AS310" s="90"/>
      <c r="AT310" s="118"/>
      <c r="AU310" s="118"/>
      <c r="AV310" s="118"/>
      <c r="AW310" s="118"/>
      <c r="AX310" s="33"/>
      <c r="AY310" s="33"/>
      <c r="AZ310" s="82"/>
      <c r="BA310" s="82"/>
      <c r="BB310" s="82"/>
      <c r="BC310" s="691"/>
    </row>
    <row r="311" spans="1:55" x14ac:dyDescent="0.25">
      <c r="A311" s="68"/>
      <c r="B311" s="91"/>
      <c r="C311" s="263"/>
      <c r="D311" s="76"/>
      <c r="E311" s="76"/>
      <c r="F311" s="15"/>
      <c r="G311" s="15"/>
      <c r="H311" s="15"/>
      <c r="I311" s="15"/>
      <c r="J311" s="78"/>
      <c r="K311" s="78"/>
      <c r="L311" s="16"/>
      <c r="M311" s="16"/>
      <c r="N311" s="16"/>
      <c r="O311" s="16"/>
      <c r="P311" s="80"/>
      <c r="Q311" s="80"/>
      <c r="R311" s="17"/>
      <c r="S311" s="17"/>
      <c r="T311" s="17"/>
      <c r="U311" s="17"/>
      <c r="V311" s="214"/>
      <c r="W311" s="214"/>
      <c r="X311" s="82"/>
      <c r="Y311" s="82"/>
      <c r="Z311" s="82"/>
      <c r="AA311" s="82"/>
      <c r="AB311" s="18"/>
      <c r="AC311" s="18"/>
      <c r="AD311" s="86"/>
      <c r="AE311" s="86"/>
      <c r="AF311" s="84"/>
      <c r="AG311" s="84"/>
      <c r="AH311" s="41"/>
      <c r="AI311" s="41"/>
      <c r="AJ311" s="41"/>
      <c r="AK311" s="41"/>
      <c r="AL311" s="185"/>
      <c r="AM311" s="185"/>
      <c r="AN311" s="187"/>
      <c r="AO311" s="187"/>
      <c r="AP311" s="187"/>
      <c r="AQ311" s="187"/>
      <c r="AR311" s="89"/>
      <c r="AS311" s="90"/>
      <c r="AT311" s="215"/>
      <c r="AU311" s="215"/>
      <c r="AV311" s="215"/>
      <c r="AW311" s="215"/>
      <c r="AX311" s="33"/>
      <c r="AY311" s="33"/>
      <c r="AZ311" s="82"/>
      <c r="BA311" s="82"/>
      <c r="BB311" s="82"/>
      <c r="BC311" s="691"/>
    </row>
    <row r="312" spans="1:55" x14ac:dyDescent="0.25">
      <c r="A312" s="68"/>
      <c r="B312" s="91"/>
      <c r="C312" s="292"/>
      <c r="D312" s="76"/>
      <c r="E312" s="76"/>
      <c r="F312" s="15"/>
      <c r="G312" s="15"/>
      <c r="H312" s="15"/>
      <c r="I312" s="15"/>
      <c r="J312" s="78"/>
      <c r="K312" s="78"/>
      <c r="L312" s="16"/>
      <c r="M312" s="16"/>
      <c r="N312" s="16"/>
      <c r="O312" s="16"/>
      <c r="P312" s="80"/>
      <c r="Q312" s="80"/>
      <c r="R312" s="17"/>
      <c r="S312" s="17"/>
      <c r="T312" s="17"/>
      <c r="U312" s="17"/>
      <c r="V312" s="257"/>
      <c r="W312" s="257"/>
      <c r="X312" s="82"/>
      <c r="Y312" s="82"/>
      <c r="Z312" s="82"/>
      <c r="AA312" s="82"/>
      <c r="AB312" s="18"/>
      <c r="AC312" s="18"/>
      <c r="AD312" s="86"/>
      <c r="AE312" s="86"/>
      <c r="AF312" s="84"/>
      <c r="AG312" s="84"/>
      <c r="AH312" s="41"/>
      <c r="AI312" s="41"/>
      <c r="AJ312" s="41"/>
      <c r="AK312" s="41"/>
      <c r="AL312" s="185"/>
      <c r="AM312" s="185"/>
      <c r="AN312" s="187"/>
      <c r="AO312" s="187"/>
      <c r="AP312" s="187"/>
      <c r="AQ312" s="187"/>
      <c r="AR312" s="89"/>
      <c r="AS312" s="90"/>
      <c r="AT312" s="258"/>
      <c r="AU312" s="258"/>
      <c r="AV312" s="258"/>
      <c r="AW312" s="258"/>
      <c r="AX312" s="33"/>
      <c r="AY312" s="33"/>
      <c r="AZ312" s="82"/>
      <c r="BA312" s="82"/>
      <c r="BB312" s="82"/>
      <c r="BC312" s="691"/>
    </row>
    <row r="313" spans="1:55" x14ac:dyDescent="0.25">
      <c r="A313" s="68"/>
      <c r="B313" s="91"/>
      <c r="C313" s="292"/>
      <c r="D313" s="76"/>
      <c r="E313" s="76"/>
      <c r="F313" s="15"/>
      <c r="G313" s="15"/>
      <c r="H313" s="15"/>
      <c r="I313" s="15"/>
      <c r="J313" s="78"/>
      <c r="K313" s="78"/>
      <c r="L313" s="16"/>
      <c r="M313" s="16"/>
      <c r="N313" s="16"/>
      <c r="O313" s="16"/>
      <c r="P313" s="80"/>
      <c r="Q313" s="80"/>
      <c r="R313" s="17"/>
      <c r="S313" s="17"/>
      <c r="T313" s="17"/>
      <c r="U313" s="17"/>
      <c r="V313" s="117"/>
      <c r="W313" s="117"/>
      <c r="X313" s="82"/>
      <c r="Y313" s="82"/>
      <c r="Z313" s="82"/>
      <c r="AA313" s="82"/>
      <c r="AB313" s="18"/>
      <c r="AC313" s="18"/>
      <c r="AD313" s="86"/>
      <c r="AE313" s="86"/>
      <c r="AF313" s="84"/>
      <c r="AG313" s="84"/>
      <c r="AH313" s="41"/>
      <c r="AI313" s="41"/>
      <c r="AJ313" s="41"/>
      <c r="AK313" s="41"/>
      <c r="AL313" s="185"/>
      <c r="AM313" s="185"/>
      <c r="AN313" s="187"/>
      <c r="AO313" s="187"/>
      <c r="AP313" s="187"/>
      <c r="AQ313" s="187"/>
      <c r="AR313" s="89"/>
      <c r="AS313" s="90"/>
      <c r="AT313" s="118"/>
      <c r="AU313" s="118"/>
      <c r="AV313" s="118"/>
      <c r="AW313" s="118"/>
      <c r="AX313" s="33"/>
      <c r="AY313" s="33"/>
      <c r="AZ313" s="82"/>
      <c r="BA313" s="82"/>
      <c r="BB313" s="82"/>
      <c r="BC313" s="691"/>
    </row>
    <row r="314" spans="1:55" x14ac:dyDescent="0.25">
      <c r="A314" s="68"/>
      <c r="B314" s="91"/>
      <c r="C314" s="292"/>
      <c r="D314" s="76"/>
      <c r="E314" s="76"/>
      <c r="F314" s="15"/>
      <c r="G314" s="15"/>
      <c r="H314" s="15"/>
      <c r="I314" s="15"/>
      <c r="J314" s="78"/>
      <c r="K314" s="78"/>
      <c r="L314" s="16"/>
      <c r="M314" s="16"/>
      <c r="N314" s="16"/>
      <c r="O314" s="16"/>
      <c r="P314" s="80"/>
      <c r="Q314" s="80"/>
      <c r="R314" s="17"/>
      <c r="S314" s="17"/>
      <c r="T314" s="17"/>
      <c r="U314" s="17"/>
      <c r="V314" s="257"/>
      <c r="W314" s="257"/>
      <c r="X314" s="82"/>
      <c r="Y314" s="82"/>
      <c r="Z314" s="82"/>
      <c r="AA314" s="82"/>
      <c r="AB314" s="18"/>
      <c r="AC314" s="18"/>
      <c r="AD314" s="86"/>
      <c r="AE314" s="86"/>
      <c r="AF314" s="84"/>
      <c r="AG314" s="84"/>
      <c r="AH314" s="41"/>
      <c r="AI314" s="41"/>
      <c r="AJ314" s="41"/>
      <c r="AK314" s="41"/>
      <c r="AL314" s="185"/>
      <c r="AM314" s="185"/>
      <c r="AN314" s="187"/>
      <c r="AO314" s="187"/>
      <c r="AP314" s="187"/>
      <c r="AQ314" s="187"/>
      <c r="AR314" s="89"/>
      <c r="AS314" s="90"/>
      <c r="AT314" s="258"/>
      <c r="AU314" s="258"/>
      <c r="AV314" s="258"/>
      <c r="AW314" s="258"/>
      <c r="AX314" s="33"/>
      <c r="AY314" s="33"/>
      <c r="AZ314" s="82"/>
      <c r="BA314" s="82"/>
      <c r="BB314" s="82"/>
      <c r="BC314" s="691"/>
    </row>
    <row r="315" spans="1:55" x14ac:dyDescent="0.25">
      <c r="A315" s="68"/>
      <c r="B315" s="91"/>
      <c r="C315" s="263"/>
      <c r="D315" s="76"/>
      <c r="E315" s="76"/>
      <c r="F315" s="15"/>
      <c r="G315" s="15"/>
      <c r="H315" s="15"/>
      <c r="I315" s="15"/>
      <c r="J315" s="78"/>
      <c r="K315" s="78"/>
      <c r="L315" s="16"/>
      <c r="M315" s="16"/>
      <c r="N315" s="16"/>
      <c r="O315" s="16"/>
      <c r="P315" s="80"/>
      <c r="Q315" s="80"/>
      <c r="R315" s="17"/>
      <c r="S315" s="17"/>
      <c r="T315" s="17"/>
      <c r="U315" s="17"/>
      <c r="V315" s="117"/>
      <c r="W315" s="117"/>
      <c r="X315" s="82"/>
      <c r="Y315" s="82"/>
      <c r="Z315" s="82"/>
      <c r="AA315" s="82"/>
      <c r="AB315" s="18"/>
      <c r="AC315" s="18"/>
      <c r="AD315" s="86"/>
      <c r="AE315" s="86"/>
      <c r="AF315" s="84"/>
      <c r="AG315" s="84"/>
      <c r="AH315" s="41"/>
      <c r="AI315" s="41"/>
      <c r="AJ315" s="41"/>
      <c r="AK315" s="41"/>
      <c r="AL315" s="185"/>
      <c r="AM315" s="185"/>
      <c r="AN315" s="187"/>
      <c r="AO315" s="187"/>
      <c r="AP315" s="187"/>
      <c r="AQ315" s="187"/>
      <c r="AR315" s="89"/>
      <c r="AS315" s="90"/>
      <c r="AT315" s="118"/>
      <c r="AU315" s="118"/>
      <c r="AV315" s="118"/>
      <c r="AW315" s="118"/>
      <c r="AX315" s="33"/>
      <c r="AY315" s="33"/>
      <c r="AZ315" s="82"/>
      <c r="BA315" s="82"/>
      <c r="BB315" s="82"/>
      <c r="BC315" s="691"/>
    </row>
    <row r="316" spans="1:55" x14ac:dyDescent="0.25">
      <c r="A316" s="68"/>
      <c r="B316" s="91"/>
      <c r="C316" s="263"/>
      <c r="D316" s="76"/>
      <c r="E316" s="76"/>
      <c r="F316" s="15"/>
      <c r="G316" s="15"/>
      <c r="H316" s="15"/>
      <c r="I316" s="15"/>
      <c r="J316" s="78"/>
      <c r="K316" s="78"/>
      <c r="L316" s="16"/>
      <c r="M316" s="16"/>
      <c r="N316" s="16"/>
      <c r="O316" s="16"/>
      <c r="P316" s="80"/>
      <c r="Q316" s="80"/>
      <c r="R316" s="17"/>
      <c r="S316" s="17"/>
      <c r="T316" s="17"/>
      <c r="U316" s="17"/>
      <c r="V316" s="117"/>
      <c r="W316" s="117"/>
      <c r="X316" s="82"/>
      <c r="Y316" s="82"/>
      <c r="Z316" s="82"/>
      <c r="AA316" s="82"/>
      <c r="AB316" s="18"/>
      <c r="AC316" s="18"/>
      <c r="AD316" s="86"/>
      <c r="AE316" s="86"/>
      <c r="AF316" s="84"/>
      <c r="AG316" s="84"/>
      <c r="AH316" s="41"/>
      <c r="AI316" s="41"/>
      <c r="AJ316" s="41"/>
      <c r="AK316" s="41"/>
      <c r="AL316" s="185"/>
      <c r="AM316" s="185"/>
      <c r="AN316" s="187"/>
      <c r="AO316" s="187"/>
      <c r="AP316" s="187"/>
      <c r="AQ316" s="187"/>
      <c r="AR316" s="89"/>
      <c r="AS316" s="90"/>
      <c r="AT316" s="118"/>
      <c r="AU316" s="118"/>
      <c r="AV316" s="118"/>
      <c r="AW316" s="118"/>
      <c r="AX316" s="33"/>
      <c r="AY316" s="33"/>
      <c r="AZ316" s="82"/>
      <c r="BA316" s="82"/>
      <c r="BB316" s="82"/>
      <c r="BC316" s="691"/>
    </row>
    <row r="317" spans="1:55" x14ac:dyDescent="0.25">
      <c r="A317" s="68"/>
      <c r="B317" s="91"/>
      <c r="C317" s="263"/>
      <c r="D317" s="76"/>
      <c r="E317" s="76"/>
      <c r="F317" s="15"/>
      <c r="G317" s="15"/>
      <c r="H317" s="15"/>
      <c r="I317" s="15"/>
      <c r="J317" s="78"/>
      <c r="K317" s="78"/>
      <c r="L317" s="16"/>
      <c r="M317" s="16"/>
      <c r="N317" s="16"/>
      <c r="O317" s="16"/>
      <c r="P317" s="80"/>
      <c r="Q317" s="80"/>
      <c r="R317" s="17"/>
      <c r="S317" s="17"/>
      <c r="T317" s="17"/>
      <c r="U317" s="17"/>
      <c r="V317" s="117"/>
      <c r="W317" s="117"/>
      <c r="X317" s="82"/>
      <c r="Y317" s="82"/>
      <c r="Z317" s="82"/>
      <c r="AA317" s="82"/>
      <c r="AB317" s="18"/>
      <c r="AC317" s="18"/>
      <c r="AD317" s="86"/>
      <c r="AE317" s="86"/>
      <c r="AF317" s="84"/>
      <c r="AG317" s="84"/>
      <c r="AH317" s="41"/>
      <c r="AI317" s="41"/>
      <c r="AJ317" s="41"/>
      <c r="AK317" s="41"/>
      <c r="AL317" s="185"/>
      <c r="AM317" s="185"/>
      <c r="AN317" s="187"/>
      <c r="AO317" s="187"/>
      <c r="AP317" s="187"/>
      <c r="AQ317" s="187"/>
      <c r="AR317" s="89"/>
      <c r="AS317" s="90"/>
      <c r="AT317" s="118"/>
      <c r="AU317" s="118"/>
      <c r="AV317" s="118"/>
      <c r="AW317" s="118"/>
      <c r="AX317" s="33"/>
      <c r="AY317" s="33"/>
      <c r="AZ317" s="82"/>
      <c r="BA317" s="82"/>
      <c r="BB317" s="82"/>
      <c r="BC317" s="691"/>
    </row>
    <row r="318" spans="1:55" x14ac:dyDescent="0.25">
      <c r="A318" s="68"/>
      <c r="B318" s="91"/>
      <c r="C318" s="263"/>
      <c r="D318" s="76"/>
      <c r="E318" s="76"/>
      <c r="F318" s="15"/>
      <c r="G318" s="15"/>
      <c r="H318" s="15"/>
      <c r="I318" s="15"/>
      <c r="J318" s="78"/>
      <c r="K318" s="78"/>
      <c r="L318" s="16"/>
      <c r="M318" s="16"/>
      <c r="N318" s="16"/>
      <c r="O318" s="16"/>
      <c r="P318" s="80"/>
      <c r="Q318" s="80"/>
      <c r="R318" s="17"/>
      <c r="S318" s="17"/>
      <c r="T318" s="17"/>
      <c r="U318" s="17"/>
      <c r="V318" s="117"/>
      <c r="W318" s="117"/>
      <c r="X318" s="82"/>
      <c r="Y318" s="82"/>
      <c r="Z318" s="82"/>
      <c r="AA318" s="82"/>
      <c r="AB318" s="18"/>
      <c r="AC318" s="18"/>
      <c r="AD318" s="86"/>
      <c r="AE318" s="86"/>
      <c r="AF318" s="84"/>
      <c r="AG318" s="84"/>
      <c r="AH318" s="41"/>
      <c r="AI318" s="41"/>
      <c r="AJ318" s="41"/>
      <c r="AK318" s="41"/>
      <c r="AL318" s="185"/>
      <c r="AM318" s="185"/>
      <c r="AN318" s="187"/>
      <c r="AO318" s="187"/>
      <c r="AP318" s="187"/>
      <c r="AQ318" s="187"/>
      <c r="AR318" s="89"/>
      <c r="AS318" s="90"/>
      <c r="AT318" s="118"/>
      <c r="AU318" s="118"/>
      <c r="AV318" s="118"/>
      <c r="AW318" s="118"/>
      <c r="AX318" s="33"/>
      <c r="AY318" s="33"/>
      <c r="AZ318" s="82"/>
      <c r="BA318" s="82"/>
      <c r="BB318" s="82"/>
      <c r="BC318" s="691"/>
    </row>
    <row r="319" spans="1:55" x14ac:dyDescent="0.25">
      <c r="A319" s="68"/>
      <c r="B319" s="91"/>
      <c r="C319" s="292"/>
      <c r="D319" s="76"/>
      <c r="E319" s="76"/>
      <c r="F319" s="15"/>
      <c r="G319" s="15"/>
      <c r="H319" s="15"/>
      <c r="I319" s="15"/>
      <c r="J319" s="78"/>
      <c r="K319" s="78"/>
      <c r="L319" s="16"/>
      <c r="M319" s="16"/>
      <c r="N319" s="16"/>
      <c r="O319" s="16"/>
      <c r="P319" s="80"/>
      <c r="Q319" s="80"/>
      <c r="R319" s="17"/>
      <c r="S319" s="17"/>
      <c r="T319" s="17"/>
      <c r="U319" s="17"/>
      <c r="V319" s="117"/>
      <c r="W319" s="117"/>
      <c r="X319" s="82"/>
      <c r="Y319" s="82"/>
      <c r="Z319" s="82"/>
      <c r="AA319" s="82"/>
      <c r="AB319" s="18"/>
      <c r="AC319" s="18"/>
      <c r="AD319" s="86"/>
      <c r="AE319" s="86"/>
      <c r="AF319" s="84"/>
      <c r="AG319" s="84"/>
      <c r="AH319" s="41"/>
      <c r="AI319" s="41"/>
      <c r="AJ319" s="41"/>
      <c r="AK319" s="41"/>
      <c r="AL319" s="185"/>
      <c r="AM319" s="185"/>
      <c r="AN319" s="187"/>
      <c r="AO319" s="187"/>
      <c r="AP319" s="187"/>
      <c r="AQ319" s="187"/>
      <c r="AR319" s="89"/>
      <c r="AS319" s="90"/>
      <c r="AT319" s="118"/>
      <c r="AU319" s="118"/>
      <c r="AV319" s="118"/>
      <c r="AW319" s="118"/>
      <c r="AX319" s="33"/>
      <c r="AY319" s="33"/>
      <c r="AZ319" s="82"/>
      <c r="BA319" s="82"/>
      <c r="BB319" s="82"/>
      <c r="BC319" s="691"/>
    </row>
    <row r="320" spans="1:55" x14ac:dyDescent="0.25">
      <c r="A320" s="68"/>
      <c r="B320" s="91"/>
      <c r="C320" s="292"/>
      <c r="D320" s="76"/>
      <c r="E320" s="76"/>
      <c r="F320" s="15"/>
      <c r="G320" s="15"/>
      <c r="H320" s="15"/>
      <c r="I320" s="15"/>
      <c r="J320" s="78"/>
      <c r="K320" s="78"/>
      <c r="L320" s="16"/>
      <c r="M320" s="16"/>
      <c r="N320" s="16"/>
      <c r="O320" s="16"/>
      <c r="P320" s="80"/>
      <c r="Q320" s="80"/>
      <c r="R320" s="17"/>
      <c r="S320" s="17"/>
      <c r="T320" s="17"/>
      <c r="U320" s="17"/>
      <c r="V320" s="117"/>
      <c r="W320" s="117"/>
      <c r="X320" s="82"/>
      <c r="Y320" s="82"/>
      <c r="Z320" s="82"/>
      <c r="AA320" s="82"/>
      <c r="AB320" s="18"/>
      <c r="AC320" s="18"/>
      <c r="AD320" s="86"/>
      <c r="AE320" s="86"/>
      <c r="AF320" s="84"/>
      <c r="AG320" s="84"/>
      <c r="AH320" s="41"/>
      <c r="AI320" s="41"/>
      <c r="AJ320" s="41"/>
      <c r="AK320" s="41"/>
      <c r="AL320" s="185"/>
      <c r="AM320" s="185"/>
      <c r="AN320" s="187"/>
      <c r="AO320" s="187"/>
      <c r="AP320" s="187"/>
      <c r="AQ320" s="187"/>
      <c r="AR320" s="89"/>
      <c r="AS320" s="90"/>
      <c r="AT320" s="118"/>
      <c r="AU320" s="118"/>
      <c r="AV320" s="118"/>
      <c r="AW320" s="118"/>
      <c r="AX320" s="33"/>
      <c r="AY320" s="33"/>
      <c r="AZ320" s="82"/>
      <c r="BA320" s="82"/>
      <c r="BB320" s="82"/>
      <c r="BC320" s="691"/>
    </row>
    <row r="321" spans="1:55" x14ac:dyDescent="0.25">
      <c r="A321" s="68"/>
      <c r="B321" s="91"/>
      <c r="C321" s="263"/>
      <c r="D321" s="76"/>
      <c r="E321" s="76"/>
      <c r="F321" s="15"/>
      <c r="G321" s="15"/>
      <c r="H321" s="15"/>
      <c r="I321" s="15"/>
      <c r="J321" s="78"/>
      <c r="K321" s="78"/>
      <c r="L321" s="16"/>
      <c r="M321" s="16"/>
      <c r="N321" s="16"/>
      <c r="O321" s="16"/>
      <c r="P321" s="80"/>
      <c r="Q321" s="80"/>
      <c r="R321" s="17"/>
      <c r="S321" s="17"/>
      <c r="T321" s="17"/>
      <c r="U321" s="17"/>
      <c r="V321" s="117"/>
      <c r="W321" s="117"/>
      <c r="X321" s="82"/>
      <c r="Y321" s="82"/>
      <c r="Z321" s="82"/>
      <c r="AA321" s="82"/>
      <c r="AB321" s="18"/>
      <c r="AC321" s="18"/>
      <c r="AD321" s="86"/>
      <c r="AE321" s="86"/>
      <c r="AF321" s="84"/>
      <c r="AG321" s="84"/>
      <c r="AH321" s="41"/>
      <c r="AI321" s="41"/>
      <c r="AJ321" s="41"/>
      <c r="AK321" s="41"/>
      <c r="AL321" s="185"/>
      <c r="AM321" s="185"/>
      <c r="AN321" s="187"/>
      <c r="AO321" s="187"/>
      <c r="AP321" s="187"/>
      <c r="AQ321" s="187"/>
      <c r="AR321" s="89"/>
      <c r="AS321" s="90"/>
      <c r="AT321" s="118"/>
      <c r="AU321" s="118"/>
      <c r="AV321" s="118"/>
      <c r="AW321" s="118"/>
      <c r="AX321" s="33"/>
      <c r="AY321" s="33"/>
      <c r="AZ321" s="82"/>
      <c r="BA321" s="82"/>
      <c r="BB321" s="82"/>
      <c r="BC321" s="691"/>
    </row>
    <row r="322" spans="1:55" x14ac:dyDescent="0.25">
      <c r="A322" s="68"/>
      <c r="B322" s="91"/>
      <c r="C322" s="292"/>
      <c r="D322" s="76"/>
      <c r="E322" s="76"/>
      <c r="F322" s="15"/>
      <c r="G322" s="15"/>
      <c r="H322" s="15"/>
      <c r="I322" s="15"/>
      <c r="J322" s="78"/>
      <c r="K322" s="78"/>
      <c r="L322" s="16"/>
      <c r="M322" s="16"/>
      <c r="N322" s="16"/>
      <c r="O322" s="16"/>
      <c r="P322" s="80"/>
      <c r="Q322" s="80"/>
      <c r="R322" s="17"/>
      <c r="S322" s="17"/>
      <c r="T322" s="17"/>
      <c r="U322" s="17"/>
      <c r="V322" s="117"/>
      <c r="W322" s="117"/>
      <c r="X322" s="82"/>
      <c r="Y322" s="82"/>
      <c r="Z322" s="82"/>
      <c r="AA322" s="82"/>
      <c r="AB322" s="18"/>
      <c r="AC322" s="18"/>
      <c r="AD322" s="86"/>
      <c r="AE322" s="86"/>
      <c r="AF322" s="84"/>
      <c r="AG322" s="84"/>
      <c r="AH322" s="41"/>
      <c r="AI322" s="41"/>
      <c r="AJ322" s="41"/>
      <c r="AK322" s="41"/>
      <c r="AL322" s="185"/>
      <c r="AM322" s="185"/>
      <c r="AN322" s="187"/>
      <c r="AO322" s="187"/>
      <c r="AP322" s="187"/>
      <c r="AQ322" s="187"/>
      <c r="AR322" s="89"/>
      <c r="AS322" s="90"/>
      <c r="AT322" s="118"/>
      <c r="AU322" s="118"/>
      <c r="AV322" s="118"/>
      <c r="AW322" s="118"/>
      <c r="AX322" s="33"/>
      <c r="AY322" s="33"/>
      <c r="AZ322" s="82"/>
      <c r="BA322" s="82"/>
      <c r="BB322" s="82"/>
      <c r="BC322" s="691"/>
    </row>
    <row r="323" spans="1:55" x14ac:dyDescent="0.25">
      <c r="A323" s="68"/>
      <c r="B323" s="91"/>
      <c r="C323" s="292"/>
      <c r="D323" s="76"/>
      <c r="E323" s="76"/>
      <c r="F323" s="15"/>
      <c r="G323" s="15"/>
      <c r="H323" s="15"/>
      <c r="I323" s="15"/>
      <c r="J323" s="78"/>
      <c r="K323" s="78"/>
      <c r="L323" s="16"/>
      <c r="M323" s="16"/>
      <c r="N323" s="16"/>
      <c r="O323" s="16"/>
      <c r="P323" s="80"/>
      <c r="Q323" s="80"/>
      <c r="R323" s="17"/>
      <c r="S323" s="17"/>
      <c r="T323" s="17"/>
      <c r="U323" s="17"/>
      <c r="V323" s="117"/>
      <c r="W323" s="117"/>
      <c r="X323" s="82"/>
      <c r="Y323" s="82"/>
      <c r="Z323" s="82"/>
      <c r="AA323" s="82"/>
      <c r="AB323" s="18"/>
      <c r="AC323" s="18"/>
      <c r="AD323" s="86"/>
      <c r="AE323" s="86"/>
      <c r="AF323" s="84"/>
      <c r="AG323" s="84"/>
      <c r="AH323" s="41"/>
      <c r="AI323" s="41"/>
      <c r="AJ323" s="41"/>
      <c r="AK323" s="41"/>
      <c r="AL323" s="185"/>
      <c r="AM323" s="185"/>
      <c r="AN323" s="187"/>
      <c r="AO323" s="187"/>
      <c r="AP323" s="187"/>
      <c r="AQ323" s="187"/>
      <c r="AR323" s="89"/>
      <c r="AS323" s="90"/>
      <c r="AT323" s="118"/>
      <c r="AU323" s="118"/>
      <c r="AV323" s="118"/>
      <c r="AW323" s="118"/>
      <c r="AX323" s="33"/>
      <c r="AY323" s="33"/>
      <c r="AZ323" s="82"/>
      <c r="BA323" s="82"/>
      <c r="BB323" s="82"/>
      <c r="BC323" s="691"/>
    </row>
    <row r="324" spans="1:55" x14ac:dyDescent="0.25">
      <c r="A324" s="68"/>
      <c r="B324" s="91"/>
      <c r="C324" s="292"/>
      <c r="D324" s="76"/>
      <c r="E324" s="76"/>
      <c r="F324" s="15"/>
      <c r="G324" s="15"/>
      <c r="H324" s="15"/>
      <c r="I324" s="15"/>
      <c r="J324" s="78"/>
      <c r="K324" s="78"/>
      <c r="L324" s="16"/>
      <c r="M324" s="16"/>
      <c r="N324" s="16"/>
      <c r="O324" s="16"/>
      <c r="P324" s="80"/>
      <c r="Q324" s="80"/>
      <c r="R324" s="17"/>
      <c r="S324" s="17"/>
      <c r="T324" s="17"/>
      <c r="U324" s="17"/>
      <c r="V324" s="117"/>
      <c r="W324" s="117"/>
      <c r="X324" s="82"/>
      <c r="Y324" s="82"/>
      <c r="Z324" s="82"/>
      <c r="AA324" s="82"/>
      <c r="AB324" s="18"/>
      <c r="AC324" s="18"/>
      <c r="AD324" s="86"/>
      <c r="AE324" s="86"/>
      <c r="AF324" s="84"/>
      <c r="AG324" s="84"/>
      <c r="AH324" s="41"/>
      <c r="AI324" s="41"/>
      <c r="AJ324" s="41"/>
      <c r="AK324" s="41"/>
      <c r="AL324" s="185"/>
      <c r="AM324" s="185"/>
      <c r="AN324" s="187"/>
      <c r="AO324" s="187"/>
      <c r="AP324" s="187"/>
      <c r="AQ324" s="187"/>
      <c r="AR324" s="89"/>
      <c r="AS324" s="90"/>
      <c r="AT324" s="118"/>
      <c r="AU324" s="118"/>
      <c r="AV324" s="118"/>
      <c r="AW324" s="118"/>
      <c r="AX324" s="33"/>
      <c r="AY324" s="33"/>
      <c r="AZ324" s="82"/>
      <c r="BA324" s="82"/>
      <c r="BB324" s="82"/>
      <c r="BC324" s="691"/>
    </row>
    <row r="325" spans="1:55" x14ac:dyDescent="0.25">
      <c r="A325" s="68"/>
      <c r="B325" s="91"/>
      <c r="C325" s="292"/>
      <c r="D325" s="76"/>
      <c r="E325" s="76"/>
      <c r="F325" s="15"/>
      <c r="G325" s="15"/>
      <c r="H325" s="15"/>
      <c r="I325" s="15"/>
      <c r="J325" s="78"/>
      <c r="K325" s="78"/>
      <c r="L325" s="16"/>
      <c r="M325" s="16"/>
      <c r="N325" s="16"/>
      <c r="O325" s="16"/>
      <c r="P325" s="80"/>
      <c r="Q325" s="80"/>
      <c r="R325" s="17"/>
      <c r="S325" s="17"/>
      <c r="T325" s="17"/>
      <c r="U325" s="17"/>
      <c r="V325" s="117"/>
      <c r="W325" s="117"/>
      <c r="X325" s="82"/>
      <c r="Y325" s="82"/>
      <c r="Z325" s="82"/>
      <c r="AA325" s="82"/>
      <c r="AB325" s="18"/>
      <c r="AC325" s="18"/>
      <c r="AD325" s="86"/>
      <c r="AE325" s="86"/>
      <c r="AF325" s="84"/>
      <c r="AG325" s="84"/>
      <c r="AH325" s="41"/>
      <c r="AI325" s="41"/>
      <c r="AJ325" s="41"/>
      <c r="AK325" s="41"/>
      <c r="AL325" s="185"/>
      <c r="AM325" s="185"/>
      <c r="AN325" s="187"/>
      <c r="AO325" s="187"/>
      <c r="AP325" s="187"/>
      <c r="AQ325" s="187"/>
      <c r="AR325" s="89"/>
      <c r="AS325" s="90"/>
      <c r="AT325" s="118"/>
      <c r="AU325" s="118"/>
      <c r="AV325" s="118"/>
      <c r="AW325" s="118"/>
      <c r="AX325" s="33"/>
      <c r="AY325" s="33"/>
      <c r="AZ325" s="82"/>
      <c r="BA325" s="82"/>
      <c r="BB325" s="82"/>
      <c r="BC325" s="691"/>
    </row>
    <row r="326" spans="1:55" x14ac:dyDescent="0.25">
      <c r="A326" s="68"/>
      <c r="B326" s="91"/>
      <c r="C326" s="292"/>
      <c r="D326" s="76"/>
      <c r="E326" s="76"/>
      <c r="F326" s="15"/>
      <c r="G326" s="15"/>
      <c r="H326" s="15"/>
      <c r="I326" s="15"/>
      <c r="J326" s="78"/>
      <c r="K326" s="78"/>
      <c r="L326" s="16"/>
      <c r="M326" s="16"/>
      <c r="N326" s="16"/>
      <c r="O326" s="16"/>
      <c r="P326" s="80"/>
      <c r="Q326" s="80"/>
      <c r="R326" s="17"/>
      <c r="S326" s="17"/>
      <c r="T326" s="17"/>
      <c r="U326" s="17"/>
      <c r="V326" s="117"/>
      <c r="W326" s="117"/>
      <c r="X326" s="82"/>
      <c r="Y326" s="82"/>
      <c r="Z326" s="82"/>
      <c r="AA326" s="82"/>
      <c r="AB326" s="18"/>
      <c r="AC326" s="18"/>
      <c r="AD326" s="86"/>
      <c r="AE326" s="86"/>
      <c r="AF326" s="84"/>
      <c r="AG326" s="84"/>
      <c r="AH326" s="41"/>
      <c r="AI326" s="41"/>
      <c r="AJ326" s="41"/>
      <c r="AK326" s="41"/>
      <c r="AL326" s="185"/>
      <c r="AM326" s="185"/>
      <c r="AN326" s="187"/>
      <c r="AO326" s="187"/>
      <c r="AP326" s="187"/>
      <c r="AQ326" s="187"/>
      <c r="AR326" s="89"/>
      <c r="AS326" s="90"/>
      <c r="AT326" s="118"/>
      <c r="AU326" s="118"/>
      <c r="AV326" s="118"/>
      <c r="AW326" s="118"/>
      <c r="AX326" s="33"/>
      <c r="AY326" s="33"/>
      <c r="AZ326" s="82"/>
      <c r="BA326" s="82"/>
      <c r="BB326" s="82"/>
      <c r="BC326" s="691"/>
    </row>
    <row r="327" spans="1:55" x14ac:dyDescent="0.25">
      <c r="A327" s="68"/>
      <c r="B327" s="91"/>
      <c r="C327" s="180"/>
      <c r="D327" s="76"/>
      <c r="E327" s="76"/>
      <c r="F327" s="15"/>
      <c r="G327" s="15"/>
      <c r="H327" s="15"/>
      <c r="I327" s="15"/>
      <c r="J327" s="78"/>
      <c r="K327" s="78"/>
      <c r="L327" s="16"/>
      <c r="M327" s="16"/>
      <c r="N327" s="16"/>
      <c r="O327" s="16"/>
      <c r="P327" s="80"/>
      <c r="Q327" s="80"/>
      <c r="R327" s="17"/>
      <c r="S327" s="17"/>
      <c r="T327" s="17"/>
      <c r="U327" s="17"/>
      <c r="V327" s="117"/>
      <c r="W327" s="117"/>
      <c r="X327" s="82"/>
      <c r="Y327" s="82"/>
      <c r="Z327" s="82"/>
      <c r="AA327" s="82"/>
      <c r="AB327" s="18"/>
      <c r="AC327" s="18"/>
      <c r="AD327" s="86"/>
      <c r="AE327" s="86"/>
      <c r="AF327" s="84"/>
      <c r="AG327" s="84"/>
      <c r="AH327" s="41"/>
      <c r="AI327" s="41"/>
      <c r="AJ327" s="41"/>
      <c r="AK327" s="41"/>
      <c r="AL327" s="185"/>
      <c r="AM327" s="185"/>
      <c r="AN327" s="187"/>
      <c r="AO327" s="187"/>
      <c r="AP327" s="187"/>
      <c r="AQ327" s="187"/>
      <c r="AR327" s="89"/>
      <c r="AS327" s="90"/>
      <c r="AT327" s="118"/>
      <c r="AU327" s="118"/>
      <c r="AV327" s="118"/>
      <c r="AW327" s="118"/>
      <c r="AX327" s="33"/>
      <c r="AY327" s="33"/>
      <c r="AZ327" s="82"/>
      <c r="BA327" s="82"/>
      <c r="BB327" s="82"/>
      <c r="BC327" s="691"/>
    </row>
    <row r="328" spans="1:55" x14ac:dyDescent="0.25">
      <c r="A328" s="68"/>
      <c r="B328" s="91"/>
      <c r="C328" s="180"/>
      <c r="D328" s="76"/>
      <c r="E328" s="76"/>
      <c r="F328" s="15"/>
      <c r="G328" s="15"/>
      <c r="H328" s="15"/>
      <c r="I328" s="15"/>
      <c r="J328" s="78"/>
      <c r="K328" s="78"/>
      <c r="L328" s="16"/>
      <c r="M328" s="16"/>
      <c r="N328" s="16"/>
      <c r="O328" s="16"/>
      <c r="P328" s="80"/>
      <c r="Q328" s="80"/>
      <c r="R328" s="17"/>
      <c r="S328" s="17"/>
      <c r="T328" s="17"/>
      <c r="U328" s="17"/>
      <c r="V328" s="117"/>
      <c r="W328" s="117"/>
      <c r="X328" s="82"/>
      <c r="Y328" s="82"/>
      <c r="Z328" s="82"/>
      <c r="AA328" s="82"/>
      <c r="AB328" s="18"/>
      <c r="AC328" s="18"/>
      <c r="AD328" s="86"/>
      <c r="AE328" s="86"/>
      <c r="AF328" s="84"/>
      <c r="AG328" s="84"/>
      <c r="AH328" s="41"/>
      <c r="AI328" s="41"/>
      <c r="AJ328" s="41"/>
      <c r="AK328" s="41"/>
      <c r="AL328" s="185"/>
      <c r="AM328" s="185"/>
      <c r="AN328" s="187"/>
      <c r="AO328" s="187"/>
      <c r="AP328" s="187"/>
      <c r="AQ328" s="187"/>
      <c r="AR328" s="89"/>
      <c r="AS328" s="90"/>
      <c r="AT328" s="118"/>
      <c r="AU328" s="118"/>
      <c r="AV328" s="118"/>
      <c r="AW328" s="118"/>
      <c r="AX328" s="33"/>
      <c r="AY328" s="33"/>
      <c r="AZ328" s="82"/>
      <c r="BA328" s="82"/>
      <c r="BB328" s="82"/>
      <c r="BC328" s="691"/>
    </row>
    <row r="329" spans="1:55" x14ac:dyDescent="0.25">
      <c r="A329" s="68"/>
      <c r="B329" s="91"/>
      <c r="C329" s="180"/>
      <c r="D329" s="76"/>
      <c r="E329" s="76"/>
      <c r="F329" s="15"/>
      <c r="G329" s="15"/>
      <c r="H329" s="15"/>
      <c r="I329" s="15"/>
      <c r="J329" s="78"/>
      <c r="K329" s="78"/>
      <c r="L329" s="16"/>
      <c r="M329" s="16"/>
      <c r="N329" s="16"/>
      <c r="O329" s="16"/>
      <c r="P329" s="80"/>
      <c r="Q329" s="80"/>
      <c r="R329" s="17"/>
      <c r="S329" s="17"/>
      <c r="T329" s="17"/>
      <c r="U329" s="17"/>
      <c r="V329" s="117"/>
      <c r="W329" s="117"/>
      <c r="X329" s="82"/>
      <c r="Y329" s="82"/>
      <c r="Z329" s="82"/>
      <c r="AA329" s="82"/>
      <c r="AB329" s="18"/>
      <c r="AC329" s="18"/>
      <c r="AD329" s="86"/>
      <c r="AE329" s="86"/>
      <c r="AF329" s="84"/>
      <c r="AG329" s="84"/>
      <c r="AH329" s="41"/>
      <c r="AI329" s="41"/>
      <c r="AJ329" s="41"/>
      <c r="AK329" s="41"/>
      <c r="AL329" s="185"/>
      <c r="AM329" s="185"/>
      <c r="AN329" s="187"/>
      <c r="AO329" s="187"/>
      <c r="AP329" s="187"/>
      <c r="AQ329" s="187"/>
      <c r="AR329" s="89"/>
      <c r="AS329" s="90"/>
      <c r="AT329" s="118"/>
      <c r="AU329" s="118"/>
      <c r="AV329" s="118"/>
      <c r="AW329" s="118"/>
      <c r="AX329" s="33"/>
      <c r="AY329" s="33"/>
      <c r="AZ329" s="82"/>
      <c r="BA329" s="82"/>
      <c r="BB329" s="82"/>
      <c r="BC329" s="691"/>
    </row>
    <row r="330" spans="1:55" x14ac:dyDescent="0.25">
      <c r="A330" s="68"/>
      <c r="B330" s="91"/>
      <c r="C330" s="296"/>
      <c r="D330" s="76"/>
      <c r="E330" s="76"/>
      <c r="F330" s="15"/>
      <c r="G330" s="15"/>
      <c r="H330" s="15"/>
      <c r="I330" s="15"/>
      <c r="J330" s="78"/>
      <c r="K330" s="78"/>
      <c r="L330" s="16"/>
      <c r="M330" s="16"/>
      <c r="N330" s="16"/>
      <c r="O330" s="16"/>
      <c r="P330" s="80"/>
      <c r="Q330" s="80"/>
      <c r="R330" s="17"/>
      <c r="S330" s="17"/>
      <c r="T330" s="17"/>
      <c r="U330" s="17"/>
      <c r="V330" s="295"/>
      <c r="W330" s="295"/>
      <c r="X330" s="82"/>
      <c r="Y330" s="82"/>
      <c r="Z330" s="82"/>
      <c r="AA330" s="82"/>
      <c r="AB330" s="18"/>
      <c r="AC330" s="18"/>
      <c r="AD330" s="86"/>
      <c r="AE330" s="86"/>
      <c r="AF330" s="84"/>
      <c r="AG330" s="84"/>
      <c r="AH330" s="41"/>
      <c r="AI330" s="41"/>
      <c r="AJ330" s="41"/>
      <c r="AK330" s="41"/>
      <c r="AL330" s="185"/>
      <c r="AM330" s="185"/>
      <c r="AN330" s="187"/>
      <c r="AO330" s="187"/>
      <c r="AP330" s="187"/>
      <c r="AQ330" s="187"/>
      <c r="AR330" s="89"/>
      <c r="AS330" s="90"/>
      <c r="AT330" s="297"/>
      <c r="AU330" s="297"/>
      <c r="AV330" s="297"/>
      <c r="AW330" s="297"/>
      <c r="AX330" s="33"/>
      <c r="AY330" s="33"/>
      <c r="AZ330" s="82"/>
      <c r="BA330" s="82"/>
      <c r="BB330" s="82"/>
      <c r="BC330" s="691"/>
    </row>
    <row r="331" spans="1:55" x14ac:dyDescent="0.25">
      <c r="A331" s="68"/>
      <c r="B331" s="91"/>
      <c r="C331" s="296"/>
      <c r="D331" s="76"/>
      <c r="E331" s="76"/>
      <c r="F331" s="15"/>
      <c r="G331" s="15"/>
      <c r="H331" s="15"/>
      <c r="I331" s="15"/>
      <c r="J331" s="78"/>
      <c r="K331" s="78"/>
      <c r="L331" s="16"/>
      <c r="M331" s="16"/>
      <c r="N331" s="16"/>
      <c r="O331" s="16"/>
      <c r="P331" s="80"/>
      <c r="Q331" s="80"/>
      <c r="R331" s="17"/>
      <c r="S331" s="17"/>
      <c r="T331" s="17"/>
      <c r="U331" s="17"/>
      <c r="V331" s="295"/>
      <c r="W331" s="295"/>
      <c r="X331" s="82"/>
      <c r="Y331" s="82"/>
      <c r="Z331" s="82"/>
      <c r="AA331" s="82"/>
      <c r="AB331" s="18"/>
      <c r="AC331" s="18"/>
      <c r="AD331" s="86"/>
      <c r="AE331" s="86"/>
      <c r="AF331" s="84"/>
      <c r="AG331" s="84"/>
      <c r="AH331" s="41"/>
      <c r="AI331" s="41"/>
      <c r="AJ331" s="41"/>
      <c r="AK331" s="41"/>
      <c r="AL331" s="185"/>
      <c r="AM331" s="185"/>
      <c r="AN331" s="187"/>
      <c r="AO331" s="187"/>
      <c r="AP331" s="187"/>
      <c r="AQ331" s="187"/>
      <c r="AR331" s="89"/>
      <c r="AS331" s="90"/>
      <c r="AT331" s="297"/>
      <c r="AU331" s="297"/>
      <c r="AV331" s="297"/>
      <c r="AW331" s="297"/>
      <c r="AX331" s="33"/>
      <c r="AY331" s="33"/>
      <c r="AZ331" s="82"/>
      <c r="BA331" s="82"/>
      <c r="BB331" s="82"/>
      <c r="BC331" s="691"/>
    </row>
    <row r="332" spans="1:55" x14ac:dyDescent="0.25">
      <c r="A332" s="68"/>
      <c r="B332" s="91"/>
      <c r="C332" s="296"/>
      <c r="D332" s="76"/>
      <c r="E332" s="76"/>
      <c r="F332" s="15"/>
      <c r="G332" s="15"/>
      <c r="H332" s="15"/>
      <c r="I332" s="15"/>
      <c r="J332" s="78"/>
      <c r="K332" s="78"/>
      <c r="L332" s="16"/>
      <c r="M332" s="16"/>
      <c r="N332" s="16"/>
      <c r="O332" s="16"/>
      <c r="P332" s="80"/>
      <c r="Q332" s="80"/>
      <c r="R332" s="17"/>
      <c r="S332" s="17"/>
      <c r="T332" s="17"/>
      <c r="U332" s="17"/>
      <c r="V332" s="295"/>
      <c r="W332" s="295"/>
      <c r="X332" s="82"/>
      <c r="Y332" s="82"/>
      <c r="Z332" s="82"/>
      <c r="AA332" s="82"/>
      <c r="AB332" s="18"/>
      <c r="AC332" s="18"/>
      <c r="AD332" s="86"/>
      <c r="AE332" s="86"/>
      <c r="AF332" s="84"/>
      <c r="AG332" s="84"/>
      <c r="AH332" s="41"/>
      <c r="AI332" s="41"/>
      <c r="AJ332" s="41"/>
      <c r="AK332" s="41"/>
      <c r="AL332" s="185"/>
      <c r="AM332" s="185"/>
      <c r="AN332" s="187"/>
      <c r="AO332" s="187"/>
      <c r="AP332" s="187"/>
      <c r="AQ332" s="187"/>
      <c r="AR332" s="89"/>
      <c r="AS332" s="90"/>
      <c r="AT332" s="297"/>
      <c r="AU332" s="297"/>
      <c r="AV332" s="297"/>
      <c r="AW332" s="297"/>
      <c r="AX332" s="33"/>
      <c r="AY332" s="33"/>
      <c r="AZ332" s="82"/>
      <c r="BA332" s="82"/>
      <c r="BB332" s="82"/>
      <c r="BC332" s="691"/>
    </row>
    <row r="333" spans="1:55" x14ac:dyDescent="0.25">
      <c r="A333" s="68"/>
      <c r="B333" s="91"/>
      <c r="C333" s="296"/>
      <c r="D333" s="76"/>
      <c r="E333" s="76"/>
      <c r="F333" s="15"/>
      <c r="G333" s="15"/>
      <c r="H333" s="15"/>
      <c r="I333" s="15"/>
      <c r="J333" s="78"/>
      <c r="K333" s="78"/>
      <c r="L333" s="16"/>
      <c r="M333" s="16"/>
      <c r="N333" s="16"/>
      <c r="O333" s="16"/>
      <c r="P333" s="80"/>
      <c r="Q333" s="80"/>
      <c r="R333" s="17"/>
      <c r="S333" s="17"/>
      <c r="T333" s="17"/>
      <c r="U333" s="17"/>
      <c r="V333" s="295"/>
      <c r="W333" s="295"/>
      <c r="X333" s="82"/>
      <c r="Y333" s="82"/>
      <c r="Z333" s="82"/>
      <c r="AA333" s="82"/>
      <c r="AB333" s="18"/>
      <c r="AC333" s="18"/>
      <c r="AD333" s="86"/>
      <c r="AE333" s="86"/>
      <c r="AF333" s="84"/>
      <c r="AG333" s="84"/>
      <c r="AH333" s="41"/>
      <c r="AI333" s="41"/>
      <c r="AJ333" s="41"/>
      <c r="AK333" s="41"/>
      <c r="AL333" s="185"/>
      <c r="AM333" s="185"/>
      <c r="AN333" s="187"/>
      <c r="AO333" s="187"/>
      <c r="AP333" s="187"/>
      <c r="AQ333" s="187"/>
      <c r="AR333" s="89"/>
      <c r="AS333" s="90"/>
      <c r="AT333" s="297"/>
      <c r="AU333" s="297"/>
      <c r="AV333" s="297"/>
      <c r="AW333" s="297"/>
      <c r="AX333" s="33"/>
      <c r="AY333" s="33"/>
      <c r="AZ333" s="82"/>
      <c r="BA333" s="82"/>
      <c r="BB333" s="82"/>
      <c r="BC333" s="691"/>
    </row>
    <row r="334" spans="1:55" x14ac:dyDescent="0.25">
      <c r="A334" s="68"/>
      <c r="B334" s="91"/>
      <c r="C334" s="296"/>
      <c r="D334" s="76"/>
      <c r="E334" s="76"/>
      <c r="F334" s="15"/>
      <c r="G334" s="15"/>
      <c r="H334" s="15"/>
      <c r="I334" s="15"/>
      <c r="J334" s="78"/>
      <c r="K334" s="78"/>
      <c r="L334" s="16"/>
      <c r="M334" s="16"/>
      <c r="N334" s="16"/>
      <c r="O334" s="16"/>
      <c r="P334" s="80"/>
      <c r="Q334" s="80"/>
      <c r="R334" s="17"/>
      <c r="S334" s="17"/>
      <c r="T334" s="17"/>
      <c r="U334" s="17"/>
      <c r="V334" s="295"/>
      <c r="W334" s="295"/>
      <c r="X334" s="82"/>
      <c r="Y334" s="82"/>
      <c r="Z334" s="82"/>
      <c r="AA334" s="82"/>
      <c r="AB334" s="18"/>
      <c r="AC334" s="18"/>
      <c r="AD334" s="86"/>
      <c r="AE334" s="86"/>
      <c r="AF334" s="84"/>
      <c r="AG334" s="84"/>
      <c r="AH334" s="41"/>
      <c r="AI334" s="41"/>
      <c r="AJ334" s="41"/>
      <c r="AK334" s="41"/>
      <c r="AL334" s="185"/>
      <c r="AM334" s="185"/>
      <c r="AN334" s="187"/>
      <c r="AO334" s="187"/>
      <c r="AP334" s="187"/>
      <c r="AQ334" s="187"/>
      <c r="AR334" s="89"/>
      <c r="AS334" s="90"/>
      <c r="AT334" s="297"/>
      <c r="AU334" s="297"/>
      <c r="AV334" s="297"/>
      <c r="AW334" s="297"/>
      <c r="AX334" s="33"/>
      <c r="AY334" s="33"/>
      <c r="AZ334" s="82"/>
      <c r="BA334" s="82"/>
      <c r="BB334" s="82"/>
      <c r="BC334" s="691"/>
    </row>
    <row r="335" spans="1:55" x14ac:dyDescent="0.25">
      <c r="A335" t="s">
        <v>6</v>
      </c>
    </row>
  </sheetData>
  <autoFilter ref="AL1:AL335"/>
  <mergeCells count="32">
    <mergeCell ref="A4:C4"/>
    <mergeCell ref="AR2:AS2"/>
    <mergeCell ref="AX2:AY2"/>
    <mergeCell ref="A2:A3"/>
    <mergeCell ref="B2:B3"/>
    <mergeCell ref="C2:C3"/>
    <mergeCell ref="D2:E2"/>
    <mergeCell ref="J2:K2"/>
    <mergeCell ref="P2:Q2"/>
    <mergeCell ref="V2:W2"/>
    <mergeCell ref="AB2:AC2"/>
    <mergeCell ref="AF2:AG2"/>
    <mergeCell ref="AT2:AU2"/>
    <mergeCell ref="AV2:AW2"/>
    <mergeCell ref="AN2:AO2"/>
    <mergeCell ref="AP2:AQ2"/>
    <mergeCell ref="BD2:BE2"/>
    <mergeCell ref="A1:BE1"/>
    <mergeCell ref="AZ2:BA2"/>
    <mergeCell ref="BB2:BC2"/>
    <mergeCell ref="F2:G2"/>
    <mergeCell ref="H2:I2"/>
    <mergeCell ref="L2:M2"/>
    <mergeCell ref="N2:O2"/>
    <mergeCell ref="R2:S2"/>
    <mergeCell ref="T2:U2"/>
    <mergeCell ref="X2:Y2"/>
    <mergeCell ref="Z2:AA2"/>
    <mergeCell ref="AD2:AE2"/>
    <mergeCell ref="AH2:AI2"/>
    <mergeCell ref="AJ2:AK2"/>
    <mergeCell ref="AL2:AM2"/>
  </mergeCells>
  <dataValidations count="2">
    <dataValidation type="list" allowBlank="1" showInputMessage="1" showErrorMessage="1" sqref="C5">
      <formula1>"BOD, BOF, SWS, RFD, OTHER, ASSIST"</formula1>
    </dataValidation>
    <dataValidation type="list" allowBlank="1" showInputMessage="1" showErrorMessage="1" sqref="C6:C334">
      <formula1>"BOD, BOF, SWS, MILITARY, RFD, OTHER, ASSIST"</formula1>
    </dataValidation>
  </dataValidations>
  <pageMargins left="0.7" right="0.7" top="0.75" bottom="0.75" header="0.3" footer="0.3"/>
  <pageSetup paperSize="17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471"/>
  <sheetViews>
    <sheetView topLeftCell="A127" zoomScaleNormal="100" workbookViewId="0">
      <selection activeCell="M152" sqref="M152"/>
    </sheetView>
  </sheetViews>
  <sheetFormatPr defaultColWidth="8.5703125" defaultRowHeight="15" customHeight="1" x14ac:dyDescent="0.25"/>
  <cols>
    <col min="1" max="3" width="7.7109375" style="363" customWidth="1"/>
    <col min="4" max="4" width="7.7109375" style="364" customWidth="1"/>
    <col min="5" max="5" width="7.28515625" style="363" customWidth="1"/>
    <col min="6" max="6" width="35.42578125" style="363" customWidth="1"/>
    <col min="7" max="7" width="16.28515625" style="363" bestFit="1" customWidth="1"/>
    <col min="8" max="8" width="12.42578125" style="363" bestFit="1" customWidth="1"/>
    <col min="9" max="9" width="6.7109375" style="363" customWidth="1"/>
    <col min="10" max="10" width="9" style="363" customWidth="1"/>
    <col min="11" max="11" width="8.140625" style="363" bestFit="1" customWidth="1"/>
    <col min="12" max="12" width="8.42578125" style="363" customWidth="1"/>
    <col min="13" max="14" width="8.28515625" style="363" customWidth="1"/>
    <col min="15" max="17" width="8.5703125" style="2"/>
    <col min="18" max="18" width="8.5703125" style="2" customWidth="1"/>
    <col min="19" max="21" width="8.5703125" style="2"/>
    <col min="22" max="22" width="8.5703125" style="270"/>
    <col min="23" max="23" width="8.5703125" style="2"/>
    <col min="24" max="24" width="8.5703125" style="270"/>
    <col min="25" max="26" width="8.5703125" style="2"/>
    <col min="27" max="27" width="8.5703125" style="453"/>
    <col min="28" max="28" width="7.85546875" style="363" customWidth="1"/>
    <col min="29" max="29" width="9.140625" style="363" customWidth="1"/>
    <col min="30" max="30" width="9" style="363" customWidth="1"/>
    <col min="31" max="31" width="8" style="363" customWidth="1"/>
    <col min="32" max="32" width="11.5703125" style="363" customWidth="1"/>
    <col min="33" max="33" width="7.85546875" style="363" customWidth="1"/>
    <col min="34" max="34" width="5.5703125" style="363" customWidth="1"/>
    <col min="35" max="35" width="20.85546875" style="363" customWidth="1"/>
    <col min="36" max="36" width="9.28515625" style="363" customWidth="1"/>
    <col min="37" max="37" width="8.7109375" style="363" customWidth="1"/>
    <col min="38" max="39" width="7" style="363" customWidth="1"/>
    <col min="40" max="40" width="10.140625" style="363" customWidth="1"/>
    <col min="41" max="41" width="12.7109375" style="363" customWidth="1"/>
    <col min="42" max="42" width="11" style="103" customWidth="1"/>
    <col min="43" max="47" width="8.5703125" style="2"/>
    <col min="48" max="48" width="8.5703125" style="270"/>
    <col min="49" max="49" width="10.42578125" style="2" customWidth="1"/>
    <col min="50" max="16384" width="8.5703125" style="2"/>
  </cols>
  <sheetData>
    <row r="1" spans="1:49" ht="15" customHeight="1" x14ac:dyDescent="0.25">
      <c r="A1" s="1071" t="s">
        <v>285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AD1" s="363" t="s">
        <v>6</v>
      </c>
    </row>
    <row r="2" spans="1:49" ht="16.5" customHeight="1" x14ac:dyDescent="0.25">
      <c r="A2" s="1068" t="s">
        <v>0</v>
      </c>
      <c r="B2" s="1068" t="s">
        <v>25</v>
      </c>
      <c r="C2" s="1066" t="s">
        <v>29</v>
      </c>
      <c r="D2" s="1076" t="s">
        <v>1</v>
      </c>
      <c r="E2" s="1068" t="s">
        <v>139</v>
      </c>
      <c r="F2" s="1068" t="s">
        <v>7</v>
      </c>
      <c r="G2" s="1068" t="s">
        <v>112</v>
      </c>
      <c r="H2" s="1066" t="s">
        <v>96</v>
      </c>
      <c r="I2" s="1068" t="s">
        <v>27</v>
      </c>
      <c r="J2" s="1072" t="s">
        <v>24</v>
      </c>
      <c r="K2" s="1072"/>
      <c r="L2" s="1072"/>
      <c r="M2" s="1072"/>
      <c r="N2" s="1072"/>
      <c r="O2" s="1017" t="s">
        <v>3</v>
      </c>
      <c r="P2" s="1073"/>
      <c r="Q2" s="1073"/>
      <c r="R2" s="1073"/>
      <c r="S2" s="1073"/>
      <c r="T2" s="1073"/>
      <c r="U2" s="1073"/>
      <c r="V2" s="1073"/>
      <c r="W2" s="1073"/>
      <c r="X2" s="1073"/>
      <c r="Y2" s="1073"/>
      <c r="Z2" s="1074"/>
      <c r="AA2" s="1086" t="s">
        <v>87</v>
      </c>
      <c r="AB2" s="1068" t="s">
        <v>28</v>
      </c>
      <c r="AC2" s="1066" t="s">
        <v>140</v>
      </c>
      <c r="AD2" s="1068" t="s">
        <v>30</v>
      </c>
      <c r="AE2" s="1066" t="s">
        <v>86</v>
      </c>
      <c r="AF2" s="1068" t="s">
        <v>31</v>
      </c>
      <c r="AG2" s="1068" t="s">
        <v>182</v>
      </c>
      <c r="AH2" s="1068" t="s">
        <v>32</v>
      </c>
      <c r="AI2" s="1066" t="s">
        <v>158</v>
      </c>
      <c r="AJ2" s="1066" t="s">
        <v>240</v>
      </c>
      <c r="AK2" s="1066" t="s">
        <v>135</v>
      </c>
      <c r="AL2" s="1068" t="s">
        <v>33</v>
      </c>
      <c r="AM2" s="1066" t="s">
        <v>159</v>
      </c>
      <c r="AN2" s="1083" t="s">
        <v>170</v>
      </c>
      <c r="AO2" s="1083" t="s">
        <v>234</v>
      </c>
      <c r="AP2" s="103" t="s">
        <v>144</v>
      </c>
    </row>
    <row r="3" spans="1:49" s="3" customFormat="1" ht="29.25" customHeight="1" x14ac:dyDescent="0.25">
      <c r="A3" s="1069"/>
      <c r="B3" s="1069"/>
      <c r="C3" s="1070"/>
      <c r="D3" s="1077"/>
      <c r="E3" s="1069"/>
      <c r="F3" s="1069"/>
      <c r="G3" s="1069"/>
      <c r="H3" s="1075"/>
      <c r="I3" s="1069"/>
      <c r="J3" s="450" t="s">
        <v>26</v>
      </c>
      <c r="K3" s="450" t="s">
        <v>34</v>
      </c>
      <c r="L3" s="450" t="s">
        <v>35</v>
      </c>
      <c r="M3" s="450" t="s">
        <v>36</v>
      </c>
      <c r="N3" s="450" t="s">
        <v>37</v>
      </c>
      <c r="O3" s="32" t="s">
        <v>5</v>
      </c>
      <c r="P3" s="26" t="s">
        <v>91</v>
      </c>
      <c r="Q3" s="27" t="s">
        <v>93</v>
      </c>
      <c r="R3" s="28" t="s">
        <v>95</v>
      </c>
      <c r="S3" s="25" t="s">
        <v>202</v>
      </c>
      <c r="T3" s="29" t="s">
        <v>203</v>
      </c>
      <c r="U3" s="30" t="s">
        <v>204</v>
      </c>
      <c r="V3" s="40" t="s">
        <v>206</v>
      </c>
      <c r="W3" s="188" t="s">
        <v>245</v>
      </c>
      <c r="X3" s="906" t="s">
        <v>864</v>
      </c>
      <c r="Y3" s="31" t="s">
        <v>61</v>
      </c>
      <c r="Z3" s="277" t="s">
        <v>62</v>
      </c>
      <c r="AA3" s="1087"/>
      <c r="AB3" s="1069"/>
      <c r="AC3" s="1075"/>
      <c r="AD3" s="1069"/>
      <c r="AE3" s="1075"/>
      <c r="AF3" s="1069"/>
      <c r="AG3" s="1069"/>
      <c r="AH3" s="1069"/>
      <c r="AI3" s="1075"/>
      <c r="AJ3" s="1070"/>
      <c r="AK3" s="1067"/>
      <c r="AL3" s="1069"/>
      <c r="AM3" s="1075"/>
      <c r="AN3" s="1084"/>
      <c r="AO3" s="1085"/>
      <c r="AP3" s="216"/>
      <c r="AQ3" s="29" t="s">
        <v>115</v>
      </c>
      <c r="AR3" s="31" t="s">
        <v>116</v>
      </c>
      <c r="AS3" s="27" t="s">
        <v>117</v>
      </c>
      <c r="AT3" s="26" t="s">
        <v>118</v>
      </c>
      <c r="AU3" s="95" t="s">
        <v>119</v>
      </c>
      <c r="AV3" s="440" t="s">
        <v>247</v>
      </c>
      <c r="AW3" s="40" t="s">
        <v>3</v>
      </c>
    </row>
    <row r="4" spans="1:49" s="3" customFormat="1" ht="15" customHeight="1" x14ac:dyDescent="0.25">
      <c r="A4" s="1078" t="s">
        <v>155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80"/>
      <c r="O4" s="32">
        <f t="shared" ref="O4:Z4" si="0">SUM(O5:O269)</f>
        <v>86519.420000000056</v>
      </c>
      <c r="P4" s="32">
        <f t="shared" si="0"/>
        <v>70233.75</v>
      </c>
      <c r="Q4" s="32">
        <f t="shared" si="0"/>
        <v>0</v>
      </c>
      <c r="R4" s="32">
        <f t="shared" si="0"/>
        <v>3956.1000000000004</v>
      </c>
      <c r="S4" s="32">
        <f t="shared" si="0"/>
        <v>2225.2999999999997</v>
      </c>
      <c r="T4" s="32">
        <f t="shared" si="0"/>
        <v>0</v>
      </c>
      <c r="U4" s="32">
        <f t="shared" si="0"/>
        <v>6</v>
      </c>
      <c r="V4" s="32">
        <f t="shared" si="0"/>
        <v>35.9</v>
      </c>
      <c r="W4" s="32">
        <f t="shared" si="0"/>
        <v>56</v>
      </c>
      <c r="X4" s="32">
        <f t="shared" si="0"/>
        <v>8838</v>
      </c>
      <c r="Y4" s="32">
        <f t="shared" si="0"/>
        <v>1148.95</v>
      </c>
      <c r="Z4" s="32">
        <f t="shared" si="0"/>
        <v>19.420000000000002</v>
      </c>
      <c r="AA4" s="454"/>
      <c r="AB4" s="91"/>
      <c r="AC4" s="91"/>
      <c r="AD4" s="91"/>
      <c r="AE4" s="91">
        <f>COUNTIF(AE5:AE269,"Y")</f>
        <v>90</v>
      </c>
      <c r="AF4" s="91">
        <f>COUNTIF(AF5:AF269,"Y")</f>
        <v>12</v>
      </c>
      <c r="AG4" s="91">
        <f>COUNTIF(AG5:AG269,"Y")</f>
        <v>28</v>
      </c>
      <c r="AH4" s="91">
        <f>COUNTIF(AH5:AH269,"Y")</f>
        <v>11</v>
      </c>
      <c r="AI4" s="91" t="s">
        <v>6</v>
      </c>
      <c r="AJ4" s="91">
        <f>COUNTIF(AJ5:AJ269,"Y")</f>
        <v>2</v>
      </c>
      <c r="AK4" s="91">
        <f>COUNTIF(AK5:AK269,"Y")</f>
        <v>73</v>
      </c>
      <c r="AL4" s="91">
        <f>COUNTIF(AL5:AL269,"Y")</f>
        <v>8</v>
      </c>
      <c r="AM4" s="91">
        <f>COUNTIF(AM5:AM269,"Y")</f>
        <v>31</v>
      </c>
      <c r="AN4" s="91">
        <f>COUNTIF(AN5:AN269,"Y")</f>
        <v>23</v>
      </c>
      <c r="AO4" s="91"/>
      <c r="AP4" s="104" t="s">
        <v>154</v>
      </c>
      <c r="AQ4" s="29"/>
      <c r="AR4" s="31"/>
      <c r="AS4" s="16"/>
      <c r="AT4" s="15"/>
      <c r="AU4" s="346"/>
      <c r="AV4" s="185"/>
      <c r="AW4" s="40">
        <f>SUM(AT4:AV4)</f>
        <v>0</v>
      </c>
    </row>
    <row r="5" spans="1:49" ht="15" customHeight="1" x14ac:dyDescent="0.25">
      <c r="A5" s="358">
        <v>43134</v>
      </c>
      <c r="B5" s="358" t="s">
        <v>306</v>
      </c>
      <c r="C5" s="729" t="s">
        <v>91</v>
      </c>
      <c r="D5" s="359">
        <v>14</v>
      </c>
      <c r="E5" s="729" t="s">
        <v>10</v>
      </c>
      <c r="F5" s="813" t="s">
        <v>304</v>
      </c>
      <c r="G5" s="729" t="s">
        <v>307</v>
      </c>
      <c r="H5" s="729"/>
      <c r="I5" s="729" t="s">
        <v>8</v>
      </c>
      <c r="J5" s="729" t="s">
        <v>308</v>
      </c>
      <c r="K5" s="729" t="s">
        <v>309</v>
      </c>
      <c r="L5" s="729" t="s">
        <v>310</v>
      </c>
      <c r="M5" s="729">
        <v>544121</v>
      </c>
      <c r="N5" s="729">
        <v>4810654</v>
      </c>
      <c r="O5" s="33">
        <f>SUM(P5:Z5)</f>
        <v>6</v>
      </c>
      <c r="P5" s="130">
        <v>6</v>
      </c>
      <c r="Q5" s="16"/>
      <c r="R5" s="17"/>
      <c r="S5" s="298"/>
      <c r="T5" s="18"/>
      <c r="U5" s="19"/>
      <c r="V5" s="41"/>
      <c r="W5" s="187"/>
      <c r="X5" s="76"/>
      <c r="Y5" s="300"/>
      <c r="Z5" s="306"/>
      <c r="AA5" s="358">
        <v>43134</v>
      </c>
      <c r="AB5" s="358">
        <v>43134</v>
      </c>
      <c r="AC5" s="729" t="s">
        <v>311</v>
      </c>
      <c r="AD5" s="729" t="s">
        <v>312</v>
      </c>
      <c r="AE5" s="729" t="s">
        <v>313</v>
      </c>
      <c r="AF5" s="729" t="s">
        <v>314</v>
      </c>
      <c r="AG5" s="729" t="s">
        <v>314</v>
      </c>
      <c r="AH5" s="729" t="s">
        <v>313</v>
      </c>
      <c r="AI5" s="781"/>
      <c r="AJ5" s="729" t="s">
        <v>314</v>
      </c>
      <c r="AK5" s="729" t="s">
        <v>313</v>
      </c>
      <c r="AL5" s="729" t="s">
        <v>315</v>
      </c>
      <c r="AM5" s="729" t="s">
        <v>315</v>
      </c>
      <c r="AN5" s="729" t="s">
        <v>315</v>
      </c>
      <c r="AO5" s="729" t="s">
        <v>316</v>
      </c>
      <c r="AP5" s="105" t="s">
        <v>120</v>
      </c>
      <c r="AQ5" s="29"/>
      <c r="AR5" s="31"/>
      <c r="AS5" s="16"/>
      <c r="AT5" s="15"/>
      <c r="AU5" s="346"/>
      <c r="AV5" s="441"/>
      <c r="AW5" s="40">
        <f>SUM(AT5:AV5)</f>
        <v>0</v>
      </c>
    </row>
    <row r="6" spans="1:49" ht="15" customHeight="1" x14ac:dyDescent="0.25">
      <c r="A6" s="817">
        <v>43144</v>
      </c>
      <c r="B6" s="817" t="s">
        <v>318</v>
      </c>
      <c r="C6" s="816" t="s">
        <v>265</v>
      </c>
      <c r="D6" s="819">
        <v>17</v>
      </c>
      <c r="E6" s="816"/>
      <c r="F6" s="78" t="s">
        <v>322</v>
      </c>
      <c r="G6" s="816" t="s">
        <v>324</v>
      </c>
      <c r="H6" s="816"/>
      <c r="I6" s="816" t="s">
        <v>172</v>
      </c>
      <c r="J6" s="816" t="s">
        <v>334</v>
      </c>
      <c r="K6" s="816" t="s">
        <v>320</v>
      </c>
      <c r="L6" s="816" t="s">
        <v>335</v>
      </c>
      <c r="M6" s="816">
        <v>590733</v>
      </c>
      <c r="N6" s="816">
        <v>4877719</v>
      </c>
      <c r="O6" s="648">
        <f t="shared" ref="O6:O74" si="1">SUM(P6:Z6)</f>
        <v>11.8</v>
      </c>
      <c r="P6" s="130"/>
      <c r="Q6" s="16"/>
      <c r="R6" s="17"/>
      <c r="S6" s="333"/>
      <c r="T6" s="18"/>
      <c r="U6" s="19"/>
      <c r="V6" s="41"/>
      <c r="W6" s="187"/>
      <c r="X6" s="76"/>
      <c r="Y6" s="334"/>
      <c r="Z6" s="306">
        <v>11.8</v>
      </c>
      <c r="AA6" s="817"/>
      <c r="AB6" s="817"/>
      <c r="AC6" s="815"/>
      <c r="AD6" s="815"/>
      <c r="AE6" s="815"/>
      <c r="AF6" s="815"/>
      <c r="AG6" s="815"/>
      <c r="AH6" s="815"/>
      <c r="AI6" s="815"/>
      <c r="AJ6" s="815"/>
      <c r="AK6" s="815"/>
      <c r="AL6" s="815"/>
      <c r="AM6" s="815"/>
      <c r="AN6" s="815"/>
      <c r="AO6" s="815"/>
      <c r="AP6" s="105" t="s">
        <v>121</v>
      </c>
      <c r="AQ6" s="29"/>
      <c r="AR6" s="31"/>
      <c r="AS6" s="16"/>
      <c r="AT6" s="15"/>
      <c r="AU6" s="346"/>
      <c r="AV6" s="185"/>
      <c r="AW6" s="40">
        <f>SUM(AT6:AU6)</f>
        <v>0</v>
      </c>
    </row>
    <row r="7" spans="1:49" ht="15" customHeight="1" x14ac:dyDescent="0.25">
      <c r="A7" s="817">
        <v>43158</v>
      </c>
      <c r="B7" s="817" t="s">
        <v>325</v>
      </c>
      <c r="C7" s="820" t="s">
        <v>266</v>
      </c>
      <c r="D7" s="819">
        <v>26</v>
      </c>
      <c r="E7" s="820"/>
      <c r="F7" s="820" t="s">
        <v>326</v>
      </c>
      <c r="G7" s="820"/>
      <c r="H7" s="820"/>
      <c r="I7" s="820" t="s">
        <v>327</v>
      </c>
      <c r="J7" s="820" t="s">
        <v>328</v>
      </c>
      <c r="K7" s="820" t="s">
        <v>329</v>
      </c>
      <c r="L7" s="820" t="s">
        <v>330</v>
      </c>
      <c r="M7" s="820"/>
      <c r="N7" s="820"/>
      <c r="O7" s="648">
        <f t="shared" si="1"/>
        <v>0</v>
      </c>
      <c r="P7" s="130"/>
      <c r="Q7" s="16"/>
      <c r="R7" s="17"/>
      <c r="S7" s="298"/>
      <c r="T7" s="18"/>
      <c r="U7" s="19"/>
      <c r="V7" s="41"/>
      <c r="W7" s="187"/>
      <c r="X7" s="76"/>
      <c r="Y7" s="300"/>
      <c r="Z7" s="306"/>
      <c r="AA7" s="817"/>
      <c r="AB7" s="817"/>
      <c r="AC7" s="821"/>
      <c r="AD7" s="821"/>
      <c r="AE7" s="821"/>
      <c r="AF7" s="821"/>
      <c r="AG7" s="821"/>
      <c r="AH7" s="821"/>
      <c r="AI7" s="821"/>
      <c r="AJ7" s="821"/>
      <c r="AK7" s="821"/>
      <c r="AL7" s="821"/>
      <c r="AM7" s="821"/>
      <c r="AN7" s="821"/>
      <c r="AO7" s="821"/>
      <c r="AP7" s="105" t="s">
        <v>122</v>
      </c>
      <c r="AQ7" s="29"/>
      <c r="AR7" s="31"/>
      <c r="AS7" s="16"/>
      <c r="AT7" s="15"/>
      <c r="AU7" s="346"/>
      <c r="AV7" s="185"/>
      <c r="AW7" s="40">
        <f>SUM(AT7:AU7)</f>
        <v>0</v>
      </c>
    </row>
    <row r="8" spans="1:49" ht="15" customHeight="1" x14ac:dyDescent="0.25">
      <c r="A8" s="358">
        <v>43188</v>
      </c>
      <c r="B8" s="358" t="s">
        <v>337</v>
      </c>
      <c r="C8" s="729" t="s">
        <v>256</v>
      </c>
      <c r="D8" s="359">
        <v>52</v>
      </c>
      <c r="E8" s="729" t="s">
        <v>10</v>
      </c>
      <c r="F8" s="813" t="s">
        <v>336</v>
      </c>
      <c r="G8" s="729" t="s">
        <v>332</v>
      </c>
      <c r="H8" s="729"/>
      <c r="I8" s="729" t="s">
        <v>8</v>
      </c>
      <c r="J8" s="729" t="s">
        <v>338</v>
      </c>
      <c r="K8" s="729" t="s">
        <v>339</v>
      </c>
      <c r="L8" s="729" t="s">
        <v>340</v>
      </c>
      <c r="M8" s="729">
        <v>627153</v>
      </c>
      <c r="N8" s="729">
        <v>4756636</v>
      </c>
      <c r="O8" s="648">
        <f t="shared" si="1"/>
        <v>6.5</v>
      </c>
      <c r="P8" s="130">
        <v>6.4</v>
      </c>
      <c r="Q8" s="16"/>
      <c r="R8" s="17"/>
      <c r="S8" s="298">
        <v>0.1</v>
      </c>
      <c r="T8" s="18"/>
      <c r="U8" s="19"/>
      <c r="V8" s="41"/>
      <c r="W8" s="187"/>
      <c r="X8" s="76"/>
      <c r="Y8" s="300"/>
      <c r="Z8" s="306"/>
      <c r="AA8" s="358">
        <v>43188</v>
      </c>
      <c r="AB8" s="358">
        <v>43188</v>
      </c>
      <c r="AC8" s="729" t="s">
        <v>311</v>
      </c>
      <c r="AD8" s="729" t="s">
        <v>2</v>
      </c>
      <c r="AE8" s="729" t="s">
        <v>313</v>
      </c>
      <c r="AF8" s="729" t="s">
        <v>314</v>
      </c>
      <c r="AG8" s="729" t="s">
        <v>314</v>
      </c>
      <c r="AH8" s="729" t="s">
        <v>314</v>
      </c>
      <c r="AI8" s="821"/>
      <c r="AJ8" s="729" t="s">
        <v>314</v>
      </c>
      <c r="AK8" s="729" t="s">
        <v>313</v>
      </c>
      <c r="AL8" s="729" t="s">
        <v>315</v>
      </c>
      <c r="AM8" s="729" t="s">
        <v>315</v>
      </c>
      <c r="AN8" s="729" t="s">
        <v>315</v>
      </c>
      <c r="AO8" s="729" t="s">
        <v>316</v>
      </c>
      <c r="AP8" s="105" t="s">
        <v>123</v>
      </c>
      <c r="AQ8" s="29"/>
      <c r="AR8" s="31"/>
      <c r="AS8" s="16"/>
      <c r="AT8" s="15"/>
      <c r="AU8" s="96"/>
      <c r="AV8" s="185"/>
      <c r="AW8" s="40">
        <f t="shared" ref="AW8:AW15" si="2">SUM(AT8:AV8)</f>
        <v>0</v>
      </c>
    </row>
    <row r="9" spans="1:49" s="270" customFormat="1" ht="15" customHeight="1" x14ac:dyDescent="0.25">
      <c r="A9" s="358">
        <v>43201</v>
      </c>
      <c r="B9" s="358" t="s">
        <v>348</v>
      </c>
      <c r="C9" s="729" t="s">
        <v>91</v>
      </c>
      <c r="D9" s="359">
        <v>74</v>
      </c>
      <c r="E9" s="729" t="s">
        <v>11</v>
      </c>
      <c r="F9" s="813" t="s">
        <v>341</v>
      </c>
      <c r="G9" s="729" t="s">
        <v>344</v>
      </c>
      <c r="H9" s="729"/>
      <c r="I9" s="729" t="s">
        <v>8</v>
      </c>
      <c r="J9" s="729" t="s">
        <v>342</v>
      </c>
      <c r="K9" s="729" t="s">
        <v>343</v>
      </c>
      <c r="L9" s="729" t="s">
        <v>345</v>
      </c>
      <c r="M9" s="729">
        <v>547408</v>
      </c>
      <c r="N9" s="729">
        <v>4806225</v>
      </c>
      <c r="O9" s="886">
        <f t="shared" si="1"/>
        <v>3</v>
      </c>
      <c r="P9" s="130">
        <v>3</v>
      </c>
      <c r="Q9" s="16"/>
      <c r="R9" s="17"/>
      <c r="S9" s="373"/>
      <c r="T9" s="18"/>
      <c r="U9" s="19"/>
      <c r="V9" s="41"/>
      <c r="W9" s="187"/>
      <c r="X9" s="76"/>
      <c r="Y9" s="374"/>
      <c r="Z9" s="306"/>
      <c r="AA9" s="730">
        <v>43201</v>
      </c>
      <c r="AB9" s="730">
        <v>43201</v>
      </c>
      <c r="AC9" s="730" t="s">
        <v>311</v>
      </c>
      <c r="AD9" s="730" t="s">
        <v>312</v>
      </c>
      <c r="AE9" s="730" t="s">
        <v>313</v>
      </c>
      <c r="AF9" s="730" t="s">
        <v>314</v>
      </c>
      <c r="AG9" s="730" t="s">
        <v>314</v>
      </c>
      <c r="AH9" s="730" t="s">
        <v>313</v>
      </c>
      <c r="AI9" s="823"/>
      <c r="AJ9" s="730" t="s">
        <v>314</v>
      </c>
      <c r="AK9" s="730" t="s">
        <v>313</v>
      </c>
      <c r="AL9" s="730" t="s">
        <v>315</v>
      </c>
      <c r="AM9" s="730" t="s">
        <v>315</v>
      </c>
      <c r="AN9" s="730" t="s">
        <v>315</v>
      </c>
      <c r="AO9" s="730" t="s">
        <v>316</v>
      </c>
      <c r="AP9" s="105" t="s">
        <v>124</v>
      </c>
      <c r="AQ9" s="29"/>
      <c r="AR9" s="31"/>
      <c r="AS9" s="16"/>
      <c r="AT9" s="15"/>
      <c r="AU9" s="96"/>
      <c r="AV9" s="185"/>
      <c r="AW9" s="40">
        <f t="shared" si="2"/>
        <v>0</v>
      </c>
    </row>
    <row r="10" spans="1:49" ht="15" customHeight="1" x14ac:dyDescent="0.25">
      <c r="A10" s="817">
        <v>43210</v>
      </c>
      <c r="B10" s="824" t="s">
        <v>352</v>
      </c>
      <c r="C10" s="824" t="s">
        <v>266</v>
      </c>
      <c r="D10" s="824">
        <v>92</v>
      </c>
      <c r="E10" s="824"/>
      <c r="F10" s="824" t="s">
        <v>356</v>
      </c>
      <c r="G10" s="824"/>
      <c r="H10" s="824"/>
      <c r="I10" s="824" t="s">
        <v>327</v>
      </c>
      <c r="J10" s="824" t="s">
        <v>353</v>
      </c>
      <c r="K10" s="824" t="s">
        <v>354</v>
      </c>
      <c r="L10" s="824" t="s">
        <v>355</v>
      </c>
      <c r="M10" s="824"/>
      <c r="N10" s="824"/>
      <c r="O10" s="648">
        <f t="shared" si="1"/>
        <v>0</v>
      </c>
      <c r="P10" s="130"/>
      <c r="Q10" s="16"/>
      <c r="R10" s="17"/>
      <c r="S10" s="298"/>
      <c r="T10" s="18"/>
      <c r="U10" s="19"/>
      <c r="V10" s="41"/>
      <c r="W10" s="187"/>
      <c r="X10" s="76"/>
      <c r="Y10" s="300"/>
      <c r="Z10" s="306"/>
      <c r="AA10" s="817"/>
      <c r="AB10" s="817"/>
      <c r="AC10" s="825"/>
      <c r="AD10" s="825"/>
      <c r="AE10" s="825"/>
      <c r="AF10" s="825"/>
      <c r="AG10" s="825"/>
      <c r="AH10" s="825"/>
      <c r="AI10" s="825"/>
      <c r="AJ10" s="825"/>
      <c r="AK10" s="825"/>
      <c r="AL10" s="825"/>
      <c r="AM10" s="825"/>
      <c r="AN10" s="825"/>
      <c r="AO10" s="825"/>
      <c r="AP10" s="105" t="s">
        <v>125</v>
      </c>
      <c r="AQ10" s="29"/>
      <c r="AR10" s="31"/>
      <c r="AS10" s="16"/>
      <c r="AT10" s="15"/>
      <c r="AU10" s="96"/>
      <c r="AV10" s="185"/>
      <c r="AW10" s="40">
        <f t="shared" si="2"/>
        <v>0</v>
      </c>
    </row>
    <row r="11" spans="1:49" ht="15" customHeight="1" x14ac:dyDescent="0.25">
      <c r="A11" s="358">
        <v>43234</v>
      </c>
      <c r="B11" s="358" t="s">
        <v>382</v>
      </c>
      <c r="C11" s="729" t="s">
        <v>91</v>
      </c>
      <c r="D11" s="359">
        <v>175</v>
      </c>
      <c r="E11" s="729" t="s">
        <v>11</v>
      </c>
      <c r="F11" s="813" t="s">
        <v>381</v>
      </c>
      <c r="G11" s="729" t="s">
        <v>383</v>
      </c>
      <c r="H11" s="729"/>
      <c r="I11" s="729" t="s">
        <v>8</v>
      </c>
      <c r="J11" s="729" t="s">
        <v>386</v>
      </c>
      <c r="K11" s="729" t="s">
        <v>387</v>
      </c>
      <c r="L11" s="729" t="s">
        <v>420</v>
      </c>
      <c r="M11" s="729">
        <v>595226</v>
      </c>
      <c r="N11" s="729">
        <v>4772210</v>
      </c>
      <c r="O11" s="648">
        <f t="shared" si="1"/>
        <v>14</v>
      </c>
      <c r="P11" s="130">
        <v>14</v>
      </c>
      <c r="Q11" s="16"/>
      <c r="R11" s="17"/>
      <c r="S11" s="298"/>
      <c r="T11" s="18"/>
      <c r="U11" s="19"/>
      <c r="V11" s="41"/>
      <c r="W11" s="187"/>
      <c r="X11" s="76"/>
      <c r="Y11" s="300"/>
      <c r="Z11" s="306"/>
      <c r="AA11" s="358">
        <v>43234</v>
      </c>
      <c r="AB11" s="358">
        <v>43234</v>
      </c>
      <c r="AC11" s="729" t="s">
        <v>311</v>
      </c>
      <c r="AD11" s="729" t="s">
        <v>312</v>
      </c>
      <c r="AE11" s="729" t="s">
        <v>313</v>
      </c>
      <c r="AF11" s="729" t="s">
        <v>314</v>
      </c>
      <c r="AG11" s="729" t="s">
        <v>314</v>
      </c>
      <c r="AH11" s="729" t="s">
        <v>314</v>
      </c>
      <c r="AI11" s="829"/>
      <c r="AJ11" s="729" t="s">
        <v>314</v>
      </c>
      <c r="AK11" s="729" t="s">
        <v>313</v>
      </c>
      <c r="AL11" s="729" t="s">
        <v>315</v>
      </c>
      <c r="AM11" s="729" t="s">
        <v>315</v>
      </c>
      <c r="AN11" s="729" t="s">
        <v>315</v>
      </c>
      <c r="AO11" s="729" t="s">
        <v>321</v>
      </c>
      <c r="AP11" s="105" t="s">
        <v>126</v>
      </c>
      <c r="AQ11" s="18"/>
      <c r="AR11" s="31"/>
      <c r="AS11" s="16"/>
      <c r="AT11" s="15"/>
      <c r="AU11" s="96"/>
      <c r="AV11" s="185"/>
      <c r="AW11" s="40">
        <f t="shared" si="2"/>
        <v>0</v>
      </c>
    </row>
    <row r="12" spans="1:49" s="270" customFormat="1" ht="15" customHeight="1" x14ac:dyDescent="0.25">
      <c r="A12" s="358">
        <v>43235</v>
      </c>
      <c r="B12" s="358" t="s">
        <v>385</v>
      </c>
      <c r="C12" s="729" t="s">
        <v>91</v>
      </c>
      <c r="D12" s="359">
        <v>185</v>
      </c>
      <c r="E12" s="729" t="s">
        <v>13</v>
      </c>
      <c r="F12" s="813" t="s">
        <v>384</v>
      </c>
      <c r="G12" s="729" t="s">
        <v>383</v>
      </c>
      <c r="H12" s="729"/>
      <c r="I12" s="729" t="s">
        <v>8</v>
      </c>
      <c r="J12" s="729" t="s">
        <v>393</v>
      </c>
      <c r="K12" s="729" t="s">
        <v>421</v>
      </c>
      <c r="L12" s="729" t="s">
        <v>422</v>
      </c>
      <c r="M12" s="729">
        <v>525494</v>
      </c>
      <c r="N12" s="729">
        <v>4792039</v>
      </c>
      <c r="O12" s="648">
        <f t="shared" si="1"/>
        <v>0.1</v>
      </c>
      <c r="P12" s="130">
        <v>0.1</v>
      </c>
      <c r="Q12" s="16"/>
      <c r="R12" s="17"/>
      <c r="S12" s="373"/>
      <c r="T12" s="18"/>
      <c r="U12" s="19"/>
      <c r="V12" s="41"/>
      <c r="W12" s="187"/>
      <c r="X12" s="76"/>
      <c r="Y12" s="374"/>
      <c r="Z12" s="306"/>
      <c r="AA12" s="730">
        <v>43235</v>
      </c>
      <c r="AB12" s="730">
        <v>43235</v>
      </c>
      <c r="AC12" s="730" t="s">
        <v>311</v>
      </c>
      <c r="AD12" s="730" t="s">
        <v>312</v>
      </c>
      <c r="AE12" s="730" t="s">
        <v>313</v>
      </c>
      <c r="AF12" s="730" t="s">
        <v>314</v>
      </c>
      <c r="AG12" s="730" t="s">
        <v>313</v>
      </c>
      <c r="AH12" s="730" t="s">
        <v>314</v>
      </c>
      <c r="AI12" s="829"/>
      <c r="AJ12" s="730" t="s">
        <v>314</v>
      </c>
      <c r="AK12" s="730" t="s">
        <v>313</v>
      </c>
      <c r="AL12" s="730" t="s">
        <v>315</v>
      </c>
      <c r="AM12" s="730" t="s">
        <v>315</v>
      </c>
      <c r="AN12" s="730" t="s">
        <v>315</v>
      </c>
      <c r="AO12" s="730" t="s">
        <v>392</v>
      </c>
      <c r="AP12" s="105" t="s">
        <v>127</v>
      </c>
      <c r="AQ12" s="18"/>
      <c r="AR12" s="31"/>
      <c r="AS12" s="16"/>
      <c r="AT12" s="15"/>
      <c r="AU12" s="96"/>
      <c r="AV12" s="185"/>
      <c r="AW12" s="40">
        <f t="shared" si="2"/>
        <v>0</v>
      </c>
    </row>
    <row r="13" spans="1:49" s="270" customFormat="1" ht="15" customHeight="1" x14ac:dyDescent="0.25">
      <c r="A13" s="358">
        <v>43239</v>
      </c>
      <c r="B13" s="358" t="s">
        <v>389</v>
      </c>
      <c r="C13" s="729" t="s">
        <v>91</v>
      </c>
      <c r="D13" s="359">
        <v>194</v>
      </c>
      <c r="E13" s="729" t="s">
        <v>10</v>
      </c>
      <c r="F13" s="813" t="s">
        <v>388</v>
      </c>
      <c r="G13" s="729" t="s">
        <v>390</v>
      </c>
      <c r="H13" s="729"/>
      <c r="I13" s="729" t="s">
        <v>8</v>
      </c>
      <c r="J13" s="729" t="s">
        <v>391</v>
      </c>
      <c r="K13" s="729" t="s">
        <v>744</v>
      </c>
      <c r="L13" s="729" t="s">
        <v>745</v>
      </c>
      <c r="M13" s="729">
        <v>532155</v>
      </c>
      <c r="N13" s="729">
        <v>4853322</v>
      </c>
      <c r="O13" s="648">
        <f t="shared" si="1"/>
        <v>100</v>
      </c>
      <c r="P13" s="130">
        <v>100</v>
      </c>
      <c r="Q13" s="16"/>
      <c r="R13" s="17"/>
      <c r="S13" s="373"/>
      <c r="T13" s="18"/>
      <c r="U13" s="19"/>
      <c r="V13" s="41"/>
      <c r="W13" s="187"/>
      <c r="X13" s="76"/>
      <c r="Y13" s="374"/>
      <c r="Z13" s="306"/>
      <c r="AA13" s="730">
        <v>43239</v>
      </c>
      <c r="AB13" s="730">
        <v>43239</v>
      </c>
      <c r="AC13" s="730" t="s">
        <v>311</v>
      </c>
      <c r="AD13" s="730" t="s">
        <v>312</v>
      </c>
      <c r="AE13" s="730" t="s">
        <v>313</v>
      </c>
      <c r="AF13" s="730" t="s">
        <v>314</v>
      </c>
      <c r="AG13" s="730" t="s">
        <v>314</v>
      </c>
      <c r="AH13" s="730" t="s">
        <v>314</v>
      </c>
      <c r="AI13" s="829"/>
      <c r="AJ13" s="730" t="s">
        <v>314</v>
      </c>
      <c r="AK13" s="730" t="s">
        <v>313</v>
      </c>
      <c r="AL13" s="730" t="s">
        <v>315</v>
      </c>
      <c r="AM13" s="730" t="s">
        <v>315</v>
      </c>
      <c r="AN13" s="730" t="s">
        <v>315</v>
      </c>
      <c r="AO13" s="730" t="s">
        <v>482</v>
      </c>
      <c r="AP13" s="320" t="s">
        <v>128</v>
      </c>
      <c r="AQ13" s="18"/>
      <c r="AR13" s="31"/>
      <c r="AS13" s="16"/>
      <c r="AT13" s="15"/>
      <c r="AU13" s="96"/>
      <c r="AV13" s="185"/>
      <c r="AW13" s="40">
        <f t="shared" si="2"/>
        <v>0</v>
      </c>
    </row>
    <row r="14" spans="1:49" s="270" customFormat="1" ht="15" customHeight="1" x14ac:dyDescent="0.25">
      <c r="A14" s="358">
        <v>43245</v>
      </c>
      <c r="B14" s="358" t="s">
        <v>410</v>
      </c>
      <c r="C14" s="839" t="s">
        <v>266</v>
      </c>
      <c r="D14" s="359">
        <v>220</v>
      </c>
      <c r="E14" s="839" t="s">
        <v>10</v>
      </c>
      <c r="F14" s="813" t="s">
        <v>409</v>
      </c>
      <c r="G14" s="839" t="s">
        <v>411</v>
      </c>
      <c r="H14" s="839"/>
      <c r="I14" s="839" t="s">
        <v>8</v>
      </c>
      <c r="J14" s="839" t="s">
        <v>412</v>
      </c>
      <c r="K14" s="839" t="s">
        <v>413</v>
      </c>
      <c r="L14" s="839" t="s">
        <v>425</v>
      </c>
      <c r="M14" s="839">
        <v>577074</v>
      </c>
      <c r="N14" s="839">
        <v>4821047</v>
      </c>
      <c r="O14" s="648">
        <f t="shared" si="1"/>
        <v>1</v>
      </c>
      <c r="P14" s="130"/>
      <c r="Q14" s="16"/>
      <c r="R14" s="17"/>
      <c r="S14" s="505">
        <v>1</v>
      </c>
      <c r="T14" s="18"/>
      <c r="U14" s="19"/>
      <c r="V14" s="41"/>
      <c r="W14" s="187"/>
      <c r="X14" s="76"/>
      <c r="Y14" s="506"/>
      <c r="Z14" s="306"/>
      <c r="AA14" s="841">
        <v>43245</v>
      </c>
      <c r="AB14" s="841">
        <v>43245</v>
      </c>
      <c r="AC14" s="841" t="s">
        <v>311</v>
      </c>
      <c r="AD14" s="841" t="s">
        <v>312</v>
      </c>
      <c r="AE14" s="841" t="s">
        <v>313</v>
      </c>
      <c r="AF14" s="841" t="s">
        <v>313</v>
      </c>
      <c r="AG14" s="841" t="s">
        <v>314</v>
      </c>
      <c r="AH14" s="841" t="s">
        <v>314</v>
      </c>
      <c r="AI14" s="835"/>
      <c r="AJ14" s="841" t="s">
        <v>314</v>
      </c>
      <c r="AK14" s="841" t="s">
        <v>313</v>
      </c>
      <c r="AL14" s="841" t="s">
        <v>315</v>
      </c>
      <c r="AM14" s="841" t="s">
        <v>315</v>
      </c>
      <c r="AN14" s="841" t="s">
        <v>315</v>
      </c>
      <c r="AO14" s="841" t="s">
        <v>316</v>
      </c>
      <c r="AP14" s="320"/>
      <c r="AQ14" s="18"/>
      <c r="AR14" s="31"/>
      <c r="AS14" s="16"/>
      <c r="AT14" s="15"/>
      <c r="AU14" s="505"/>
      <c r="AV14" s="185"/>
      <c r="AW14" s="40"/>
    </row>
    <row r="15" spans="1:49" s="270" customFormat="1" ht="15" customHeight="1" x14ac:dyDescent="0.25">
      <c r="A15" s="817">
        <v>43253</v>
      </c>
      <c r="B15" s="844" t="s">
        <v>450</v>
      </c>
      <c r="C15" s="844" t="s">
        <v>266</v>
      </c>
      <c r="D15" s="844">
        <v>254</v>
      </c>
      <c r="E15" s="844"/>
      <c r="F15" s="844" t="s">
        <v>451</v>
      </c>
      <c r="G15" s="844"/>
      <c r="H15" s="844"/>
      <c r="I15" s="844" t="s">
        <v>327</v>
      </c>
      <c r="J15" s="844" t="s">
        <v>452</v>
      </c>
      <c r="K15" s="844" t="s">
        <v>453</v>
      </c>
      <c r="L15" s="844" t="s">
        <v>454</v>
      </c>
      <c r="M15" s="844"/>
      <c r="N15" s="844"/>
      <c r="O15" s="648">
        <f t="shared" si="1"/>
        <v>0</v>
      </c>
      <c r="P15" s="130"/>
      <c r="Q15" s="16"/>
      <c r="R15" s="17"/>
      <c r="S15" s="298"/>
      <c r="T15" s="18"/>
      <c r="U15" s="19"/>
      <c r="V15" s="41"/>
      <c r="W15" s="187"/>
      <c r="X15" s="76"/>
      <c r="Y15" s="300"/>
      <c r="Z15" s="306"/>
      <c r="AA15" s="817"/>
      <c r="AB15" s="817"/>
      <c r="AC15" s="817"/>
      <c r="AD15" s="817"/>
      <c r="AE15" s="817"/>
      <c r="AF15" s="817"/>
      <c r="AG15" s="817"/>
      <c r="AH15" s="817"/>
      <c r="AI15" s="835"/>
      <c r="AJ15" s="835"/>
      <c r="AK15" s="835"/>
      <c r="AL15" s="835"/>
      <c r="AM15" s="835"/>
      <c r="AN15" s="835"/>
      <c r="AO15" s="835"/>
      <c r="AP15" s="320" t="s">
        <v>129</v>
      </c>
      <c r="AQ15" s="18"/>
      <c r="AR15" s="31"/>
      <c r="AS15" s="16"/>
      <c r="AT15" s="15"/>
      <c r="AU15" s="96"/>
      <c r="AV15" s="185"/>
      <c r="AW15" s="40">
        <f t="shared" si="2"/>
        <v>0</v>
      </c>
    </row>
    <row r="16" spans="1:49" ht="15" customHeight="1" x14ac:dyDescent="0.25">
      <c r="A16" s="817">
        <v>43253</v>
      </c>
      <c r="B16" s="844" t="s">
        <v>455</v>
      </c>
      <c r="C16" s="844" t="s">
        <v>269</v>
      </c>
      <c r="D16" s="844">
        <v>257</v>
      </c>
      <c r="E16" s="844"/>
      <c r="F16" s="844" t="s">
        <v>456</v>
      </c>
      <c r="G16" s="844"/>
      <c r="H16" s="844"/>
      <c r="I16" s="844" t="s">
        <v>327</v>
      </c>
      <c r="J16" s="844" t="s">
        <v>457</v>
      </c>
      <c r="K16" s="844" t="s">
        <v>458</v>
      </c>
      <c r="L16" s="844" t="s">
        <v>459</v>
      </c>
      <c r="M16" s="844"/>
      <c r="N16" s="844"/>
      <c r="O16" s="648">
        <f t="shared" si="1"/>
        <v>0</v>
      </c>
      <c r="P16" s="130"/>
      <c r="Q16" s="16"/>
      <c r="R16" s="17"/>
      <c r="S16" s="298"/>
      <c r="T16" s="18"/>
      <c r="U16" s="19"/>
      <c r="V16" s="41"/>
      <c r="W16" s="187"/>
      <c r="X16" s="76"/>
      <c r="Y16" s="300"/>
      <c r="Z16" s="306"/>
      <c r="AA16" s="817"/>
      <c r="AB16" s="817"/>
      <c r="AC16" s="817"/>
      <c r="AD16" s="817"/>
      <c r="AE16" s="817"/>
      <c r="AF16" s="817"/>
      <c r="AG16" s="817"/>
      <c r="AH16" s="817"/>
      <c r="AI16" s="835"/>
      <c r="AJ16" s="835"/>
      <c r="AK16" s="835"/>
      <c r="AL16" s="835"/>
      <c r="AM16" s="835"/>
      <c r="AN16" s="835"/>
      <c r="AO16" s="835"/>
      <c r="AP16" s="320" t="s">
        <v>5</v>
      </c>
      <c r="AQ16" s="18"/>
      <c r="AR16" s="97"/>
      <c r="AS16" s="16"/>
      <c r="AT16" s="15"/>
      <c r="AU16" s="91"/>
      <c r="AV16" s="185"/>
      <c r="AW16" s="40">
        <f>SUM(AW4:AW15)</f>
        <v>0</v>
      </c>
    </row>
    <row r="17" spans="1:50" ht="15" customHeight="1" x14ac:dyDescent="0.25">
      <c r="A17" s="358">
        <v>43254</v>
      </c>
      <c r="B17" s="358" t="s">
        <v>461</v>
      </c>
      <c r="C17" s="729" t="s">
        <v>91</v>
      </c>
      <c r="D17" s="359">
        <v>262</v>
      </c>
      <c r="E17" s="729" t="s">
        <v>10</v>
      </c>
      <c r="F17" s="813" t="s">
        <v>460</v>
      </c>
      <c r="G17" s="729" t="s">
        <v>332</v>
      </c>
      <c r="H17" s="729"/>
      <c r="I17" s="729" t="s">
        <v>8</v>
      </c>
      <c r="J17" s="729" t="s">
        <v>464</v>
      </c>
      <c r="K17" s="729" t="s">
        <v>465</v>
      </c>
      <c r="L17" s="729" t="s">
        <v>466</v>
      </c>
      <c r="M17" s="737">
        <v>579432</v>
      </c>
      <c r="N17" s="729">
        <v>4806327</v>
      </c>
      <c r="O17" s="648">
        <f t="shared" si="1"/>
        <v>2</v>
      </c>
      <c r="P17" s="130">
        <v>2</v>
      </c>
      <c r="Q17" s="16"/>
      <c r="R17" s="17"/>
      <c r="S17" s="298"/>
      <c r="T17" s="18"/>
      <c r="U17" s="19"/>
      <c r="V17" s="41"/>
      <c r="W17" s="187"/>
      <c r="X17" s="76"/>
      <c r="Y17" s="300"/>
      <c r="Z17" s="306"/>
      <c r="AA17" s="358">
        <v>43254</v>
      </c>
      <c r="AB17" s="358">
        <v>43254</v>
      </c>
      <c r="AC17" s="729" t="s">
        <v>311</v>
      </c>
      <c r="AD17" s="729" t="s">
        <v>2</v>
      </c>
      <c r="AE17" s="729" t="s">
        <v>313</v>
      </c>
      <c r="AF17" s="729" t="s">
        <v>314</v>
      </c>
      <c r="AG17" s="729" t="s">
        <v>314</v>
      </c>
      <c r="AH17" s="729" t="s">
        <v>314</v>
      </c>
      <c r="AI17" s="847"/>
      <c r="AJ17" s="729" t="s">
        <v>314</v>
      </c>
      <c r="AK17" s="729" t="s">
        <v>313</v>
      </c>
      <c r="AL17" s="729" t="s">
        <v>315</v>
      </c>
      <c r="AM17" s="729" t="s">
        <v>315</v>
      </c>
      <c r="AN17" s="729" t="s">
        <v>315</v>
      </c>
      <c r="AO17" s="729" t="s">
        <v>316</v>
      </c>
      <c r="AX17" s="2" t="s">
        <v>6</v>
      </c>
    </row>
    <row r="18" spans="1:50" s="270" customFormat="1" ht="15" customHeight="1" x14ac:dyDescent="0.25">
      <c r="A18" s="358">
        <v>43255</v>
      </c>
      <c r="B18" s="358" t="s">
        <v>475</v>
      </c>
      <c r="C18" s="729" t="s">
        <v>91</v>
      </c>
      <c r="D18" s="359">
        <v>266</v>
      </c>
      <c r="E18" s="729" t="s">
        <v>11</v>
      </c>
      <c r="F18" s="813" t="s">
        <v>470</v>
      </c>
      <c r="G18" s="729" t="s">
        <v>472</v>
      </c>
      <c r="H18" s="729" t="s">
        <v>567</v>
      </c>
      <c r="I18" s="729" t="s">
        <v>8</v>
      </c>
      <c r="J18" s="729" t="s">
        <v>473</v>
      </c>
      <c r="K18" s="729" t="s">
        <v>474</v>
      </c>
      <c r="L18" s="729" t="s">
        <v>568</v>
      </c>
      <c r="M18" s="729">
        <v>617619</v>
      </c>
      <c r="N18" s="729">
        <v>4764084</v>
      </c>
      <c r="O18" s="648">
        <f t="shared" si="1"/>
        <v>0.1</v>
      </c>
      <c r="P18" s="130">
        <v>0.1</v>
      </c>
      <c r="Q18" s="16"/>
      <c r="R18" s="17"/>
      <c r="S18" s="298"/>
      <c r="T18" s="18"/>
      <c r="U18" s="19"/>
      <c r="V18" s="41"/>
      <c r="W18" s="187"/>
      <c r="X18" s="76"/>
      <c r="Y18" s="300"/>
      <c r="Z18" s="306"/>
      <c r="AA18" s="358">
        <v>43255</v>
      </c>
      <c r="AB18" s="358">
        <v>43255</v>
      </c>
      <c r="AC18" s="729" t="s">
        <v>311</v>
      </c>
      <c r="AD18" s="729" t="s">
        <v>94</v>
      </c>
      <c r="AE18" s="729" t="s">
        <v>313</v>
      </c>
      <c r="AF18" s="729" t="s">
        <v>314</v>
      </c>
      <c r="AG18" s="729" t="s">
        <v>314</v>
      </c>
      <c r="AH18" s="729" t="s">
        <v>314</v>
      </c>
      <c r="AI18" s="847"/>
      <c r="AJ18" s="729" t="s">
        <v>314</v>
      </c>
      <c r="AK18" s="729" t="s">
        <v>313</v>
      </c>
      <c r="AL18" s="729" t="s">
        <v>315</v>
      </c>
      <c r="AM18" s="729" t="s">
        <v>315</v>
      </c>
      <c r="AN18" s="729" t="s">
        <v>315</v>
      </c>
      <c r="AO18" s="729" t="s">
        <v>392</v>
      </c>
      <c r="AP18" s="103"/>
      <c r="AQ18" s="2"/>
      <c r="AR18" s="2"/>
      <c r="AS18" s="2"/>
      <c r="AT18" s="2"/>
      <c r="AU18" s="2"/>
      <c r="AW18" s="2"/>
    </row>
    <row r="19" spans="1:50" s="270" customFormat="1" ht="15" customHeight="1" x14ac:dyDescent="0.25">
      <c r="A19" s="358">
        <v>43256</v>
      </c>
      <c r="B19" s="358" t="s">
        <v>496</v>
      </c>
      <c r="C19" s="856" t="s">
        <v>91</v>
      </c>
      <c r="D19" s="359">
        <v>270</v>
      </c>
      <c r="E19" s="856" t="s">
        <v>11</v>
      </c>
      <c r="F19" s="813" t="s">
        <v>493</v>
      </c>
      <c r="G19" s="856" t="s">
        <v>497</v>
      </c>
      <c r="H19" s="856" t="s">
        <v>498</v>
      </c>
      <c r="I19" s="856" t="s">
        <v>8</v>
      </c>
      <c r="J19" s="856" t="s">
        <v>499</v>
      </c>
      <c r="K19" s="856" t="s">
        <v>540</v>
      </c>
      <c r="L19" s="856" t="s">
        <v>541</v>
      </c>
      <c r="M19" s="856">
        <v>553930</v>
      </c>
      <c r="N19" s="856">
        <v>4802331</v>
      </c>
      <c r="O19" s="855">
        <f t="shared" si="1"/>
        <v>0.5</v>
      </c>
      <c r="P19" s="130">
        <v>0.5</v>
      </c>
      <c r="Q19" s="16"/>
      <c r="R19" s="17"/>
      <c r="S19" s="853"/>
      <c r="T19" s="18"/>
      <c r="U19" s="19"/>
      <c r="V19" s="41"/>
      <c r="W19" s="187"/>
      <c r="X19" s="76"/>
      <c r="Y19" s="854"/>
      <c r="Z19" s="306"/>
      <c r="AA19" s="358">
        <v>43256</v>
      </c>
      <c r="AB19" s="358">
        <v>43256</v>
      </c>
      <c r="AC19" s="856" t="s">
        <v>311</v>
      </c>
      <c r="AD19" s="856" t="s">
        <v>94</v>
      </c>
      <c r="AE19" s="856" t="s">
        <v>313</v>
      </c>
      <c r="AF19" s="856" t="s">
        <v>314</v>
      </c>
      <c r="AG19" s="856" t="s">
        <v>314</v>
      </c>
      <c r="AH19" s="856" t="s">
        <v>314</v>
      </c>
      <c r="AI19" s="855"/>
      <c r="AJ19" s="856" t="s">
        <v>314</v>
      </c>
      <c r="AK19" s="856" t="s">
        <v>313</v>
      </c>
      <c r="AL19" s="856" t="s">
        <v>315</v>
      </c>
      <c r="AM19" s="856" t="s">
        <v>315</v>
      </c>
      <c r="AN19" s="856" t="s">
        <v>315</v>
      </c>
      <c r="AO19" s="856" t="s">
        <v>316</v>
      </c>
      <c r="AP19" s="103"/>
    </row>
    <row r="20" spans="1:50" ht="15" customHeight="1" x14ac:dyDescent="0.25">
      <c r="A20" s="358">
        <v>43256</v>
      </c>
      <c r="B20" s="358" t="s">
        <v>476</v>
      </c>
      <c r="C20" s="729" t="s">
        <v>91</v>
      </c>
      <c r="D20" s="359">
        <v>275</v>
      </c>
      <c r="E20" s="729" t="s">
        <v>13</v>
      </c>
      <c r="F20" s="813" t="s">
        <v>471</v>
      </c>
      <c r="G20" s="729" t="s">
        <v>390</v>
      </c>
      <c r="H20" s="729"/>
      <c r="I20" s="729" t="s">
        <v>8</v>
      </c>
      <c r="J20" s="729" t="s">
        <v>573</v>
      </c>
      <c r="K20" s="729" t="s">
        <v>574</v>
      </c>
      <c r="L20" s="729" t="s">
        <v>598</v>
      </c>
      <c r="M20" s="729">
        <v>512270</v>
      </c>
      <c r="N20" s="729">
        <v>4810570</v>
      </c>
      <c r="O20" s="648">
        <f t="shared" si="1"/>
        <v>209</v>
      </c>
      <c r="P20" s="130">
        <v>209</v>
      </c>
      <c r="Q20" s="16"/>
      <c r="R20" s="17"/>
      <c r="S20" s="298"/>
      <c r="T20" s="18"/>
      <c r="U20" s="19"/>
      <c r="V20" s="41"/>
      <c r="W20" s="187"/>
      <c r="X20" s="76"/>
      <c r="Y20" s="300"/>
      <c r="Z20" s="306"/>
      <c r="AA20" s="358">
        <v>43256</v>
      </c>
      <c r="AB20" s="358">
        <v>43256</v>
      </c>
      <c r="AC20" s="729" t="s">
        <v>311</v>
      </c>
      <c r="AD20" s="729" t="s">
        <v>2</v>
      </c>
      <c r="AE20" s="729" t="s">
        <v>313</v>
      </c>
      <c r="AF20" s="729" t="s">
        <v>314</v>
      </c>
      <c r="AG20" s="729" t="s">
        <v>313</v>
      </c>
      <c r="AH20" s="729" t="s">
        <v>314</v>
      </c>
      <c r="AI20" s="849"/>
      <c r="AJ20" s="729" t="s">
        <v>314</v>
      </c>
      <c r="AK20" s="729" t="s">
        <v>313</v>
      </c>
      <c r="AL20" s="729" t="s">
        <v>315</v>
      </c>
      <c r="AM20" s="729" t="s">
        <v>313</v>
      </c>
      <c r="AN20" s="729" t="s">
        <v>315</v>
      </c>
      <c r="AO20" s="729" t="s">
        <v>482</v>
      </c>
      <c r="AQ20" s="270"/>
      <c r="AR20" s="270"/>
      <c r="AS20" s="270"/>
      <c r="AT20" s="270"/>
      <c r="AU20" s="270"/>
      <c r="AW20" s="270"/>
    </row>
    <row r="21" spans="1:50" ht="15" customHeight="1" x14ac:dyDescent="0.25">
      <c r="A21" s="358">
        <v>43256</v>
      </c>
      <c r="B21" s="358" t="s">
        <v>483</v>
      </c>
      <c r="C21" s="729" t="s">
        <v>91</v>
      </c>
      <c r="D21" s="359">
        <v>277</v>
      </c>
      <c r="E21" s="729" t="s">
        <v>11</v>
      </c>
      <c r="F21" s="857" t="s">
        <v>484</v>
      </c>
      <c r="G21" s="729" t="s">
        <v>485</v>
      </c>
      <c r="H21" s="729"/>
      <c r="I21" s="729" t="s">
        <v>8</v>
      </c>
      <c r="J21" s="729" t="s">
        <v>486</v>
      </c>
      <c r="K21" s="729" t="s">
        <v>746</v>
      </c>
      <c r="L21" s="729" t="s">
        <v>747</v>
      </c>
      <c r="M21" s="729">
        <v>569021</v>
      </c>
      <c r="N21" s="729">
        <v>4774909</v>
      </c>
      <c r="O21" s="648">
        <f t="shared" si="1"/>
        <v>192</v>
      </c>
      <c r="P21" s="130">
        <v>192</v>
      </c>
      <c r="Q21" s="16"/>
      <c r="R21" s="17"/>
      <c r="S21" s="298"/>
      <c r="T21" s="18"/>
      <c r="U21" s="19"/>
      <c r="V21" s="41"/>
      <c r="W21" s="187"/>
      <c r="X21" s="76"/>
      <c r="Y21" s="300"/>
      <c r="Z21" s="306"/>
      <c r="AA21" s="358">
        <v>43256</v>
      </c>
      <c r="AB21" s="358">
        <v>43256</v>
      </c>
      <c r="AC21" s="729" t="s">
        <v>311</v>
      </c>
      <c r="AD21" s="729" t="s">
        <v>94</v>
      </c>
      <c r="AE21" s="729" t="s">
        <v>313</v>
      </c>
      <c r="AF21" s="729" t="s">
        <v>314</v>
      </c>
      <c r="AG21" s="729" t="s">
        <v>314</v>
      </c>
      <c r="AH21" s="729" t="s">
        <v>314</v>
      </c>
      <c r="AI21" s="849"/>
      <c r="AJ21" s="729" t="s">
        <v>314</v>
      </c>
      <c r="AK21" s="729" t="s">
        <v>313</v>
      </c>
      <c r="AL21" s="729" t="s">
        <v>315</v>
      </c>
      <c r="AM21" s="729" t="s">
        <v>313</v>
      </c>
      <c r="AN21" s="729" t="s">
        <v>315</v>
      </c>
      <c r="AO21" s="729" t="s">
        <v>482</v>
      </c>
      <c r="AP21" s="321"/>
      <c r="AQ21" s="124" t="s">
        <v>8</v>
      </c>
      <c r="AR21" s="124" t="s">
        <v>9</v>
      </c>
      <c r="AS21" s="124" t="s">
        <v>151</v>
      </c>
      <c r="AT21" s="124" t="s">
        <v>152</v>
      </c>
      <c r="AU21" s="124" t="s">
        <v>153</v>
      </c>
      <c r="AV21" s="435"/>
    </row>
    <row r="22" spans="1:50" ht="15" customHeight="1" x14ac:dyDescent="0.25">
      <c r="A22" s="358">
        <v>43256</v>
      </c>
      <c r="B22" s="358" t="s">
        <v>500</v>
      </c>
      <c r="C22" s="729" t="s">
        <v>91</v>
      </c>
      <c r="D22" s="359">
        <v>278</v>
      </c>
      <c r="E22" s="729" t="s">
        <v>11</v>
      </c>
      <c r="F22" s="813" t="s">
        <v>494</v>
      </c>
      <c r="G22" s="729" t="s">
        <v>497</v>
      </c>
      <c r="H22" s="729" t="s">
        <v>575</v>
      </c>
      <c r="I22" s="729" t="s">
        <v>8</v>
      </c>
      <c r="J22" s="729" t="s">
        <v>501</v>
      </c>
      <c r="K22" s="729" t="s">
        <v>502</v>
      </c>
      <c r="L22" s="729" t="s">
        <v>576</v>
      </c>
      <c r="M22" s="729">
        <v>535600</v>
      </c>
      <c r="N22" s="729">
        <v>4788100</v>
      </c>
      <c r="O22" s="648">
        <f t="shared" si="1"/>
        <v>43</v>
      </c>
      <c r="P22" s="130">
        <v>43</v>
      </c>
      <c r="Q22" s="16"/>
      <c r="R22" s="17"/>
      <c r="S22" s="876"/>
      <c r="T22" s="18"/>
      <c r="U22" s="19"/>
      <c r="V22" s="41"/>
      <c r="W22" s="187"/>
      <c r="X22" s="76"/>
      <c r="Y22" s="300"/>
      <c r="Z22" s="306"/>
      <c r="AA22" s="358">
        <v>43256</v>
      </c>
      <c r="AB22" s="358">
        <v>43257</v>
      </c>
      <c r="AC22" s="729" t="s">
        <v>311</v>
      </c>
      <c r="AD22" s="729" t="s">
        <v>312</v>
      </c>
      <c r="AE22" s="729" t="s">
        <v>313</v>
      </c>
      <c r="AF22" s="729" t="s">
        <v>314</v>
      </c>
      <c r="AG22" s="729" t="s">
        <v>313</v>
      </c>
      <c r="AH22" s="729" t="s">
        <v>314</v>
      </c>
      <c r="AI22" s="855"/>
      <c r="AJ22" s="729" t="s">
        <v>314</v>
      </c>
      <c r="AK22" s="729" t="s">
        <v>313</v>
      </c>
      <c r="AL22" s="729" t="s">
        <v>315</v>
      </c>
      <c r="AM22" s="729" t="s">
        <v>315</v>
      </c>
      <c r="AN22" s="729" t="s">
        <v>315</v>
      </c>
      <c r="AO22" s="729" t="s">
        <v>321</v>
      </c>
      <c r="AP22" s="322">
        <v>42430</v>
      </c>
      <c r="AQ22" s="348"/>
      <c r="AR22" s="345"/>
      <c r="AS22" s="345"/>
      <c r="AT22" s="345"/>
      <c r="AU22" s="348"/>
      <c r="AV22" s="439"/>
    </row>
    <row r="23" spans="1:50" s="270" customFormat="1" ht="15" customHeight="1" x14ac:dyDescent="0.25">
      <c r="A23" s="358">
        <v>43259</v>
      </c>
      <c r="B23" s="358" t="s">
        <v>505</v>
      </c>
      <c r="C23" s="729" t="s">
        <v>91</v>
      </c>
      <c r="D23" s="359">
        <v>288</v>
      </c>
      <c r="E23" s="729" t="s">
        <v>10</v>
      </c>
      <c r="F23" s="813" t="s">
        <v>521</v>
      </c>
      <c r="G23" s="363" t="s">
        <v>472</v>
      </c>
      <c r="H23" s="729" t="s">
        <v>506</v>
      </c>
      <c r="I23" s="729" t="s">
        <v>8</v>
      </c>
      <c r="J23" s="729" t="s">
        <v>338</v>
      </c>
      <c r="K23" s="729" t="s">
        <v>507</v>
      </c>
      <c r="L23" s="729" t="s">
        <v>862</v>
      </c>
      <c r="M23" s="729">
        <v>627384</v>
      </c>
      <c r="N23" s="363">
        <v>4756753</v>
      </c>
      <c r="O23" s="648">
        <f t="shared" si="1"/>
        <v>3</v>
      </c>
      <c r="P23" s="130">
        <v>3</v>
      </c>
      <c r="Q23" s="16"/>
      <c r="R23" s="17"/>
      <c r="S23" s="876"/>
      <c r="T23" s="18"/>
      <c r="U23" s="19"/>
      <c r="V23" s="41"/>
      <c r="W23" s="187"/>
      <c r="X23" s="76"/>
      <c r="Y23" s="374"/>
      <c r="Z23" s="306"/>
      <c r="AA23" s="358">
        <v>43259</v>
      </c>
      <c r="AB23" s="358">
        <v>43259</v>
      </c>
      <c r="AC23" s="730" t="s">
        <v>311</v>
      </c>
      <c r="AD23" s="730" t="s">
        <v>94</v>
      </c>
      <c r="AE23" s="730" t="s">
        <v>313</v>
      </c>
      <c r="AF23" s="730" t="s">
        <v>314</v>
      </c>
      <c r="AG23" s="730" t="s">
        <v>314</v>
      </c>
      <c r="AH23" s="730" t="s">
        <v>314</v>
      </c>
      <c r="AI23" s="855"/>
      <c r="AJ23" s="730" t="s">
        <v>314</v>
      </c>
      <c r="AK23" s="730" t="s">
        <v>313</v>
      </c>
      <c r="AL23" s="730" t="s">
        <v>315</v>
      </c>
      <c r="AM23" s="730" t="s">
        <v>315</v>
      </c>
      <c r="AN23" s="730" t="s">
        <v>315</v>
      </c>
      <c r="AO23" s="730" t="s">
        <v>316</v>
      </c>
      <c r="AP23" s="322">
        <v>42444</v>
      </c>
      <c r="AQ23" s="348"/>
      <c r="AR23" s="345"/>
      <c r="AS23" s="345"/>
      <c r="AT23" s="345"/>
      <c r="AU23" s="348"/>
      <c r="AV23" s="439"/>
      <c r="AW23" s="2"/>
    </row>
    <row r="24" spans="1:50" ht="15" customHeight="1" x14ac:dyDescent="0.25">
      <c r="A24" s="358">
        <v>43259</v>
      </c>
      <c r="B24" s="358" t="s">
        <v>508</v>
      </c>
      <c r="C24" s="729" t="s">
        <v>266</v>
      </c>
      <c r="D24" s="359">
        <v>290</v>
      </c>
      <c r="E24" s="729" t="s">
        <v>10</v>
      </c>
      <c r="F24" s="813" t="s">
        <v>522</v>
      </c>
      <c r="G24" s="729" t="s">
        <v>495</v>
      </c>
      <c r="H24" s="729" t="s">
        <v>509</v>
      </c>
      <c r="I24" s="729" t="s">
        <v>8</v>
      </c>
      <c r="J24" s="729" t="s">
        <v>510</v>
      </c>
      <c r="K24" s="729" t="s">
        <v>599</v>
      </c>
      <c r="L24" s="729" t="s">
        <v>600</v>
      </c>
      <c r="M24" s="729">
        <v>575361</v>
      </c>
      <c r="N24" s="729">
        <v>4810226</v>
      </c>
      <c r="O24" s="648">
        <f t="shared" si="1"/>
        <v>1</v>
      </c>
      <c r="P24" s="130"/>
      <c r="Q24" s="16"/>
      <c r="R24" s="17"/>
      <c r="S24" s="298">
        <v>1</v>
      </c>
      <c r="T24" s="18"/>
      <c r="U24" s="19"/>
      <c r="V24" s="41"/>
      <c r="W24" s="187"/>
      <c r="X24" s="76"/>
      <c r="Y24" s="300"/>
      <c r="Z24" s="306"/>
      <c r="AA24" s="358">
        <v>43259</v>
      </c>
      <c r="AB24" s="358">
        <v>43269</v>
      </c>
      <c r="AC24" s="729" t="s">
        <v>311</v>
      </c>
      <c r="AD24" s="729" t="s">
        <v>2</v>
      </c>
      <c r="AE24" s="729" t="s">
        <v>313</v>
      </c>
      <c r="AF24" s="729" t="s">
        <v>314</v>
      </c>
      <c r="AG24" s="729" t="s">
        <v>314</v>
      </c>
      <c r="AH24" s="729" t="s">
        <v>314</v>
      </c>
      <c r="AI24" s="855"/>
      <c r="AJ24" s="729" t="s">
        <v>314</v>
      </c>
      <c r="AK24" s="729" t="s">
        <v>313</v>
      </c>
      <c r="AL24" s="729" t="s">
        <v>315</v>
      </c>
      <c r="AM24" s="729" t="s">
        <v>315</v>
      </c>
      <c r="AN24" s="729" t="s">
        <v>315</v>
      </c>
      <c r="AO24" s="729" t="s">
        <v>392</v>
      </c>
      <c r="AP24" s="322">
        <v>42461</v>
      </c>
      <c r="AQ24" s="348"/>
      <c r="AR24" s="345"/>
      <c r="AS24" s="345"/>
      <c r="AT24" s="345"/>
      <c r="AU24" s="348"/>
      <c r="AV24" s="434"/>
      <c r="AW24" s="433"/>
    </row>
    <row r="25" spans="1:50" ht="15" customHeight="1" x14ac:dyDescent="0.25">
      <c r="A25" s="862">
        <v>43259</v>
      </c>
      <c r="B25" s="862" t="s">
        <v>514</v>
      </c>
      <c r="C25" s="89" t="s">
        <v>256</v>
      </c>
      <c r="D25" s="863">
        <v>291</v>
      </c>
      <c r="E25" s="89" t="s">
        <v>63</v>
      </c>
      <c r="F25" s="89" t="s">
        <v>515</v>
      </c>
      <c r="G25" s="89"/>
      <c r="H25" s="89"/>
      <c r="I25" s="89" t="s">
        <v>63</v>
      </c>
      <c r="J25" s="89" t="s">
        <v>516</v>
      </c>
      <c r="K25" s="89" t="s">
        <v>776</v>
      </c>
      <c r="L25" s="89" t="s">
        <v>863</v>
      </c>
      <c r="M25" s="89">
        <v>629277</v>
      </c>
      <c r="N25" s="89">
        <v>4757794</v>
      </c>
      <c r="O25" s="648">
        <f t="shared" si="1"/>
        <v>0.5</v>
      </c>
      <c r="P25" s="130"/>
      <c r="Q25" s="16"/>
      <c r="R25" s="17"/>
      <c r="S25" s="298"/>
      <c r="T25" s="18"/>
      <c r="U25" s="19"/>
      <c r="V25" s="41"/>
      <c r="W25" s="187"/>
      <c r="X25" s="76"/>
      <c r="Y25" s="300">
        <v>0.5</v>
      </c>
      <c r="Z25" s="306"/>
      <c r="AA25" s="862"/>
      <c r="AB25" s="862"/>
      <c r="AC25" s="89"/>
      <c r="AD25" s="89"/>
      <c r="AE25" s="89"/>
      <c r="AF25" s="89"/>
      <c r="AG25" s="89"/>
      <c r="AH25" s="89"/>
      <c r="AI25" s="855"/>
      <c r="AJ25" s="89"/>
      <c r="AK25" s="89"/>
      <c r="AL25" s="89"/>
      <c r="AM25" s="89"/>
      <c r="AN25" s="89"/>
      <c r="AO25" s="89"/>
      <c r="AP25" s="322">
        <v>42475</v>
      </c>
      <c r="AQ25" s="348"/>
      <c r="AR25" s="345"/>
      <c r="AS25" s="345"/>
      <c r="AT25" s="345"/>
      <c r="AU25" s="348"/>
      <c r="AV25" s="434"/>
      <c r="AW25" s="433"/>
    </row>
    <row r="26" spans="1:50" ht="15" customHeight="1" x14ac:dyDescent="0.25">
      <c r="A26" s="358">
        <v>43259</v>
      </c>
      <c r="B26" s="729" t="s">
        <v>517</v>
      </c>
      <c r="C26" s="729" t="s">
        <v>91</v>
      </c>
      <c r="D26" s="729">
        <v>292</v>
      </c>
      <c r="E26" s="729" t="s">
        <v>11</v>
      </c>
      <c r="F26" s="813" t="s">
        <v>512</v>
      </c>
      <c r="G26" s="729" t="s">
        <v>332</v>
      </c>
      <c r="H26" s="729" t="s">
        <v>518</v>
      </c>
      <c r="I26" s="729" t="s">
        <v>8</v>
      </c>
      <c r="J26" s="729" t="s">
        <v>1013</v>
      </c>
      <c r="K26" s="729" t="s">
        <v>1014</v>
      </c>
      <c r="L26" s="729" t="s">
        <v>1015</v>
      </c>
      <c r="M26" s="729">
        <v>564310</v>
      </c>
      <c r="N26" s="729">
        <v>4796060</v>
      </c>
      <c r="O26" s="648">
        <f t="shared" si="1"/>
        <v>40</v>
      </c>
      <c r="P26" s="130">
        <v>40</v>
      </c>
      <c r="Q26" s="16"/>
      <c r="R26" s="17"/>
      <c r="S26" s="298"/>
      <c r="T26" s="18"/>
      <c r="U26" s="19"/>
      <c r="V26" s="41"/>
      <c r="W26" s="187"/>
      <c r="X26" s="76"/>
      <c r="Y26" s="300"/>
      <c r="Z26" s="306"/>
      <c r="AA26" s="358">
        <v>43259</v>
      </c>
      <c r="AB26" s="358">
        <v>43259</v>
      </c>
      <c r="AC26" s="358" t="s">
        <v>311</v>
      </c>
      <c r="AD26" s="358" t="s">
        <v>2</v>
      </c>
      <c r="AE26" s="358" t="s">
        <v>313</v>
      </c>
      <c r="AF26" s="358" t="s">
        <v>314</v>
      </c>
      <c r="AG26" s="358" t="s">
        <v>314</v>
      </c>
      <c r="AH26" s="358" t="s">
        <v>313</v>
      </c>
      <c r="AI26" s="817"/>
      <c r="AJ26" s="358" t="s">
        <v>314</v>
      </c>
      <c r="AK26" s="358" t="s">
        <v>313</v>
      </c>
      <c r="AL26" s="358" t="s">
        <v>315</v>
      </c>
      <c r="AM26" s="358" t="s">
        <v>315</v>
      </c>
      <c r="AN26" s="358" t="s">
        <v>315</v>
      </c>
      <c r="AO26" s="358" t="s">
        <v>321</v>
      </c>
      <c r="AP26" s="322">
        <v>42491</v>
      </c>
      <c r="AQ26" s="348"/>
      <c r="AR26" s="345"/>
      <c r="AS26" s="345"/>
      <c r="AT26" s="345"/>
      <c r="AU26" s="348"/>
      <c r="AV26" s="434"/>
      <c r="AW26" s="433"/>
    </row>
    <row r="27" spans="1:50" ht="15" customHeight="1" x14ac:dyDescent="0.25">
      <c r="A27" s="358">
        <v>43259</v>
      </c>
      <c r="B27" s="358" t="s">
        <v>519</v>
      </c>
      <c r="C27" s="729" t="s">
        <v>91</v>
      </c>
      <c r="D27" s="359">
        <v>293</v>
      </c>
      <c r="E27" s="729" t="s">
        <v>11</v>
      </c>
      <c r="F27" s="813" t="s">
        <v>513</v>
      </c>
      <c r="G27" s="729" t="s">
        <v>332</v>
      </c>
      <c r="H27" s="729" t="s">
        <v>518</v>
      </c>
      <c r="I27" s="729" t="s">
        <v>8</v>
      </c>
      <c r="J27" s="729" t="s">
        <v>520</v>
      </c>
      <c r="K27" s="729" t="s">
        <v>1014</v>
      </c>
      <c r="L27" s="729" t="s">
        <v>1016</v>
      </c>
      <c r="M27" s="729">
        <v>564241</v>
      </c>
      <c r="N27" s="729">
        <v>4796064</v>
      </c>
      <c r="O27" s="648">
        <f t="shared" si="1"/>
        <v>24</v>
      </c>
      <c r="P27" s="130">
        <v>24</v>
      </c>
      <c r="Q27" s="16"/>
      <c r="R27" s="17"/>
      <c r="S27" s="298"/>
      <c r="T27" s="18"/>
      <c r="U27" s="19"/>
      <c r="V27" s="41"/>
      <c r="W27" s="187"/>
      <c r="X27" s="76"/>
      <c r="Y27" s="300"/>
      <c r="Z27" s="306"/>
      <c r="AA27" s="358">
        <v>43259</v>
      </c>
      <c r="AB27" s="358">
        <v>43259</v>
      </c>
      <c r="AC27" s="729" t="s">
        <v>311</v>
      </c>
      <c r="AD27" s="729" t="s">
        <v>94</v>
      </c>
      <c r="AE27" s="729" t="s">
        <v>313</v>
      </c>
      <c r="AF27" s="729" t="s">
        <v>314</v>
      </c>
      <c r="AG27" s="729" t="s">
        <v>314</v>
      </c>
      <c r="AH27" s="729" t="s">
        <v>313</v>
      </c>
      <c r="AI27" s="817"/>
      <c r="AJ27" s="729" t="s">
        <v>314</v>
      </c>
      <c r="AK27" s="729" t="s">
        <v>313</v>
      </c>
      <c r="AL27" s="729" t="s">
        <v>315</v>
      </c>
      <c r="AM27" s="729" t="s">
        <v>315</v>
      </c>
      <c r="AN27" s="729" t="s">
        <v>315</v>
      </c>
      <c r="AO27" s="729" t="s">
        <v>321</v>
      </c>
      <c r="AP27" s="322">
        <v>42505</v>
      </c>
      <c r="AQ27" s="348"/>
      <c r="AR27" s="345"/>
      <c r="AS27" s="345"/>
      <c r="AT27" s="345"/>
      <c r="AU27" s="348"/>
      <c r="AV27" s="434"/>
      <c r="AW27" s="433"/>
    </row>
    <row r="28" spans="1:50" ht="15" customHeight="1" x14ac:dyDescent="0.25">
      <c r="A28" s="358">
        <v>43263</v>
      </c>
      <c r="B28" s="729" t="s">
        <v>526</v>
      </c>
      <c r="C28" s="729" t="s">
        <v>91</v>
      </c>
      <c r="D28" s="729">
        <v>307</v>
      </c>
      <c r="E28" s="729" t="s">
        <v>11</v>
      </c>
      <c r="F28" s="813" t="s">
        <v>525</v>
      </c>
      <c r="G28" s="729" t="s">
        <v>383</v>
      </c>
      <c r="H28" s="729" t="s">
        <v>527</v>
      </c>
      <c r="I28" s="729" t="s">
        <v>8</v>
      </c>
      <c r="J28" s="729" t="s">
        <v>528</v>
      </c>
      <c r="K28" s="729" t="s">
        <v>529</v>
      </c>
      <c r="L28" s="729" t="s">
        <v>530</v>
      </c>
      <c r="M28" s="729">
        <v>582873</v>
      </c>
      <c r="N28" s="729">
        <v>4776889</v>
      </c>
      <c r="O28" s="648">
        <f t="shared" si="1"/>
        <v>5</v>
      </c>
      <c r="P28" s="130">
        <v>5</v>
      </c>
      <c r="Q28" s="16"/>
      <c r="R28" s="17"/>
      <c r="S28" s="298"/>
      <c r="T28" s="18"/>
      <c r="U28" s="19"/>
      <c r="V28" s="41"/>
      <c r="W28" s="187"/>
      <c r="X28" s="76"/>
      <c r="Y28" s="300"/>
      <c r="Z28" s="306"/>
      <c r="AA28" s="358">
        <v>43263</v>
      </c>
      <c r="AB28" s="358">
        <v>43263</v>
      </c>
      <c r="AC28" s="358" t="s">
        <v>311</v>
      </c>
      <c r="AD28" s="358" t="s">
        <v>94</v>
      </c>
      <c r="AE28" s="358" t="s">
        <v>313</v>
      </c>
      <c r="AF28" s="358" t="s">
        <v>314</v>
      </c>
      <c r="AG28" s="358" t="s">
        <v>314</v>
      </c>
      <c r="AH28" s="358" t="s">
        <v>314</v>
      </c>
      <c r="AI28" s="817"/>
      <c r="AJ28" s="358" t="s">
        <v>314</v>
      </c>
      <c r="AK28" s="358" t="s">
        <v>313</v>
      </c>
      <c r="AL28" s="358" t="s">
        <v>315</v>
      </c>
      <c r="AM28" s="358" t="s">
        <v>315</v>
      </c>
      <c r="AN28" s="358" t="s">
        <v>315</v>
      </c>
      <c r="AO28" s="358" t="s">
        <v>316</v>
      </c>
      <c r="AP28" s="322">
        <v>42522</v>
      </c>
      <c r="AQ28" s="348"/>
      <c r="AR28" s="345"/>
      <c r="AS28" s="345"/>
      <c r="AT28" s="345"/>
      <c r="AU28" s="348"/>
      <c r="AV28" s="434"/>
      <c r="AW28" s="433"/>
    </row>
    <row r="29" spans="1:50" ht="15" customHeight="1" x14ac:dyDescent="0.25">
      <c r="A29" s="817">
        <v>43264</v>
      </c>
      <c r="B29" s="875" t="s">
        <v>582</v>
      </c>
      <c r="C29" s="875" t="s">
        <v>91</v>
      </c>
      <c r="D29" s="875">
        <v>316</v>
      </c>
      <c r="E29" s="875"/>
      <c r="F29" s="875" t="s">
        <v>583</v>
      </c>
      <c r="G29" s="875"/>
      <c r="H29" s="875"/>
      <c r="I29" s="875" t="s">
        <v>327</v>
      </c>
      <c r="J29" s="875" t="s">
        <v>584</v>
      </c>
      <c r="K29" s="875" t="s">
        <v>585</v>
      </c>
      <c r="L29" s="875" t="s">
        <v>586</v>
      </c>
      <c r="M29" s="875"/>
      <c r="N29" s="875"/>
      <c r="O29" s="875"/>
      <c r="P29" s="130"/>
      <c r="Q29" s="16"/>
      <c r="R29" s="17"/>
      <c r="S29" s="873"/>
      <c r="T29" s="18"/>
      <c r="U29" s="19"/>
      <c r="V29" s="41"/>
      <c r="W29" s="187"/>
      <c r="X29" s="76"/>
      <c r="Y29" s="874"/>
      <c r="Z29" s="306"/>
      <c r="AA29" s="817"/>
      <c r="AB29" s="817"/>
      <c r="AC29" s="817"/>
      <c r="AD29" s="817"/>
      <c r="AE29" s="817"/>
      <c r="AF29" s="817"/>
      <c r="AG29" s="817"/>
      <c r="AH29" s="817"/>
      <c r="AI29" s="817"/>
      <c r="AJ29" s="817"/>
      <c r="AK29" s="817"/>
      <c r="AL29" s="817"/>
      <c r="AM29" s="817"/>
      <c r="AN29" s="817"/>
      <c r="AO29" s="817"/>
      <c r="AP29" s="322">
        <v>42536</v>
      </c>
      <c r="AQ29" s="348"/>
      <c r="AR29" s="345"/>
      <c r="AS29" s="345"/>
      <c r="AT29" s="345"/>
      <c r="AU29" s="348"/>
      <c r="AV29" s="434"/>
      <c r="AW29" s="433"/>
    </row>
    <row r="30" spans="1:50" ht="15" customHeight="1" x14ac:dyDescent="0.25">
      <c r="A30" s="358">
        <v>43265</v>
      </c>
      <c r="B30" s="358" t="s">
        <v>542</v>
      </c>
      <c r="C30" s="729" t="s">
        <v>91</v>
      </c>
      <c r="D30" s="359">
        <v>319</v>
      </c>
      <c r="E30" s="729" t="s">
        <v>11</v>
      </c>
      <c r="F30" s="813" t="s">
        <v>538</v>
      </c>
      <c r="G30" s="183" t="s">
        <v>472</v>
      </c>
      <c r="H30" s="183"/>
      <c r="I30" s="183" t="s">
        <v>8</v>
      </c>
      <c r="J30" s="183" t="s">
        <v>543</v>
      </c>
      <c r="K30" s="183" t="s">
        <v>544</v>
      </c>
      <c r="L30" s="183" t="s">
        <v>922</v>
      </c>
      <c r="M30" s="183">
        <v>619490</v>
      </c>
      <c r="N30" s="183">
        <v>4757503</v>
      </c>
      <c r="O30" s="648">
        <f t="shared" si="1"/>
        <v>10</v>
      </c>
      <c r="P30" s="130">
        <v>9</v>
      </c>
      <c r="Q30" s="16"/>
      <c r="R30" s="17"/>
      <c r="S30" s="298">
        <v>1</v>
      </c>
      <c r="T30" s="18"/>
      <c r="U30" s="19"/>
      <c r="V30" s="41"/>
      <c r="W30" s="187"/>
      <c r="X30" s="76"/>
      <c r="Y30" s="300"/>
      <c r="Z30" s="306"/>
      <c r="AA30" s="358">
        <v>43265</v>
      </c>
      <c r="AB30" s="358">
        <v>43265</v>
      </c>
      <c r="AC30" s="358" t="s">
        <v>311</v>
      </c>
      <c r="AD30" s="358" t="s">
        <v>312</v>
      </c>
      <c r="AE30" s="358" t="s">
        <v>313</v>
      </c>
      <c r="AF30" s="358" t="s">
        <v>314</v>
      </c>
      <c r="AG30" s="358" t="s">
        <v>314</v>
      </c>
      <c r="AH30" s="358" t="s">
        <v>314</v>
      </c>
      <c r="AI30" s="817"/>
      <c r="AJ30" s="358" t="s">
        <v>314</v>
      </c>
      <c r="AK30" s="358" t="s">
        <v>314</v>
      </c>
      <c r="AL30" s="358" t="s">
        <v>315</v>
      </c>
      <c r="AM30" s="358" t="s">
        <v>313</v>
      </c>
      <c r="AN30" s="358" t="s">
        <v>315</v>
      </c>
      <c r="AO30" s="358" t="s">
        <v>321</v>
      </c>
      <c r="AP30" s="322">
        <v>42552</v>
      </c>
      <c r="AQ30" s="348"/>
      <c r="AR30" s="345"/>
      <c r="AS30" s="345"/>
      <c r="AT30" s="345"/>
      <c r="AU30" s="348"/>
      <c r="AV30" s="434"/>
      <c r="AW30" s="433"/>
    </row>
    <row r="31" spans="1:50" s="270" customFormat="1" ht="15" customHeight="1" x14ac:dyDescent="0.25">
      <c r="A31" s="862">
        <v>43271</v>
      </c>
      <c r="B31" s="862" t="s">
        <v>580</v>
      </c>
      <c r="C31" s="89" t="s">
        <v>256</v>
      </c>
      <c r="D31" s="863">
        <v>343</v>
      </c>
      <c r="E31" s="89" t="s">
        <v>63</v>
      </c>
      <c r="F31" s="89" t="s">
        <v>578</v>
      </c>
      <c r="G31" s="472"/>
      <c r="H31" s="472"/>
      <c r="I31" s="472" t="s">
        <v>63</v>
      </c>
      <c r="J31" s="472" t="s">
        <v>923</v>
      </c>
      <c r="K31" s="472" t="s">
        <v>924</v>
      </c>
      <c r="L31" s="472" t="s">
        <v>925</v>
      </c>
      <c r="M31" s="472">
        <v>625713</v>
      </c>
      <c r="N31" s="472">
        <v>4757367</v>
      </c>
      <c r="O31" s="648">
        <f t="shared" si="1"/>
        <v>0.1</v>
      </c>
      <c r="P31" s="130"/>
      <c r="Q31" s="16"/>
      <c r="R31" s="17"/>
      <c r="S31" s="298"/>
      <c r="T31" s="18"/>
      <c r="U31" s="19"/>
      <c r="V31" s="41"/>
      <c r="W31" s="187"/>
      <c r="X31" s="76"/>
      <c r="Y31" s="300">
        <v>0.1</v>
      </c>
      <c r="Z31" s="306"/>
      <c r="AA31" s="862"/>
      <c r="AB31" s="862"/>
      <c r="AC31" s="862"/>
      <c r="AD31" s="862"/>
      <c r="AE31" s="862"/>
      <c r="AF31" s="862"/>
      <c r="AG31" s="862"/>
      <c r="AH31" s="862"/>
      <c r="AI31" s="817"/>
      <c r="AJ31" s="862"/>
      <c r="AK31" s="862"/>
      <c r="AL31" s="862"/>
      <c r="AM31" s="862"/>
      <c r="AN31" s="862"/>
      <c r="AO31" s="862"/>
      <c r="AP31" s="322">
        <v>42566</v>
      </c>
      <c r="AQ31" s="348"/>
      <c r="AR31" s="345"/>
      <c r="AS31" s="345"/>
      <c r="AT31" s="357"/>
      <c r="AU31" s="348"/>
      <c r="AV31" s="434"/>
      <c r="AW31" s="433"/>
    </row>
    <row r="32" spans="1:50" ht="15" customHeight="1" x14ac:dyDescent="0.25">
      <c r="A32" s="358">
        <v>43271</v>
      </c>
      <c r="B32" s="729" t="s">
        <v>581</v>
      </c>
      <c r="C32" s="729" t="s">
        <v>266</v>
      </c>
      <c r="D32" s="729">
        <v>344</v>
      </c>
      <c r="E32" s="729" t="s">
        <v>10</v>
      </c>
      <c r="F32" s="813" t="s">
        <v>579</v>
      </c>
      <c r="G32" s="729" t="s">
        <v>344</v>
      </c>
      <c r="H32" s="729"/>
      <c r="I32" s="729" t="s">
        <v>9</v>
      </c>
      <c r="J32" s="729" t="s">
        <v>926</v>
      </c>
      <c r="K32" s="729" t="s">
        <v>927</v>
      </c>
      <c r="L32" s="729" t="s">
        <v>928</v>
      </c>
      <c r="M32" s="729">
        <v>571712</v>
      </c>
      <c r="N32" s="729">
        <v>4811696</v>
      </c>
      <c r="O32" s="648">
        <f t="shared" si="1"/>
        <v>1.7</v>
      </c>
      <c r="P32" s="130"/>
      <c r="Q32" s="16"/>
      <c r="R32" s="17"/>
      <c r="S32" s="373">
        <v>1.7</v>
      </c>
      <c r="T32" s="18"/>
      <c r="U32" s="19"/>
      <c r="V32" s="41"/>
      <c r="W32" s="187"/>
      <c r="X32" s="76"/>
      <c r="Y32" s="374"/>
      <c r="Z32" s="306"/>
      <c r="AA32" s="730">
        <v>43271</v>
      </c>
      <c r="AB32" s="730">
        <v>43271</v>
      </c>
      <c r="AC32" s="730" t="s">
        <v>311</v>
      </c>
      <c r="AD32" s="730" t="s">
        <v>312</v>
      </c>
      <c r="AE32" s="730" t="s">
        <v>313</v>
      </c>
      <c r="AF32" s="730" t="s">
        <v>314</v>
      </c>
      <c r="AG32" s="730" t="s">
        <v>314</v>
      </c>
      <c r="AH32" s="730" t="s">
        <v>314</v>
      </c>
      <c r="AI32" s="834"/>
      <c r="AJ32" s="730" t="s">
        <v>314</v>
      </c>
      <c r="AK32" s="730" t="s">
        <v>313</v>
      </c>
      <c r="AL32" s="730" t="s">
        <v>315</v>
      </c>
      <c r="AM32" s="730" t="s">
        <v>315</v>
      </c>
      <c r="AN32" s="730" t="s">
        <v>315</v>
      </c>
      <c r="AO32" s="730" t="s">
        <v>316</v>
      </c>
      <c r="AP32" s="322">
        <v>42583</v>
      </c>
      <c r="AQ32" s="348"/>
      <c r="AR32" s="345"/>
      <c r="AS32" s="345"/>
      <c r="AT32" s="345"/>
      <c r="AU32" s="348"/>
      <c r="AV32" s="434"/>
      <c r="AW32" s="433"/>
    </row>
    <row r="33" spans="1:49" ht="15" customHeight="1" x14ac:dyDescent="0.25">
      <c r="A33" s="817">
        <v>43273</v>
      </c>
      <c r="B33" s="817" t="s">
        <v>587</v>
      </c>
      <c r="C33" s="817" t="s">
        <v>91</v>
      </c>
      <c r="D33" s="819">
        <v>350</v>
      </c>
      <c r="E33" s="817"/>
      <c r="F33" s="817" t="s">
        <v>588</v>
      </c>
      <c r="G33" s="817"/>
      <c r="H33" s="817"/>
      <c r="I33" s="817" t="s">
        <v>327</v>
      </c>
      <c r="J33" s="817" t="s">
        <v>589</v>
      </c>
      <c r="K33" s="817" t="s">
        <v>590</v>
      </c>
      <c r="L33" s="817" t="s">
        <v>591</v>
      </c>
      <c r="M33" s="817"/>
      <c r="N33" s="817"/>
      <c r="O33" s="648">
        <f t="shared" si="1"/>
        <v>0</v>
      </c>
      <c r="P33" s="130"/>
      <c r="Q33" s="16"/>
      <c r="R33" s="17"/>
      <c r="S33" s="298"/>
      <c r="T33" s="18"/>
      <c r="U33" s="19"/>
      <c r="V33" s="41"/>
      <c r="W33" s="187"/>
      <c r="X33" s="76"/>
      <c r="Y33" s="300"/>
      <c r="Z33" s="306"/>
      <c r="AA33" s="817"/>
      <c r="AB33" s="817"/>
      <c r="AC33" s="817"/>
      <c r="AD33" s="817"/>
      <c r="AE33" s="817"/>
      <c r="AF33" s="817"/>
      <c r="AG33" s="817"/>
      <c r="AH33" s="817"/>
      <c r="AI33" s="817"/>
      <c r="AJ33" s="817"/>
      <c r="AK33" s="817"/>
      <c r="AL33" s="817"/>
      <c r="AM33" s="817"/>
      <c r="AN33" s="817"/>
      <c r="AO33" s="817"/>
      <c r="AP33" s="322">
        <v>42597</v>
      </c>
      <c r="AQ33" s="348"/>
      <c r="AR33" s="345"/>
      <c r="AS33" s="345"/>
      <c r="AT33" s="345"/>
      <c r="AU33" s="348"/>
      <c r="AV33" s="434"/>
      <c r="AW33" s="433"/>
    </row>
    <row r="34" spans="1:49" ht="15" customHeight="1" x14ac:dyDescent="0.25">
      <c r="A34" s="817">
        <v>43278</v>
      </c>
      <c r="B34" s="817" t="s">
        <v>603</v>
      </c>
      <c r="C34" s="880" t="s">
        <v>266</v>
      </c>
      <c r="D34" s="819">
        <v>370</v>
      </c>
      <c r="E34" s="880"/>
      <c r="F34" s="880" t="s">
        <v>601</v>
      </c>
      <c r="G34" s="880"/>
      <c r="H34" s="880"/>
      <c r="I34" s="880" t="s">
        <v>327</v>
      </c>
      <c r="J34" s="880" t="s">
        <v>604</v>
      </c>
      <c r="K34" s="880" t="s">
        <v>605</v>
      </c>
      <c r="L34" s="880" t="s">
        <v>606</v>
      </c>
      <c r="M34" s="880"/>
      <c r="N34" s="880"/>
      <c r="O34" s="648">
        <f t="shared" si="1"/>
        <v>0</v>
      </c>
      <c r="P34" s="130"/>
      <c r="Q34" s="16"/>
      <c r="R34" s="17"/>
      <c r="S34" s="298"/>
      <c r="T34" s="18"/>
      <c r="U34" s="19"/>
      <c r="V34" s="41"/>
      <c r="W34" s="187"/>
      <c r="X34" s="76"/>
      <c r="Y34" s="300"/>
      <c r="Z34" s="306"/>
      <c r="AA34" s="817"/>
      <c r="AB34" s="817"/>
      <c r="AC34" s="880"/>
      <c r="AD34" s="880"/>
      <c r="AE34" s="880"/>
      <c r="AF34" s="880"/>
      <c r="AG34" s="880"/>
      <c r="AH34" s="880"/>
      <c r="AI34" s="834"/>
      <c r="AJ34" s="880"/>
      <c r="AK34" s="880"/>
      <c r="AL34" s="880"/>
      <c r="AM34" s="880"/>
      <c r="AN34" s="880"/>
      <c r="AO34" s="880"/>
      <c r="AP34" s="322">
        <v>42614</v>
      </c>
      <c r="AQ34" s="348"/>
      <c r="AR34" s="345"/>
      <c r="AS34" s="345"/>
      <c r="AT34" s="345"/>
      <c r="AU34" s="348"/>
      <c r="AV34" s="434"/>
      <c r="AW34" s="433"/>
    </row>
    <row r="35" spans="1:49" s="270" customFormat="1" ht="15" customHeight="1" x14ac:dyDescent="0.25">
      <c r="A35" s="817">
        <v>43279</v>
      </c>
      <c r="B35" s="817" t="s">
        <v>607</v>
      </c>
      <c r="C35" s="880" t="s">
        <v>91</v>
      </c>
      <c r="D35" s="819">
        <v>378</v>
      </c>
      <c r="E35" s="880"/>
      <c r="F35" s="880" t="s">
        <v>602</v>
      </c>
      <c r="G35" s="880"/>
      <c r="H35" s="880"/>
      <c r="I35" s="880" t="s">
        <v>327</v>
      </c>
      <c r="J35" s="880" t="s">
        <v>608</v>
      </c>
      <c r="K35" s="880" t="s">
        <v>609</v>
      </c>
      <c r="L35" s="880" t="s">
        <v>610</v>
      </c>
      <c r="M35" s="880"/>
      <c r="N35" s="880"/>
      <c r="O35" s="648">
        <f t="shared" si="1"/>
        <v>0</v>
      </c>
      <c r="P35" s="130"/>
      <c r="Q35" s="16"/>
      <c r="R35" s="17"/>
      <c r="S35" s="298"/>
      <c r="T35" s="18"/>
      <c r="U35" s="19"/>
      <c r="V35" s="41"/>
      <c r="W35" s="187"/>
      <c r="X35" s="76"/>
      <c r="Y35" s="300"/>
      <c r="Z35" s="306"/>
      <c r="AA35" s="817"/>
      <c r="AB35" s="817"/>
      <c r="AC35" s="880"/>
      <c r="AD35" s="880"/>
      <c r="AE35" s="880"/>
      <c r="AF35" s="880"/>
      <c r="AG35" s="880"/>
      <c r="AH35" s="880"/>
      <c r="AI35" s="834"/>
      <c r="AJ35" s="880"/>
      <c r="AK35" s="880"/>
      <c r="AL35" s="880"/>
      <c r="AM35" s="880"/>
      <c r="AN35" s="880"/>
      <c r="AO35" s="880"/>
      <c r="AP35" s="322">
        <v>42628</v>
      </c>
      <c r="AQ35" s="348"/>
      <c r="AR35" s="345"/>
      <c r="AS35" s="345"/>
      <c r="AT35" s="345"/>
      <c r="AU35" s="348"/>
      <c r="AV35" s="434"/>
      <c r="AW35" s="433"/>
    </row>
    <row r="36" spans="1:49" s="270" customFormat="1" ht="13.5" customHeight="1" x14ac:dyDescent="0.25">
      <c r="A36" s="862">
        <v>43280</v>
      </c>
      <c r="B36" s="89" t="s">
        <v>611</v>
      </c>
      <c r="C36" s="89" t="s">
        <v>266</v>
      </c>
      <c r="D36" s="89">
        <v>385</v>
      </c>
      <c r="E36" s="89" t="s">
        <v>63</v>
      </c>
      <c r="F36" s="89" t="s">
        <v>612</v>
      </c>
      <c r="G36" s="89"/>
      <c r="H36" s="89"/>
      <c r="I36" s="89" t="s">
        <v>63</v>
      </c>
      <c r="J36" s="89" t="s">
        <v>613</v>
      </c>
      <c r="K36" s="89" t="s">
        <v>614</v>
      </c>
      <c r="L36" s="89" t="s">
        <v>929</v>
      </c>
      <c r="M36" s="89">
        <v>557048</v>
      </c>
      <c r="N36" s="89">
        <v>4814426</v>
      </c>
      <c r="O36" s="648">
        <f t="shared" si="1"/>
        <v>1</v>
      </c>
      <c r="P36" s="130"/>
      <c r="Q36" s="16"/>
      <c r="R36" s="17"/>
      <c r="S36" s="298"/>
      <c r="T36" s="18"/>
      <c r="U36" s="19"/>
      <c r="V36" s="41"/>
      <c r="W36" s="187"/>
      <c r="X36" s="76"/>
      <c r="Y36" s="300">
        <v>1</v>
      </c>
      <c r="Z36" s="306"/>
      <c r="AA36" s="862" t="s">
        <v>6</v>
      </c>
      <c r="AB36" s="862"/>
      <c r="AC36" s="862"/>
      <c r="AD36" s="862"/>
      <c r="AE36" s="862"/>
      <c r="AF36" s="862"/>
      <c r="AG36" s="862"/>
      <c r="AH36" s="862"/>
      <c r="AI36" s="834"/>
      <c r="AJ36" s="862"/>
      <c r="AK36" s="862"/>
      <c r="AL36" s="862"/>
      <c r="AM36" s="862"/>
      <c r="AN36" s="862"/>
      <c r="AO36" s="862"/>
      <c r="AP36" s="322">
        <v>42644</v>
      </c>
      <c r="AQ36" s="348"/>
      <c r="AR36" s="345"/>
      <c r="AS36" s="345"/>
      <c r="AT36" s="345"/>
      <c r="AU36" s="348"/>
      <c r="AV36" s="434"/>
      <c r="AW36" s="433"/>
    </row>
    <row r="37" spans="1:49" s="270" customFormat="1" ht="15" customHeight="1" x14ac:dyDescent="0.25">
      <c r="A37" s="358">
        <v>43280</v>
      </c>
      <c r="B37" s="729" t="s">
        <v>615</v>
      </c>
      <c r="C37" s="729" t="s">
        <v>91</v>
      </c>
      <c r="D37" s="729">
        <v>391</v>
      </c>
      <c r="E37" s="729" t="s">
        <v>10</v>
      </c>
      <c r="F37" s="813" t="s">
        <v>616</v>
      </c>
      <c r="G37" s="729" t="s">
        <v>617</v>
      </c>
      <c r="H37" s="729" t="s">
        <v>509</v>
      </c>
      <c r="I37" s="729" t="s">
        <v>8</v>
      </c>
      <c r="J37" s="729" t="s">
        <v>952</v>
      </c>
      <c r="K37" s="729" t="s">
        <v>953</v>
      </c>
      <c r="L37" s="729" t="s">
        <v>954</v>
      </c>
      <c r="M37" s="729">
        <v>531056</v>
      </c>
      <c r="N37" s="729">
        <v>4853998</v>
      </c>
      <c r="O37" s="648">
        <f t="shared" si="1"/>
        <v>1.1000000000000001</v>
      </c>
      <c r="P37" s="130">
        <v>1.1000000000000001</v>
      </c>
      <c r="Q37" s="16"/>
      <c r="R37" s="17"/>
      <c r="S37" s="373"/>
      <c r="T37" s="18"/>
      <c r="U37" s="19"/>
      <c r="V37" s="41"/>
      <c r="W37" s="187"/>
      <c r="X37" s="76"/>
      <c r="Y37" s="374"/>
      <c r="Z37" s="306"/>
      <c r="AA37" s="730">
        <v>43281</v>
      </c>
      <c r="AB37" s="730">
        <v>43281</v>
      </c>
      <c r="AC37" s="730" t="s">
        <v>311</v>
      </c>
      <c r="AD37" s="730" t="s">
        <v>577</v>
      </c>
      <c r="AE37" s="730" t="s">
        <v>313</v>
      </c>
      <c r="AF37" s="730" t="s">
        <v>314</v>
      </c>
      <c r="AG37" s="730" t="s">
        <v>314</v>
      </c>
      <c r="AH37" s="730" t="s">
        <v>314</v>
      </c>
      <c r="AI37" s="834"/>
      <c r="AJ37" s="730" t="s">
        <v>314</v>
      </c>
      <c r="AK37" s="730" t="s">
        <v>313</v>
      </c>
      <c r="AL37" s="730" t="s">
        <v>315</v>
      </c>
      <c r="AM37" s="730" t="s">
        <v>315</v>
      </c>
      <c r="AN37" s="730" t="s">
        <v>315</v>
      </c>
      <c r="AO37" s="730" t="s">
        <v>316</v>
      </c>
      <c r="AP37" s="322">
        <v>42658</v>
      </c>
      <c r="AQ37" s="348"/>
      <c r="AR37" s="345"/>
      <c r="AS37" s="345"/>
      <c r="AT37" s="357"/>
      <c r="AU37" s="348"/>
      <c r="AV37" s="434"/>
      <c r="AW37" s="433"/>
    </row>
    <row r="38" spans="1:49" s="270" customFormat="1" ht="15" customHeight="1" x14ac:dyDescent="0.25">
      <c r="A38" s="358">
        <v>43281</v>
      </c>
      <c r="B38" s="729" t="s">
        <v>623</v>
      </c>
      <c r="C38" s="729" t="s">
        <v>91</v>
      </c>
      <c r="D38" s="729">
        <v>396</v>
      </c>
      <c r="E38" s="729" t="s">
        <v>10</v>
      </c>
      <c r="F38" s="813" t="s">
        <v>620</v>
      </c>
      <c r="G38" s="729" t="s">
        <v>344</v>
      </c>
      <c r="H38" s="729"/>
      <c r="I38" s="729" t="s">
        <v>8</v>
      </c>
      <c r="J38" s="729" t="s">
        <v>625</v>
      </c>
      <c r="K38" s="729" t="s">
        <v>626</v>
      </c>
      <c r="L38" s="729" t="s">
        <v>955</v>
      </c>
      <c r="M38" s="729">
        <v>583009</v>
      </c>
      <c r="N38" s="729">
        <v>4801905</v>
      </c>
      <c r="O38" s="648">
        <f t="shared" si="1"/>
        <v>24</v>
      </c>
      <c r="P38" s="130">
        <v>5</v>
      </c>
      <c r="Q38" s="16"/>
      <c r="R38" s="17"/>
      <c r="S38" s="298">
        <v>19</v>
      </c>
      <c r="T38" s="18"/>
      <c r="U38" s="19"/>
      <c r="V38" s="41"/>
      <c r="W38" s="187"/>
      <c r="X38" s="76"/>
      <c r="Y38" s="300"/>
      <c r="Z38" s="306"/>
      <c r="AA38" s="730">
        <v>43281</v>
      </c>
      <c r="AB38" s="730">
        <v>43281</v>
      </c>
      <c r="AC38" s="730" t="s">
        <v>311</v>
      </c>
      <c r="AD38" s="730" t="s">
        <v>94</v>
      </c>
      <c r="AE38" s="730" t="s">
        <v>313</v>
      </c>
      <c r="AF38" s="730" t="s">
        <v>314</v>
      </c>
      <c r="AG38" s="730" t="s">
        <v>314</v>
      </c>
      <c r="AH38" s="730" t="s">
        <v>314</v>
      </c>
      <c r="AI38" s="834"/>
      <c r="AJ38" s="730" t="s">
        <v>314</v>
      </c>
      <c r="AK38" s="730" t="s">
        <v>313</v>
      </c>
      <c r="AL38" s="730" t="s">
        <v>315</v>
      </c>
      <c r="AM38" s="730" t="s">
        <v>315</v>
      </c>
      <c r="AN38" s="730" t="s">
        <v>315</v>
      </c>
      <c r="AO38" s="730" t="s">
        <v>321</v>
      </c>
      <c r="AP38" s="322">
        <v>42675</v>
      </c>
      <c r="AQ38" s="348"/>
      <c r="AR38" s="345"/>
      <c r="AS38" s="345"/>
      <c r="AT38" s="357"/>
      <c r="AU38" s="348"/>
      <c r="AV38" s="434"/>
      <c r="AW38" s="433"/>
    </row>
    <row r="39" spans="1:49" ht="15" customHeight="1" x14ac:dyDescent="0.25">
      <c r="A39" s="358">
        <v>43281</v>
      </c>
      <c r="B39" s="729" t="s">
        <v>624</v>
      </c>
      <c r="C39" s="729" t="s">
        <v>91</v>
      </c>
      <c r="D39" s="729">
        <v>399</v>
      </c>
      <c r="E39" s="729" t="s">
        <v>11</v>
      </c>
      <c r="F39" s="813" t="s">
        <v>622</v>
      </c>
      <c r="G39" s="729" t="s">
        <v>383</v>
      </c>
      <c r="H39" s="729" t="s">
        <v>527</v>
      </c>
      <c r="I39" s="729" t="s">
        <v>8</v>
      </c>
      <c r="J39" s="729" t="s">
        <v>627</v>
      </c>
      <c r="K39" s="729" t="s">
        <v>628</v>
      </c>
      <c r="L39" s="729" t="s">
        <v>956</v>
      </c>
      <c r="M39" s="729">
        <v>613757</v>
      </c>
      <c r="N39" s="729">
        <v>4778680</v>
      </c>
      <c r="O39" s="648">
        <f t="shared" si="1"/>
        <v>2.7</v>
      </c>
      <c r="P39" s="130">
        <v>2.7</v>
      </c>
      <c r="Q39" s="16"/>
      <c r="R39" s="17"/>
      <c r="S39" s="298"/>
      <c r="T39" s="18"/>
      <c r="U39" s="19"/>
      <c r="V39" s="41"/>
      <c r="W39" s="187"/>
      <c r="X39" s="76"/>
      <c r="Y39" s="300"/>
      <c r="Z39" s="306"/>
      <c r="AA39" s="730">
        <v>43281</v>
      </c>
      <c r="AB39" s="730">
        <v>43281</v>
      </c>
      <c r="AC39" s="730" t="s">
        <v>311</v>
      </c>
      <c r="AD39" s="730" t="s">
        <v>312</v>
      </c>
      <c r="AE39" s="730" t="s">
        <v>313</v>
      </c>
      <c r="AF39" s="730" t="s">
        <v>314</v>
      </c>
      <c r="AG39" s="730" t="s">
        <v>313</v>
      </c>
      <c r="AH39" s="730" t="s">
        <v>313</v>
      </c>
      <c r="AI39" s="834"/>
      <c r="AJ39" s="730" t="s">
        <v>314</v>
      </c>
      <c r="AK39" s="730" t="s">
        <v>313</v>
      </c>
      <c r="AL39" s="730" t="s">
        <v>315</v>
      </c>
      <c r="AM39" s="730" t="s">
        <v>315</v>
      </c>
      <c r="AN39" s="730" t="s">
        <v>315</v>
      </c>
      <c r="AO39" s="729" t="s">
        <v>316</v>
      </c>
    </row>
    <row r="40" spans="1:49" ht="15" customHeight="1" x14ac:dyDescent="0.25">
      <c r="A40" s="358">
        <v>43281</v>
      </c>
      <c r="B40" s="358" t="s">
        <v>650</v>
      </c>
      <c r="C40" s="729" t="s">
        <v>256</v>
      </c>
      <c r="D40" s="359">
        <v>402</v>
      </c>
      <c r="E40" s="729" t="s">
        <v>10</v>
      </c>
      <c r="F40" s="813" t="s">
        <v>632</v>
      </c>
      <c r="G40" s="729" t="s">
        <v>638</v>
      </c>
      <c r="H40" s="729"/>
      <c r="I40" s="729" t="s">
        <v>8</v>
      </c>
      <c r="J40" s="729" t="s">
        <v>639</v>
      </c>
      <c r="K40" s="729" t="s">
        <v>957</v>
      </c>
      <c r="L40" s="729" t="s">
        <v>958</v>
      </c>
      <c r="M40" s="729">
        <v>591504</v>
      </c>
      <c r="N40" s="729">
        <v>4791416</v>
      </c>
      <c r="O40" s="648">
        <f t="shared" si="1"/>
        <v>0.1</v>
      </c>
      <c r="P40" s="130"/>
      <c r="Q40" s="16"/>
      <c r="R40" s="17"/>
      <c r="S40" s="346">
        <v>0.1</v>
      </c>
      <c r="T40" s="18"/>
      <c r="U40" s="19"/>
      <c r="V40" s="41"/>
      <c r="W40" s="187"/>
      <c r="X40" s="76"/>
      <c r="Y40" s="347"/>
      <c r="Z40" s="306"/>
      <c r="AA40" s="358">
        <v>43281</v>
      </c>
      <c r="AB40" s="358">
        <v>43281</v>
      </c>
      <c r="AC40" s="729" t="s">
        <v>311</v>
      </c>
      <c r="AD40" s="729" t="s">
        <v>94</v>
      </c>
      <c r="AE40" s="729" t="s">
        <v>313</v>
      </c>
      <c r="AF40" s="729" t="s">
        <v>314</v>
      </c>
      <c r="AG40" s="729" t="s">
        <v>314</v>
      </c>
      <c r="AH40" s="729" t="s">
        <v>314</v>
      </c>
      <c r="AI40" s="834"/>
      <c r="AJ40" s="729" t="s">
        <v>314</v>
      </c>
      <c r="AK40" s="729" t="s">
        <v>314</v>
      </c>
      <c r="AL40" s="729" t="s">
        <v>315</v>
      </c>
      <c r="AM40" s="729" t="s">
        <v>315</v>
      </c>
      <c r="AN40" s="729" t="s">
        <v>315</v>
      </c>
      <c r="AO40" s="729" t="s">
        <v>392</v>
      </c>
      <c r="AQ40" s="270"/>
      <c r="AR40" s="270"/>
      <c r="AS40" s="270"/>
      <c r="AT40" s="270"/>
      <c r="AU40" s="270"/>
    </row>
    <row r="41" spans="1:49" ht="15" customHeight="1" x14ac:dyDescent="0.25">
      <c r="A41" s="862">
        <v>43281</v>
      </c>
      <c r="B41" s="470" t="s">
        <v>642</v>
      </c>
      <c r="C41" s="89" t="s">
        <v>271</v>
      </c>
      <c r="D41" s="863">
        <v>403</v>
      </c>
      <c r="E41" s="89" t="s">
        <v>63</v>
      </c>
      <c r="F41" s="89" t="s">
        <v>633</v>
      </c>
      <c r="G41" s="89"/>
      <c r="H41" s="89"/>
      <c r="I41" s="89" t="s">
        <v>63</v>
      </c>
      <c r="J41" s="89" t="s">
        <v>959</v>
      </c>
      <c r="K41" s="89" t="s">
        <v>960</v>
      </c>
      <c r="L41" s="89" t="s">
        <v>961</v>
      </c>
      <c r="M41" s="89">
        <v>514486</v>
      </c>
      <c r="N41" s="89">
        <v>4861814</v>
      </c>
      <c r="O41" s="648">
        <f t="shared" si="1"/>
        <v>0.1</v>
      </c>
      <c r="P41" s="130"/>
      <c r="Q41" s="16"/>
      <c r="R41" s="17"/>
      <c r="S41" s="346"/>
      <c r="T41" s="18"/>
      <c r="U41" s="19"/>
      <c r="V41" s="41"/>
      <c r="W41" s="187"/>
      <c r="X41" s="76"/>
      <c r="Y41" s="347">
        <v>0.1</v>
      </c>
      <c r="Z41" s="306"/>
      <c r="AA41" s="862"/>
      <c r="AB41" s="862"/>
      <c r="AC41" s="89"/>
      <c r="AD41" s="89"/>
      <c r="AE41" s="89"/>
      <c r="AF41" s="89"/>
      <c r="AG41" s="89"/>
      <c r="AH41" s="89"/>
      <c r="AI41" s="884"/>
      <c r="AJ41" s="89"/>
      <c r="AK41" s="89"/>
      <c r="AL41" s="89"/>
      <c r="AM41" s="89"/>
      <c r="AN41" s="89"/>
      <c r="AO41" s="89"/>
      <c r="AP41" s="344" t="s">
        <v>178</v>
      </c>
      <c r="AQ41" s="262" t="s">
        <v>177</v>
      </c>
      <c r="AR41" s="262" t="s">
        <v>175</v>
      </c>
      <c r="AS41" s="1028" t="s">
        <v>176</v>
      </c>
      <c r="AT41" s="1020"/>
    </row>
    <row r="42" spans="1:49" ht="15" customHeight="1" x14ac:dyDescent="0.25">
      <c r="A42" s="358">
        <v>43282</v>
      </c>
      <c r="B42" s="358" t="s">
        <v>643</v>
      </c>
      <c r="C42" s="729" t="s">
        <v>91</v>
      </c>
      <c r="D42" s="359">
        <v>407</v>
      </c>
      <c r="E42" s="729" t="s">
        <v>11</v>
      </c>
      <c r="F42" s="813" t="s">
        <v>635</v>
      </c>
      <c r="G42" s="729" t="s">
        <v>411</v>
      </c>
      <c r="H42" s="729" t="s">
        <v>644</v>
      </c>
      <c r="I42" s="729" t="s">
        <v>8</v>
      </c>
      <c r="J42" s="729" t="s">
        <v>645</v>
      </c>
      <c r="K42" s="729" t="s">
        <v>646</v>
      </c>
      <c r="L42" s="729" t="s">
        <v>610</v>
      </c>
      <c r="M42" s="729">
        <v>561826</v>
      </c>
      <c r="N42" s="729">
        <v>4800112</v>
      </c>
      <c r="O42" s="648">
        <f t="shared" si="1"/>
        <v>0.5</v>
      </c>
      <c r="P42" s="130">
        <v>0.5</v>
      </c>
      <c r="Q42" s="16"/>
      <c r="R42" s="17"/>
      <c r="S42" s="346"/>
      <c r="T42" s="18"/>
      <c r="U42" s="19"/>
      <c r="V42" s="41"/>
      <c r="W42" s="187"/>
      <c r="X42" s="76"/>
      <c r="Y42" s="347"/>
      <c r="Z42" s="306"/>
      <c r="AA42" s="358">
        <v>43282</v>
      </c>
      <c r="AB42" s="358">
        <v>43282</v>
      </c>
      <c r="AC42" s="729" t="s">
        <v>311</v>
      </c>
      <c r="AD42" s="729" t="s">
        <v>312</v>
      </c>
      <c r="AE42" s="729" t="s">
        <v>313</v>
      </c>
      <c r="AF42" s="729" t="s">
        <v>314</v>
      </c>
      <c r="AG42" s="729" t="s">
        <v>314</v>
      </c>
      <c r="AH42" s="729" t="s">
        <v>314</v>
      </c>
      <c r="AI42" s="834"/>
      <c r="AJ42" s="729" t="s">
        <v>314</v>
      </c>
      <c r="AK42" s="729" t="s">
        <v>314</v>
      </c>
      <c r="AL42" s="729" t="s">
        <v>315</v>
      </c>
      <c r="AM42" s="729" t="s">
        <v>315</v>
      </c>
      <c r="AN42" s="729" t="s">
        <v>315</v>
      </c>
      <c r="AO42" s="729" t="s">
        <v>316</v>
      </c>
      <c r="AP42" s="344" t="s">
        <v>172</v>
      </c>
      <c r="AQ42" s="433">
        <f>COUNTIF('BLM STATS'!AO:AO,"A (0-0.25)")</f>
        <v>21</v>
      </c>
      <c r="AR42" s="262"/>
      <c r="AS42" s="1028"/>
      <c r="AT42" s="1020"/>
    </row>
    <row r="43" spans="1:49" ht="15" customHeight="1" x14ac:dyDescent="0.25">
      <c r="A43" s="358">
        <v>43282</v>
      </c>
      <c r="B43" s="358" t="s">
        <v>647</v>
      </c>
      <c r="C43" s="729" t="s">
        <v>91</v>
      </c>
      <c r="D43" s="359">
        <v>413</v>
      </c>
      <c r="E43" s="729" t="s">
        <v>11</v>
      </c>
      <c r="F43" s="840" t="s">
        <v>637</v>
      </c>
      <c r="G43" s="729" t="s">
        <v>497</v>
      </c>
      <c r="H43" s="729"/>
      <c r="I43" s="729" t="s">
        <v>8</v>
      </c>
      <c r="J43" s="729" t="s">
        <v>648</v>
      </c>
      <c r="K43" s="729" t="s">
        <v>962</v>
      </c>
      <c r="L43" s="729" t="s">
        <v>649</v>
      </c>
      <c r="M43" s="729">
        <v>560703</v>
      </c>
      <c r="N43" s="729">
        <v>4802308</v>
      </c>
      <c r="O43" s="648">
        <f t="shared" si="1"/>
        <v>0.1</v>
      </c>
      <c r="P43" s="130">
        <v>0.1</v>
      </c>
      <c r="Q43" s="16"/>
      <c r="R43" s="17"/>
      <c r="S43" s="298"/>
      <c r="T43" s="18"/>
      <c r="U43" s="19"/>
      <c r="V43" s="41"/>
      <c r="W43" s="187"/>
      <c r="X43" s="76"/>
      <c r="Y43" s="300"/>
      <c r="Z43" s="306"/>
      <c r="AA43" s="358">
        <v>43282</v>
      </c>
      <c r="AB43" s="358">
        <v>43282</v>
      </c>
      <c r="AC43" s="729" t="s">
        <v>311</v>
      </c>
      <c r="AD43" s="729" t="s">
        <v>312</v>
      </c>
      <c r="AE43" s="729" t="s">
        <v>313</v>
      </c>
      <c r="AF43" s="729" t="s">
        <v>314</v>
      </c>
      <c r="AG43" s="729" t="s">
        <v>314</v>
      </c>
      <c r="AH43" s="729" t="s">
        <v>314</v>
      </c>
      <c r="AI43" s="834"/>
      <c r="AJ43" s="729" t="s">
        <v>314</v>
      </c>
      <c r="AK43" s="729" t="s">
        <v>314</v>
      </c>
      <c r="AL43" s="729" t="s">
        <v>315</v>
      </c>
      <c r="AM43" s="729" t="s">
        <v>315</v>
      </c>
      <c r="AN43" s="729" t="s">
        <v>315</v>
      </c>
      <c r="AO43" s="729" t="s">
        <v>392</v>
      </c>
      <c r="AP43" s="344" t="s">
        <v>179</v>
      </c>
      <c r="AQ43" s="433">
        <f>COUNTIF('BLM STATS'!AO:AO,"B (0.26-9)")</f>
        <v>34</v>
      </c>
      <c r="AR43" s="262"/>
      <c r="AS43" s="1028"/>
      <c r="AT43" s="1020"/>
    </row>
    <row r="44" spans="1:49" ht="15" customHeight="1" x14ac:dyDescent="0.25">
      <c r="A44" s="358">
        <v>43283</v>
      </c>
      <c r="B44" s="358" t="s">
        <v>654</v>
      </c>
      <c r="C44" s="729" t="s">
        <v>91</v>
      </c>
      <c r="D44" s="359">
        <v>419</v>
      </c>
      <c r="E44" s="729" t="s">
        <v>10</v>
      </c>
      <c r="F44" s="813" t="s">
        <v>651</v>
      </c>
      <c r="G44" s="729" t="s">
        <v>497</v>
      </c>
      <c r="H44" s="729" t="s">
        <v>652</v>
      </c>
      <c r="I44" s="729" t="s">
        <v>8</v>
      </c>
      <c r="J44" s="729" t="s">
        <v>655</v>
      </c>
      <c r="K44" s="729" t="s">
        <v>656</v>
      </c>
      <c r="L44" s="729" t="s">
        <v>963</v>
      </c>
      <c r="M44" s="729">
        <v>525388</v>
      </c>
      <c r="N44" s="729">
        <v>4813748</v>
      </c>
      <c r="O44" s="648">
        <f t="shared" si="1"/>
        <v>6.4</v>
      </c>
      <c r="P44" s="130">
        <v>6.4</v>
      </c>
      <c r="Q44" s="16"/>
      <c r="R44" s="17"/>
      <c r="S44" s="298"/>
      <c r="T44" s="18"/>
      <c r="U44" s="19"/>
      <c r="V44" s="41"/>
      <c r="W44" s="187"/>
      <c r="X44" s="76"/>
      <c r="Y44" s="300"/>
      <c r="Z44" s="306"/>
      <c r="AA44" s="358">
        <v>43283</v>
      </c>
      <c r="AB44" s="358">
        <v>43283</v>
      </c>
      <c r="AC44" s="729" t="s">
        <v>311</v>
      </c>
      <c r="AD44" s="729" t="s">
        <v>312</v>
      </c>
      <c r="AE44" s="729" t="s">
        <v>313</v>
      </c>
      <c r="AF44" s="729" t="s">
        <v>314</v>
      </c>
      <c r="AG44" s="729" t="s">
        <v>314</v>
      </c>
      <c r="AH44" s="729" t="s">
        <v>314</v>
      </c>
      <c r="AI44" s="834"/>
      <c r="AJ44" s="729" t="s">
        <v>314</v>
      </c>
      <c r="AK44" s="729" t="s">
        <v>314</v>
      </c>
      <c r="AL44" s="729" t="s">
        <v>315</v>
      </c>
      <c r="AM44" s="729" t="s">
        <v>315</v>
      </c>
      <c r="AN44" s="729" t="s">
        <v>315</v>
      </c>
      <c r="AO44" s="729" t="s">
        <v>316</v>
      </c>
      <c r="AP44" s="380" t="s">
        <v>173</v>
      </c>
      <c r="AQ44" s="433">
        <f>COUNTIF('BLM STATS'!AO:AO,"C (10-99)")</f>
        <v>21</v>
      </c>
      <c r="AR44" s="381"/>
      <c r="AS44" s="1017"/>
      <c r="AT44" s="1018"/>
      <c r="AU44" s="270"/>
      <c r="AW44" s="270"/>
    </row>
    <row r="45" spans="1:49" ht="15" customHeight="1" x14ac:dyDescent="0.25">
      <c r="A45" s="862">
        <v>43283</v>
      </c>
      <c r="B45" s="862" t="s">
        <v>665</v>
      </c>
      <c r="C45" s="89" t="s">
        <v>264</v>
      </c>
      <c r="D45" s="863">
        <v>424</v>
      </c>
      <c r="E45" s="89" t="s">
        <v>63</v>
      </c>
      <c r="F45" s="89" t="s">
        <v>657</v>
      </c>
      <c r="G45" s="89"/>
      <c r="H45" s="89"/>
      <c r="I45" s="89" t="s">
        <v>63</v>
      </c>
      <c r="J45" s="89" t="s">
        <v>666</v>
      </c>
      <c r="K45" s="89" t="s">
        <v>667</v>
      </c>
      <c r="L45" s="89" t="s">
        <v>668</v>
      </c>
      <c r="M45" s="89"/>
      <c r="N45" s="89"/>
      <c r="O45" s="648">
        <f t="shared" si="1"/>
        <v>0.25</v>
      </c>
      <c r="P45" s="130"/>
      <c r="Q45" s="16"/>
      <c r="R45" s="17"/>
      <c r="S45" s="381"/>
      <c r="T45" s="18"/>
      <c r="U45" s="19"/>
      <c r="V45" s="41"/>
      <c r="W45" s="187"/>
      <c r="X45" s="76"/>
      <c r="Y45" s="382">
        <v>0.25</v>
      </c>
      <c r="Z45" s="306"/>
      <c r="AA45" s="862"/>
      <c r="AB45" s="862"/>
      <c r="AC45" s="89"/>
      <c r="AD45" s="89"/>
      <c r="AE45" s="89"/>
      <c r="AF45" s="89"/>
      <c r="AG45" s="89"/>
      <c r="AH45" s="89"/>
      <c r="AI45" s="884"/>
      <c r="AJ45" s="89"/>
      <c r="AK45" s="89"/>
      <c r="AL45" s="89"/>
      <c r="AM45" s="89"/>
      <c r="AN45" s="89"/>
      <c r="AO45" s="89"/>
      <c r="AP45" s="380" t="s">
        <v>174</v>
      </c>
      <c r="AQ45" s="433">
        <f>COUNTIF('BLM STATS'!AO:AO,"D (100-299)")</f>
        <v>7</v>
      </c>
      <c r="AR45" s="381"/>
      <c r="AS45" s="1017"/>
      <c r="AT45" s="1018"/>
      <c r="AU45" s="270"/>
      <c r="AW45" s="270"/>
    </row>
    <row r="46" spans="1:49" s="270" customFormat="1" ht="15" customHeight="1" x14ac:dyDescent="0.25">
      <c r="A46" s="358">
        <v>43283</v>
      </c>
      <c r="B46" s="358" t="s">
        <v>669</v>
      </c>
      <c r="C46" s="729" t="s">
        <v>95</v>
      </c>
      <c r="D46" s="359">
        <v>425</v>
      </c>
      <c r="E46" s="729" t="s">
        <v>10</v>
      </c>
      <c r="F46" s="813" t="s">
        <v>658</v>
      </c>
      <c r="G46" s="729" t="s">
        <v>390</v>
      </c>
      <c r="H46" s="729"/>
      <c r="I46" s="729" t="s">
        <v>8</v>
      </c>
      <c r="J46" s="729" t="s">
        <v>674</v>
      </c>
      <c r="K46" s="729" t="s">
        <v>695</v>
      </c>
      <c r="L46" s="729" t="s">
        <v>964</v>
      </c>
      <c r="M46" s="729">
        <v>540501</v>
      </c>
      <c r="N46" s="729">
        <v>4870293</v>
      </c>
      <c r="O46" s="648">
        <f t="shared" si="1"/>
        <v>402</v>
      </c>
      <c r="P46" s="130">
        <v>301.5</v>
      </c>
      <c r="Q46" s="16"/>
      <c r="R46" s="17">
        <v>7.5</v>
      </c>
      <c r="S46" s="381">
        <v>93</v>
      </c>
      <c r="T46" s="18"/>
      <c r="U46" s="19"/>
      <c r="V46" s="41"/>
      <c r="W46" s="187"/>
      <c r="X46" s="76"/>
      <c r="Y46" s="382"/>
      <c r="Z46" s="306"/>
      <c r="AA46" s="358">
        <v>43284</v>
      </c>
      <c r="AB46" s="358">
        <v>43284</v>
      </c>
      <c r="AC46" s="729" t="s">
        <v>311</v>
      </c>
      <c r="AD46" s="729" t="s">
        <v>2</v>
      </c>
      <c r="AE46" s="729" t="s">
        <v>313</v>
      </c>
      <c r="AF46" s="729" t="s">
        <v>314</v>
      </c>
      <c r="AG46" s="729" t="s">
        <v>314</v>
      </c>
      <c r="AH46" s="729" t="s">
        <v>314</v>
      </c>
      <c r="AI46" s="834"/>
      <c r="AJ46" s="729" t="s">
        <v>314</v>
      </c>
      <c r="AK46" s="729" t="s">
        <v>313</v>
      </c>
      <c r="AL46" s="729" t="s">
        <v>315</v>
      </c>
      <c r="AM46" s="729" t="s">
        <v>313</v>
      </c>
      <c r="AN46" s="729" t="s">
        <v>315</v>
      </c>
      <c r="AO46" s="729" t="s">
        <v>697</v>
      </c>
      <c r="AP46" s="517"/>
      <c r="AQ46" s="518"/>
      <c r="AR46" s="518"/>
      <c r="AS46" s="516"/>
      <c r="AT46" s="517"/>
    </row>
    <row r="47" spans="1:49" ht="15" customHeight="1" x14ac:dyDescent="0.25">
      <c r="A47" s="358">
        <v>43285</v>
      </c>
      <c r="B47" s="358" t="s">
        <v>675</v>
      </c>
      <c r="C47" s="729" t="s">
        <v>269</v>
      </c>
      <c r="D47" s="359">
        <v>437</v>
      </c>
      <c r="E47" s="729" t="s">
        <v>11</v>
      </c>
      <c r="F47" s="813" t="s">
        <v>662</v>
      </c>
      <c r="G47" s="729" t="s">
        <v>676</v>
      </c>
      <c r="H47" s="729" t="s">
        <v>965</v>
      </c>
      <c r="I47" s="729" t="s">
        <v>8</v>
      </c>
      <c r="J47" s="729" t="s">
        <v>966</v>
      </c>
      <c r="K47" s="729" t="s">
        <v>677</v>
      </c>
      <c r="L47" s="729" t="s">
        <v>967</v>
      </c>
      <c r="M47" s="729">
        <v>607880</v>
      </c>
      <c r="N47" s="729">
        <v>4754952</v>
      </c>
      <c r="O47" s="648">
        <f t="shared" si="1"/>
        <v>52</v>
      </c>
      <c r="P47" s="130">
        <v>46</v>
      </c>
      <c r="Q47" s="16"/>
      <c r="R47" s="17"/>
      <c r="S47" s="518">
        <v>6</v>
      </c>
      <c r="T47" s="18"/>
      <c r="U47" s="19"/>
      <c r="V47" s="41"/>
      <c r="W47" s="187"/>
      <c r="X47" s="76"/>
      <c r="Y47" s="519"/>
      <c r="Z47" s="306"/>
      <c r="AA47" s="358">
        <v>43285</v>
      </c>
      <c r="AB47" s="358">
        <v>43286</v>
      </c>
      <c r="AC47" s="729" t="s">
        <v>311</v>
      </c>
      <c r="AD47" s="729" t="s">
        <v>94</v>
      </c>
      <c r="AE47" s="729" t="s">
        <v>313</v>
      </c>
      <c r="AF47" s="729" t="s">
        <v>313</v>
      </c>
      <c r="AG47" s="729" t="s">
        <v>314</v>
      </c>
      <c r="AH47" s="729" t="s">
        <v>314</v>
      </c>
      <c r="AI47" s="834"/>
      <c r="AJ47" s="729" t="s">
        <v>314</v>
      </c>
      <c r="AK47" s="729" t="s">
        <v>314</v>
      </c>
      <c r="AL47" s="729" t="s">
        <v>315</v>
      </c>
      <c r="AM47" s="729" t="s">
        <v>313</v>
      </c>
      <c r="AN47" s="729" t="s">
        <v>315</v>
      </c>
      <c r="AO47" s="729" t="s">
        <v>321</v>
      </c>
      <c r="AP47" s="380" t="s">
        <v>157</v>
      </c>
      <c r="AQ47" s="433">
        <f>COUNTIF('BLM STATS'!AO:AO,"E (300-999)")</f>
        <v>6</v>
      </c>
      <c r="AR47" s="381"/>
      <c r="AS47" s="1017"/>
      <c r="AT47" s="1018"/>
      <c r="AU47" s="270"/>
      <c r="AW47" s="270"/>
    </row>
    <row r="48" spans="1:49" ht="15" customHeight="1" x14ac:dyDescent="0.25">
      <c r="A48" s="358">
        <v>43285</v>
      </c>
      <c r="B48" s="358" t="s">
        <v>678</v>
      </c>
      <c r="C48" s="729" t="s">
        <v>91</v>
      </c>
      <c r="D48" s="359">
        <v>438</v>
      </c>
      <c r="E48" s="729" t="s">
        <v>11</v>
      </c>
      <c r="F48" s="813" t="s">
        <v>663</v>
      </c>
      <c r="G48" s="729" t="s">
        <v>411</v>
      </c>
      <c r="H48" s="729"/>
      <c r="I48" s="729" t="s">
        <v>8</v>
      </c>
      <c r="J48" s="729" t="s">
        <v>679</v>
      </c>
      <c r="K48" s="729" t="s">
        <v>699</v>
      </c>
      <c r="L48" s="729" t="s">
        <v>969</v>
      </c>
      <c r="M48" s="729">
        <v>554151</v>
      </c>
      <c r="N48" s="729">
        <v>4806211</v>
      </c>
      <c r="O48" s="648">
        <f t="shared" si="1"/>
        <v>3.1</v>
      </c>
      <c r="P48" s="130">
        <v>3.1</v>
      </c>
      <c r="Q48" s="16"/>
      <c r="R48" s="17"/>
      <c r="S48" s="381"/>
      <c r="T48" s="18"/>
      <c r="U48" s="19"/>
      <c r="V48" s="41"/>
      <c r="W48" s="187"/>
      <c r="X48" s="76"/>
      <c r="Y48" s="382"/>
      <c r="Z48" s="306"/>
      <c r="AA48" s="358">
        <v>43285</v>
      </c>
      <c r="AB48" s="358">
        <v>43285</v>
      </c>
      <c r="AC48" s="729" t="s">
        <v>311</v>
      </c>
      <c r="AD48" s="729" t="s">
        <v>312</v>
      </c>
      <c r="AE48" s="729" t="s">
        <v>313</v>
      </c>
      <c r="AF48" s="729" t="s">
        <v>314</v>
      </c>
      <c r="AG48" s="729" t="s">
        <v>314</v>
      </c>
      <c r="AH48" s="729" t="s">
        <v>314</v>
      </c>
      <c r="AI48" s="834"/>
      <c r="AJ48" s="729" t="s">
        <v>314</v>
      </c>
      <c r="AK48" s="729" t="s">
        <v>313</v>
      </c>
      <c r="AL48" s="729" t="s">
        <v>315</v>
      </c>
      <c r="AM48" s="729" t="s">
        <v>315</v>
      </c>
      <c r="AN48" s="729" t="s">
        <v>315</v>
      </c>
      <c r="AO48" s="729" t="s">
        <v>316</v>
      </c>
      <c r="AP48" s="380" t="s">
        <v>181</v>
      </c>
      <c r="AQ48" s="381">
        <f>COUNTIF('BLM STATS'!AO:AO,"F (1000-4999)")</f>
        <v>7</v>
      </c>
      <c r="AR48" s="381"/>
      <c r="AS48" s="1017"/>
      <c r="AT48" s="1018"/>
      <c r="AU48" s="270"/>
      <c r="AW48" s="270"/>
    </row>
    <row r="49" spans="1:77" s="270" customFormat="1" ht="15" customHeight="1" x14ac:dyDescent="0.25">
      <c r="A49" s="358">
        <v>43285</v>
      </c>
      <c r="B49" s="358" t="s">
        <v>680</v>
      </c>
      <c r="C49" s="729" t="s">
        <v>91</v>
      </c>
      <c r="D49" s="359">
        <v>439</v>
      </c>
      <c r="E49" s="729" t="s">
        <v>10</v>
      </c>
      <c r="F49" s="813" t="s">
        <v>664</v>
      </c>
      <c r="G49" s="729" t="s">
        <v>681</v>
      </c>
      <c r="H49" s="729"/>
      <c r="I49" s="729" t="s">
        <v>8</v>
      </c>
      <c r="J49" s="729" t="s">
        <v>1025</v>
      </c>
      <c r="K49" s="729" t="s">
        <v>700</v>
      </c>
      <c r="L49" s="729" t="s">
        <v>1026</v>
      </c>
      <c r="M49" s="729">
        <v>523018</v>
      </c>
      <c r="N49" s="729">
        <v>4857726</v>
      </c>
      <c r="O49" s="886">
        <f t="shared" si="1"/>
        <v>9</v>
      </c>
      <c r="P49" s="130">
        <v>9</v>
      </c>
      <c r="Q49" s="16"/>
      <c r="R49" s="17"/>
      <c r="S49" s="381"/>
      <c r="T49" s="18"/>
      <c r="U49" s="19"/>
      <c r="V49" s="41"/>
      <c r="W49" s="187"/>
      <c r="X49" s="76"/>
      <c r="Y49" s="382"/>
      <c r="Z49" s="306"/>
      <c r="AA49" s="358">
        <v>43285</v>
      </c>
      <c r="AB49" s="358">
        <v>43285</v>
      </c>
      <c r="AC49" s="729" t="s">
        <v>311</v>
      </c>
      <c r="AD49" s="729" t="s">
        <v>577</v>
      </c>
      <c r="AE49" s="729" t="s">
        <v>313</v>
      </c>
      <c r="AF49" s="729" t="s">
        <v>314</v>
      </c>
      <c r="AG49" s="729" t="s">
        <v>314</v>
      </c>
      <c r="AH49" s="729" t="s">
        <v>314</v>
      </c>
      <c r="AI49" s="834"/>
      <c r="AJ49" s="729" t="s">
        <v>314</v>
      </c>
      <c r="AK49" s="729" t="s">
        <v>313</v>
      </c>
      <c r="AL49" s="729" t="s">
        <v>315</v>
      </c>
      <c r="AM49" s="729" t="s">
        <v>315</v>
      </c>
      <c r="AN49" s="729" t="s">
        <v>315</v>
      </c>
      <c r="AO49" s="729" t="s">
        <v>316</v>
      </c>
      <c r="AP49" s="344" t="s">
        <v>180</v>
      </c>
      <c r="AQ49" s="433">
        <f>COUNTIF('BLM STATS'!AO:AO,"G (5000+)")</f>
        <v>3</v>
      </c>
      <c r="AR49" s="262"/>
      <c r="AS49" s="1028"/>
      <c r="AT49" s="1020"/>
      <c r="AU49" s="2"/>
      <c r="AW49" s="2"/>
    </row>
    <row r="50" spans="1:77" ht="15" customHeight="1" x14ac:dyDescent="0.25">
      <c r="A50" s="358">
        <v>43285</v>
      </c>
      <c r="B50" s="358" t="s">
        <v>682</v>
      </c>
      <c r="C50" s="729" t="s">
        <v>206</v>
      </c>
      <c r="D50" s="359">
        <v>441</v>
      </c>
      <c r="E50" s="729" t="s">
        <v>10</v>
      </c>
      <c r="F50" s="813" t="s">
        <v>670</v>
      </c>
      <c r="G50" s="729" t="s">
        <v>683</v>
      </c>
      <c r="H50" s="729"/>
      <c r="I50" s="729" t="s">
        <v>8</v>
      </c>
      <c r="J50" s="729" t="s">
        <v>684</v>
      </c>
      <c r="K50" s="729" t="s">
        <v>723</v>
      </c>
      <c r="L50" s="729" t="s">
        <v>1018</v>
      </c>
      <c r="M50" s="729">
        <v>580726</v>
      </c>
      <c r="N50" s="729">
        <v>4821307</v>
      </c>
      <c r="O50" s="886">
        <f t="shared" si="1"/>
        <v>43</v>
      </c>
      <c r="P50" s="130"/>
      <c r="Q50" s="16"/>
      <c r="R50" s="17">
        <v>16</v>
      </c>
      <c r="S50" s="346"/>
      <c r="T50" s="18"/>
      <c r="U50" s="19"/>
      <c r="V50" s="41">
        <v>27</v>
      </c>
      <c r="W50" s="187"/>
      <c r="X50" s="76"/>
      <c r="Y50" s="347"/>
      <c r="Z50" s="306"/>
      <c r="AA50" s="358">
        <v>43286</v>
      </c>
      <c r="AB50" s="358">
        <v>43286</v>
      </c>
      <c r="AC50" s="729" t="s">
        <v>311</v>
      </c>
      <c r="AD50" s="729" t="s">
        <v>94</v>
      </c>
      <c r="AE50" s="729" t="s">
        <v>313</v>
      </c>
      <c r="AF50" s="729" t="s">
        <v>314</v>
      </c>
      <c r="AG50" s="729" t="s">
        <v>314</v>
      </c>
      <c r="AH50" s="729" t="s">
        <v>314</v>
      </c>
      <c r="AI50" s="834"/>
      <c r="AJ50" s="729" t="s">
        <v>314</v>
      </c>
      <c r="AK50" s="729" t="s">
        <v>313</v>
      </c>
      <c r="AL50" s="729" t="s">
        <v>315</v>
      </c>
      <c r="AM50" s="729" t="s">
        <v>315</v>
      </c>
      <c r="AN50" s="729" t="s">
        <v>313</v>
      </c>
      <c r="AO50" s="729" t="s">
        <v>321</v>
      </c>
      <c r="AP50" s="33" t="s">
        <v>5</v>
      </c>
      <c r="AQ50" s="33">
        <f>SUM(AQ42:AQ49)</f>
        <v>99</v>
      </c>
      <c r="AR50" s="33"/>
      <c r="AS50" s="1081"/>
      <c r="AT50" s="1082"/>
      <c r="AW50" s="270"/>
    </row>
    <row r="51" spans="1:77" ht="15" customHeight="1" x14ac:dyDescent="0.25">
      <c r="A51" s="358">
        <v>43285</v>
      </c>
      <c r="B51" s="358" t="s">
        <v>685</v>
      </c>
      <c r="C51" s="729" t="s">
        <v>91</v>
      </c>
      <c r="D51" s="359">
        <v>445</v>
      </c>
      <c r="E51" s="729" t="s">
        <v>11</v>
      </c>
      <c r="F51" s="813" t="s">
        <v>672</v>
      </c>
      <c r="G51" s="729" t="s">
        <v>686</v>
      </c>
      <c r="H51" s="729"/>
      <c r="I51" s="729" t="s">
        <v>8</v>
      </c>
      <c r="J51" s="729" t="s">
        <v>687</v>
      </c>
      <c r="K51" s="729" t="s">
        <v>1028</v>
      </c>
      <c r="L51" s="729" t="s">
        <v>1029</v>
      </c>
      <c r="M51" s="729">
        <v>588942</v>
      </c>
      <c r="N51" s="729">
        <v>4764308</v>
      </c>
      <c r="O51" s="886">
        <f t="shared" si="1"/>
        <v>2642</v>
      </c>
      <c r="P51" s="130">
        <v>2461</v>
      </c>
      <c r="Q51" s="16"/>
      <c r="R51" s="17">
        <v>7</v>
      </c>
      <c r="S51" s="392">
        <v>151</v>
      </c>
      <c r="T51" s="18"/>
      <c r="U51" s="19">
        <v>5</v>
      </c>
      <c r="V51" s="41"/>
      <c r="W51" s="187">
        <v>18</v>
      </c>
      <c r="X51" s="76"/>
      <c r="Y51" s="393"/>
      <c r="Z51" s="306"/>
      <c r="AA51" s="358">
        <v>43286</v>
      </c>
      <c r="AB51" s="358">
        <v>43287</v>
      </c>
      <c r="AC51" s="729" t="s">
        <v>311</v>
      </c>
      <c r="AD51" s="729" t="s">
        <v>2</v>
      </c>
      <c r="AE51" s="729" t="s">
        <v>313</v>
      </c>
      <c r="AF51" s="729" t="s">
        <v>314</v>
      </c>
      <c r="AG51" s="729" t="s">
        <v>314</v>
      </c>
      <c r="AH51" s="729" t="s">
        <v>314</v>
      </c>
      <c r="AI51" s="834"/>
      <c r="AJ51" s="729" t="s">
        <v>314</v>
      </c>
      <c r="AK51" s="729" t="s">
        <v>314</v>
      </c>
      <c r="AL51" s="729" t="s">
        <v>315</v>
      </c>
      <c r="AM51" s="729" t="s">
        <v>313</v>
      </c>
      <c r="AN51" s="729" t="s">
        <v>313</v>
      </c>
      <c r="AO51" s="729" t="s">
        <v>698</v>
      </c>
    </row>
    <row r="52" spans="1:77" ht="15" customHeight="1" x14ac:dyDescent="0.25">
      <c r="A52" s="358">
        <v>43285</v>
      </c>
      <c r="B52" s="358" t="s">
        <v>692</v>
      </c>
      <c r="C52" s="729" t="s">
        <v>91</v>
      </c>
      <c r="D52" s="359">
        <v>446</v>
      </c>
      <c r="E52" s="729" t="s">
        <v>11</v>
      </c>
      <c r="F52" s="813" t="s">
        <v>691</v>
      </c>
      <c r="G52" s="729" t="s">
        <v>383</v>
      </c>
      <c r="H52" s="729"/>
      <c r="I52" s="729" t="s">
        <v>8</v>
      </c>
      <c r="J52" s="729" t="s">
        <v>693</v>
      </c>
      <c r="K52" s="729" t="s">
        <v>1031</v>
      </c>
      <c r="L52" s="729" t="s">
        <v>1032</v>
      </c>
      <c r="M52" s="729">
        <v>585669</v>
      </c>
      <c r="N52" s="729">
        <v>4753847</v>
      </c>
      <c r="O52" s="648">
        <f t="shared" si="1"/>
        <v>0.1</v>
      </c>
      <c r="P52" s="130">
        <v>0.1</v>
      </c>
      <c r="Q52" s="16"/>
      <c r="R52" s="17"/>
      <c r="S52" s="298"/>
      <c r="T52" s="18"/>
      <c r="U52" s="19"/>
      <c r="V52" s="41"/>
      <c r="W52" s="187"/>
      <c r="X52" s="76"/>
      <c r="Y52" s="300"/>
      <c r="Z52" s="306"/>
      <c r="AA52" s="358">
        <v>43285</v>
      </c>
      <c r="AB52" s="358">
        <v>43285</v>
      </c>
      <c r="AC52" s="729" t="s">
        <v>311</v>
      </c>
      <c r="AD52" s="729" t="s">
        <v>312</v>
      </c>
      <c r="AE52" s="729" t="s">
        <v>313</v>
      </c>
      <c r="AF52" s="729" t="s">
        <v>314</v>
      </c>
      <c r="AG52" s="729" t="s">
        <v>314</v>
      </c>
      <c r="AH52" s="729" t="s">
        <v>314</v>
      </c>
      <c r="AI52" s="834"/>
      <c r="AJ52" s="729" t="s">
        <v>314</v>
      </c>
      <c r="AK52" s="729" t="s">
        <v>313</v>
      </c>
      <c r="AL52" s="729" t="s">
        <v>315</v>
      </c>
      <c r="AM52" s="729" t="s">
        <v>315</v>
      </c>
      <c r="AN52" s="729" t="s">
        <v>315</v>
      </c>
      <c r="AO52" s="729" t="s">
        <v>392</v>
      </c>
      <c r="AQ52" s="270"/>
      <c r="AR52" s="270"/>
      <c r="AS52" s="270"/>
      <c r="AT52" s="270"/>
      <c r="AU52" s="270"/>
    </row>
    <row r="53" spans="1:77" s="470" customFormat="1" ht="15" customHeight="1" x14ac:dyDescent="0.25">
      <c r="A53" s="885">
        <v>43286</v>
      </c>
      <c r="B53" s="89" t="s">
        <v>704</v>
      </c>
      <c r="C53" s="89" t="s">
        <v>256</v>
      </c>
      <c r="D53" s="89">
        <v>451</v>
      </c>
      <c r="E53" s="89" t="s">
        <v>63</v>
      </c>
      <c r="F53" s="89" t="s">
        <v>701</v>
      </c>
      <c r="G53" s="89"/>
      <c r="H53" s="89"/>
      <c r="I53" s="89" t="s">
        <v>63</v>
      </c>
      <c r="J53" s="89" t="s">
        <v>702</v>
      </c>
      <c r="K53" s="89" t="s">
        <v>703</v>
      </c>
      <c r="L53" s="89" t="s">
        <v>1030</v>
      </c>
      <c r="M53" s="89">
        <v>640083</v>
      </c>
      <c r="N53" s="89">
        <v>4757821</v>
      </c>
      <c r="O53" s="902">
        <f t="shared" si="1"/>
        <v>4</v>
      </c>
      <c r="P53" s="130"/>
      <c r="Q53" s="16"/>
      <c r="R53" s="17"/>
      <c r="S53" s="887"/>
      <c r="T53" s="18"/>
      <c r="U53" s="19"/>
      <c r="V53" s="41"/>
      <c r="W53" s="187"/>
      <c r="X53" s="76"/>
      <c r="Y53" s="888">
        <v>4</v>
      </c>
      <c r="Z53" s="306"/>
      <c r="AA53" s="884"/>
      <c r="AB53" s="884"/>
      <c r="AC53" s="884"/>
      <c r="AD53" s="884"/>
      <c r="AE53" s="884"/>
      <c r="AF53" s="884"/>
      <c r="AG53" s="884"/>
      <c r="AH53" s="884"/>
      <c r="AI53" s="884"/>
      <c r="AJ53" s="884"/>
      <c r="AK53" s="884"/>
      <c r="AL53" s="884"/>
      <c r="AM53" s="884"/>
      <c r="AN53" s="884"/>
      <c r="AO53" s="884"/>
      <c r="AP53" s="24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</row>
    <row r="54" spans="1:77" s="270" customFormat="1" ht="15" customHeight="1" x14ac:dyDescent="0.25">
      <c r="A54" s="358">
        <v>43288</v>
      </c>
      <c r="B54" s="729" t="s">
        <v>705</v>
      </c>
      <c r="C54" s="729" t="s">
        <v>266</v>
      </c>
      <c r="D54" s="729">
        <v>465</v>
      </c>
      <c r="E54" s="729" t="s">
        <v>10</v>
      </c>
      <c r="F54" s="813" t="s">
        <v>706</v>
      </c>
      <c r="G54" s="729" t="s">
        <v>344</v>
      </c>
      <c r="H54" s="729"/>
      <c r="I54" s="729" t="s">
        <v>8</v>
      </c>
      <c r="J54" s="729" t="s">
        <v>1033</v>
      </c>
      <c r="K54" s="729" t="s">
        <v>983</v>
      </c>
      <c r="L54" s="729" t="s">
        <v>1034</v>
      </c>
      <c r="M54" s="729">
        <v>577152</v>
      </c>
      <c r="N54" s="729">
        <v>4821855</v>
      </c>
      <c r="O54" s="719">
        <f t="shared" si="1"/>
        <v>3.2</v>
      </c>
      <c r="P54" s="130"/>
      <c r="Q54" s="16"/>
      <c r="R54" s="17"/>
      <c r="S54" s="717">
        <v>3.2</v>
      </c>
      <c r="T54" s="18"/>
      <c r="U54" s="19"/>
      <c r="V54" s="41"/>
      <c r="W54" s="187"/>
      <c r="X54" s="76"/>
      <c r="Y54" s="718"/>
      <c r="Z54" s="306"/>
      <c r="AA54" s="730">
        <v>43288</v>
      </c>
      <c r="AB54" s="730">
        <v>43288</v>
      </c>
      <c r="AC54" s="730" t="s">
        <v>311</v>
      </c>
      <c r="AD54" s="730" t="s">
        <v>312</v>
      </c>
      <c r="AE54" s="730" t="s">
        <v>313</v>
      </c>
      <c r="AF54" s="730" t="s">
        <v>313</v>
      </c>
      <c r="AG54" s="730" t="s">
        <v>314</v>
      </c>
      <c r="AH54" s="730" t="s">
        <v>314</v>
      </c>
      <c r="AI54" s="834"/>
      <c r="AJ54" s="730" t="s">
        <v>314</v>
      </c>
      <c r="AK54" s="730" t="s">
        <v>313</v>
      </c>
      <c r="AL54" s="730" t="s">
        <v>315</v>
      </c>
      <c r="AM54" s="730" t="s">
        <v>315</v>
      </c>
      <c r="AN54" s="730" t="s">
        <v>315</v>
      </c>
      <c r="AO54" s="730" t="s">
        <v>316</v>
      </c>
      <c r="AP54" s="103"/>
      <c r="AQ54" s="2"/>
      <c r="AR54" s="2"/>
      <c r="AS54" s="2"/>
      <c r="AT54" s="2"/>
      <c r="AU54" s="2"/>
      <c r="AW54" s="2"/>
    </row>
    <row r="55" spans="1:77" ht="15" customHeight="1" x14ac:dyDescent="0.25">
      <c r="A55" s="358">
        <v>43289</v>
      </c>
      <c r="B55" s="358" t="s">
        <v>714</v>
      </c>
      <c r="C55" s="729" t="s">
        <v>91</v>
      </c>
      <c r="D55" s="359">
        <v>472</v>
      </c>
      <c r="E55" s="729" t="s">
        <v>10</v>
      </c>
      <c r="F55" s="813" t="s">
        <v>712</v>
      </c>
      <c r="G55" s="729" t="s">
        <v>716</v>
      </c>
      <c r="H55" s="729"/>
      <c r="I55" s="729" t="s">
        <v>8</v>
      </c>
      <c r="J55" s="729" t="s">
        <v>1066</v>
      </c>
      <c r="K55" s="729" t="s">
        <v>718</v>
      </c>
      <c r="L55" s="729" t="s">
        <v>1067</v>
      </c>
      <c r="M55" s="729">
        <v>541052</v>
      </c>
      <c r="N55" s="729">
        <v>4868589</v>
      </c>
      <c r="O55" s="648">
        <f t="shared" si="1"/>
        <v>5</v>
      </c>
      <c r="P55" s="15">
        <v>5</v>
      </c>
      <c r="Q55" s="16"/>
      <c r="R55" s="17"/>
      <c r="S55" s="332"/>
      <c r="T55" s="18"/>
      <c r="U55" s="19"/>
      <c r="V55" s="41"/>
      <c r="W55" s="187"/>
      <c r="X55" s="76"/>
      <c r="Y55" s="300"/>
      <c r="Z55" s="82"/>
      <c r="AA55" s="358">
        <v>43289</v>
      </c>
      <c r="AB55" s="358">
        <v>43289</v>
      </c>
      <c r="AC55" s="729" t="s">
        <v>311</v>
      </c>
      <c r="AD55" s="729" t="s">
        <v>577</v>
      </c>
      <c r="AE55" s="729" t="s">
        <v>313</v>
      </c>
      <c r="AF55" s="729" t="s">
        <v>314</v>
      </c>
      <c r="AG55" s="729" t="s">
        <v>314</v>
      </c>
      <c r="AH55" s="729" t="s">
        <v>314</v>
      </c>
      <c r="AI55" s="834"/>
      <c r="AJ55" s="729" t="s">
        <v>314</v>
      </c>
      <c r="AK55" s="729" t="s">
        <v>313</v>
      </c>
      <c r="AL55" s="729" t="s">
        <v>315</v>
      </c>
      <c r="AM55" s="729" t="s">
        <v>313</v>
      </c>
      <c r="AN55" s="729" t="s">
        <v>313</v>
      </c>
      <c r="AO55" s="729" t="s">
        <v>316</v>
      </c>
    </row>
    <row r="56" spans="1:77" ht="15" customHeight="1" x14ac:dyDescent="0.25">
      <c r="A56" s="862">
        <v>43289</v>
      </c>
      <c r="B56" s="862" t="s">
        <v>715</v>
      </c>
      <c r="C56" s="89" t="s">
        <v>266</v>
      </c>
      <c r="D56" s="863">
        <v>475</v>
      </c>
      <c r="E56" s="89" t="s">
        <v>63</v>
      </c>
      <c r="F56" s="89" t="s">
        <v>713</v>
      </c>
      <c r="G56" s="89"/>
      <c r="H56" s="89"/>
      <c r="I56" s="89" t="s">
        <v>63</v>
      </c>
      <c r="J56" s="89" t="s">
        <v>717</v>
      </c>
      <c r="K56" s="89" t="s">
        <v>719</v>
      </c>
      <c r="L56" s="89" t="s">
        <v>1193</v>
      </c>
      <c r="M56" s="89">
        <v>557872</v>
      </c>
      <c r="N56" s="89">
        <v>4845013</v>
      </c>
      <c r="O56" s="902">
        <f t="shared" si="1"/>
        <v>276</v>
      </c>
      <c r="P56" s="130"/>
      <c r="Q56" s="16"/>
      <c r="R56" s="17"/>
      <c r="S56" s="298"/>
      <c r="T56" s="18"/>
      <c r="U56" s="19"/>
      <c r="V56" s="41"/>
      <c r="W56" s="187"/>
      <c r="X56" s="76"/>
      <c r="Y56" s="300">
        <v>276</v>
      </c>
      <c r="Z56" s="306"/>
      <c r="AA56" s="862"/>
      <c r="AB56" s="862"/>
      <c r="AC56" s="89"/>
      <c r="AD56" s="89"/>
      <c r="AE56" s="89"/>
      <c r="AF56" s="89"/>
      <c r="AG56" s="89"/>
      <c r="AH56" s="89"/>
      <c r="AI56" s="884"/>
      <c r="AJ56" s="89"/>
      <c r="AK56" s="89"/>
      <c r="AL56" s="89"/>
      <c r="AM56" s="89"/>
      <c r="AN56" s="89"/>
      <c r="AO56" s="89"/>
    </row>
    <row r="57" spans="1:77" s="270" customFormat="1" ht="15" customHeight="1" x14ac:dyDescent="0.25">
      <c r="A57" s="358">
        <v>43291</v>
      </c>
      <c r="B57" s="358" t="s">
        <v>724</v>
      </c>
      <c r="C57" s="729" t="s">
        <v>256</v>
      </c>
      <c r="D57" s="359">
        <v>495</v>
      </c>
      <c r="E57" s="729" t="s">
        <v>10</v>
      </c>
      <c r="F57" s="813" t="s">
        <v>725</v>
      </c>
      <c r="G57" s="729" t="s">
        <v>472</v>
      </c>
      <c r="H57" s="729" t="s">
        <v>506</v>
      </c>
      <c r="I57" s="729" t="s">
        <v>8</v>
      </c>
      <c r="J57" s="729" t="s">
        <v>726</v>
      </c>
      <c r="K57" s="729" t="s">
        <v>1035</v>
      </c>
      <c r="L57" s="729" t="s">
        <v>729</v>
      </c>
      <c r="M57" s="729">
        <v>629620</v>
      </c>
      <c r="N57" s="729">
        <v>4755981</v>
      </c>
      <c r="O57" s="648">
        <f t="shared" si="1"/>
        <v>1.7</v>
      </c>
      <c r="P57" s="130"/>
      <c r="Q57" s="16"/>
      <c r="R57" s="17"/>
      <c r="S57" s="298">
        <v>1.7</v>
      </c>
      <c r="T57" s="18"/>
      <c r="U57" s="19"/>
      <c r="V57" s="41"/>
      <c r="W57" s="187"/>
      <c r="X57" s="76"/>
      <c r="Y57" s="300"/>
      <c r="Z57" s="306"/>
      <c r="AA57" s="358">
        <v>43291</v>
      </c>
      <c r="AB57" s="358">
        <v>43291</v>
      </c>
      <c r="AC57" s="729" t="s">
        <v>311</v>
      </c>
      <c r="AD57" s="729" t="s">
        <v>312</v>
      </c>
      <c r="AE57" s="729" t="s">
        <v>313</v>
      </c>
      <c r="AF57" s="729" t="s">
        <v>314</v>
      </c>
      <c r="AG57" s="729" t="s">
        <v>314</v>
      </c>
      <c r="AH57" s="729" t="s">
        <v>314</v>
      </c>
      <c r="AI57" s="730"/>
      <c r="AJ57" s="729" t="s">
        <v>314</v>
      </c>
      <c r="AK57" s="729" t="s">
        <v>313</v>
      </c>
      <c r="AL57" s="729" t="s">
        <v>315</v>
      </c>
      <c r="AM57" s="729" t="s">
        <v>315</v>
      </c>
      <c r="AN57" s="729" t="s">
        <v>315</v>
      </c>
      <c r="AO57" s="729" t="s">
        <v>316</v>
      </c>
      <c r="AP57" s="103"/>
    </row>
    <row r="58" spans="1:77" s="270" customFormat="1" ht="15" customHeight="1" x14ac:dyDescent="0.25">
      <c r="A58" s="358">
        <v>43291</v>
      </c>
      <c r="B58" s="358" t="s">
        <v>727</v>
      </c>
      <c r="C58" s="729" t="s">
        <v>91</v>
      </c>
      <c r="D58" s="359">
        <v>496</v>
      </c>
      <c r="E58" s="729" t="s">
        <v>10</v>
      </c>
      <c r="F58" s="813" t="s">
        <v>728</v>
      </c>
      <c r="G58" s="729" t="s">
        <v>472</v>
      </c>
      <c r="H58" s="729"/>
      <c r="I58" s="729" t="s">
        <v>8</v>
      </c>
      <c r="J58" s="729" t="s">
        <v>730</v>
      </c>
      <c r="K58" s="729" t="s">
        <v>731</v>
      </c>
      <c r="L58" s="729" t="s">
        <v>732</v>
      </c>
      <c r="M58" s="729">
        <v>634136</v>
      </c>
      <c r="N58" s="729">
        <v>4757675</v>
      </c>
      <c r="O58" s="648">
        <f t="shared" si="1"/>
        <v>23.9</v>
      </c>
      <c r="P58" s="130">
        <v>23.9</v>
      </c>
      <c r="Q58" s="16"/>
      <c r="R58" s="17"/>
      <c r="S58" s="521"/>
      <c r="T58" s="18"/>
      <c r="U58" s="19"/>
      <c r="V58" s="41"/>
      <c r="W58" s="187"/>
      <c r="X58" s="76"/>
      <c r="Y58" s="522"/>
      <c r="Z58" s="306"/>
      <c r="AA58" s="738">
        <v>43291</v>
      </c>
      <c r="AB58" s="738">
        <v>43292</v>
      </c>
      <c r="AC58" s="371" t="s">
        <v>311</v>
      </c>
      <c r="AD58" s="371" t="s">
        <v>94</v>
      </c>
      <c r="AE58" s="371" t="s">
        <v>313</v>
      </c>
      <c r="AF58" s="371" t="s">
        <v>314</v>
      </c>
      <c r="AG58" s="371" t="s">
        <v>314</v>
      </c>
      <c r="AH58" s="371" t="s">
        <v>314</v>
      </c>
      <c r="AI58" s="730"/>
      <c r="AJ58" s="371" t="s">
        <v>314</v>
      </c>
      <c r="AK58" s="371" t="s">
        <v>313</v>
      </c>
      <c r="AL58" s="371" t="s">
        <v>315</v>
      </c>
      <c r="AM58" s="371" t="s">
        <v>313</v>
      </c>
      <c r="AN58" s="371" t="s">
        <v>313</v>
      </c>
      <c r="AO58" s="371" t="s">
        <v>321</v>
      </c>
      <c r="AP58" s="103"/>
    </row>
    <row r="59" spans="1:77" ht="15" customHeight="1" x14ac:dyDescent="0.25">
      <c r="A59" s="862">
        <v>43292</v>
      </c>
      <c r="B59" s="862" t="s">
        <v>733</v>
      </c>
      <c r="C59" s="89" t="s">
        <v>269</v>
      </c>
      <c r="D59" s="863">
        <v>503</v>
      </c>
      <c r="E59" s="89" t="s">
        <v>63</v>
      </c>
      <c r="F59" s="89" t="s">
        <v>734</v>
      </c>
      <c r="G59" s="89"/>
      <c r="H59" s="89"/>
      <c r="I59" s="89" t="s">
        <v>63</v>
      </c>
      <c r="J59" s="89" t="s">
        <v>735</v>
      </c>
      <c r="K59" s="89" t="s">
        <v>736</v>
      </c>
      <c r="L59" s="89" t="s">
        <v>737</v>
      </c>
      <c r="M59" s="89"/>
      <c r="N59" s="89"/>
      <c r="O59" s="719">
        <f t="shared" si="1"/>
        <v>0.1</v>
      </c>
      <c r="P59" s="130"/>
      <c r="Q59" s="16"/>
      <c r="R59" s="17"/>
      <c r="S59" s="717"/>
      <c r="T59" s="18"/>
      <c r="U59" s="19"/>
      <c r="V59" s="41"/>
      <c r="W59" s="187"/>
      <c r="X59" s="76"/>
      <c r="Y59" s="718">
        <v>0.1</v>
      </c>
      <c r="Z59" s="306"/>
      <c r="AA59" s="893"/>
      <c r="AB59" s="893"/>
      <c r="AC59" s="894"/>
      <c r="AD59" s="894"/>
      <c r="AE59" s="894"/>
      <c r="AF59" s="894"/>
      <c r="AG59" s="894"/>
      <c r="AH59" s="894"/>
      <c r="AI59" s="884"/>
      <c r="AJ59" s="894"/>
      <c r="AK59" s="894"/>
      <c r="AL59" s="894"/>
      <c r="AM59" s="894"/>
      <c r="AN59" s="894"/>
      <c r="AO59" s="894"/>
      <c r="AW59" s="270"/>
    </row>
    <row r="60" spans="1:77" ht="15" customHeight="1" x14ac:dyDescent="0.25">
      <c r="A60" s="817">
        <v>43292</v>
      </c>
      <c r="B60" s="891" t="s">
        <v>738</v>
      </c>
      <c r="C60" s="891" t="s">
        <v>91</v>
      </c>
      <c r="D60" s="891">
        <v>505</v>
      </c>
      <c r="E60" s="891"/>
      <c r="F60" s="481" t="s">
        <v>739</v>
      </c>
      <c r="G60" s="891"/>
      <c r="H60" s="891"/>
      <c r="I60" s="891" t="s">
        <v>327</v>
      </c>
      <c r="J60" s="891" t="s">
        <v>740</v>
      </c>
      <c r="K60" s="891" t="s">
        <v>741</v>
      </c>
      <c r="L60" s="891" t="s">
        <v>742</v>
      </c>
      <c r="M60" s="891"/>
      <c r="N60" s="891"/>
      <c r="O60" s="648">
        <f t="shared" si="1"/>
        <v>0</v>
      </c>
      <c r="P60" s="130"/>
      <c r="Q60" s="16"/>
      <c r="R60" s="17"/>
      <c r="S60" s="298"/>
      <c r="T60" s="18"/>
      <c r="U60" s="19"/>
      <c r="V60" s="41"/>
      <c r="W60" s="187"/>
      <c r="X60" s="76"/>
      <c r="Y60" s="300"/>
      <c r="Z60" s="306"/>
      <c r="AA60" s="833"/>
      <c r="AB60" s="833"/>
      <c r="AC60" s="834"/>
      <c r="AD60" s="834"/>
      <c r="AE60" s="834"/>
      <c r="AF60" s="834"/>
      <c r="AG60" s="834"/>
      <c r="AH60" s="834"/>
      <c r="AI60" s="834"/>
      <c r="AJ60" s="834"/>
      <c r="AK60" s="834"/>
      <c r="AL60" s="834"/>
      <c r="AM60" s="834"/>
      <c r="AN60" s="834"/>
      <c r="AO60" s="834"/>
    </row>
    <row r="61" spans="1:77" ht="15" customHeight="1" x14ac:dyDescent="0.25">
      <c r="A61" s="358">
        <v>43295</v>
      </c>
      <c r="B61" s="358" t="s">
        <v>757</v>
      </c>
      <c r="C61" s="729" t="s">
        <v>91</v>
      </c>
      <c r="D61" s="359">
        <v>522</v>
      </c>
      <c r="E61" s="729" t="s">
        <v>11</v>
      </c>
      <c r="F61" s="813" t="s">
        <v>754</v>
      </c>
      <c r="G61" s="729" t="s">
        <v>497</v>
      </c>
      <c r="H61" s="729"/>
      <c r="I61" s="729" t="s">
        <v>8</v>
      </c>
      <c r="J61" s="729" t="s">
        <v>759</v>
      </c>
      <c r="K61" s="729" t="s">
        <v>1068</v>
      </c>
      <c r="L61" s="729" t="s">
        <v>760</v>
      </c>
      <c r="M61" s="729">
        <v>613969</v>
      </c>
      <c r="N61" s="729">
        <v>4770564</v>
      </c>
      <c r="O61" s="648">
        <f t="shared" si="1"/>
        <v>0.5</v>
      </c>
      <c r="P61" s="130">
        <v>0.5</v>
      </c>
      <c r="Q61" s="16"/>
      <c r="R61" s="17"/>
      <c r="S61" s="298"/>
      <c r="T61" s="18"/>
      <c r="U61" s="19"/>
      <c r="V61" s="41"/>
      <c r="W61" s="187"/>
      <c r="X61" s="76"/>
      <c r="Y61" s="300"/>
      <c r="Z61" s="306"/>
      <c r="AA61" s="358">
        <v>43295</v>
      </c>
      <c r="AB61" s="358">
        <v>43295</v>
      </c>
      <c r="AC61" s="729" t="s">
        <v>311</v>
      </c>
      <c r="AD61" s="729" t="s">
        <v>312</v>
      </c>
      <c r="AE61" s="729" t="s">
        <v>313</v>
      </c>
      <c r="AF61" s="729" t="s">
        <v>314</v>
      </c>
      <c r="AG61" s="729" t="s">
        <v>314</v>
      </c>
      <c r="AH61" s="729" t="s">
        <v>314</v>
      </c>
      <c r="AI61" s="834"/>
      <c r="AJ61" s="729" t="s">
        <v>314</v>
      </c>
      <c r="AK61" s="729" t="s">
        <v>313</v>
      </c>
      <c r="AL61" s="729" t="s">
        <v>315</v>
      </c>
      <c r="AM61" s="729" t="s">
        <v>315</v>
      </c>
      <c r="AN61" s="729" t="s">
        <v>315</v>
      </c>
      <c r="AO61" s="729" t="s">
        <v>316</v>
      </c>
    </row>
    <row r="62" spans="1:77" s="270" customFormat="1" ht="15" customHeight="1" x14ac:dyDescent="0.25">
      <c r="A62" s="358">
        <v>43295</v>
      </c>
      <c r="B62" s="358" t="s">
        <v>758</v>
      </c>
      <c r="C62" s="729" t="s">
        <v>205</v>
      </c>
      <c r="D62" s="359">
        <v>523</v>
      </c>
      <c r="E62" s="729" t="s">
        <v>11</v>
      </c>
      <c r="F62" s="813" t="s">
        <v>755</v>
      </c>
      <c r="G62" s="729" t="s">
        <v>383</v>
      </c>
      <c r="H62" s="729"/>
      <c r="I62" s="729" t="s">
        <v>8</v>
      </c>
      <c r="J62" s="729" t="s">
        <v>769</v>
      </c>
      <c r="K62" s="729" t="s">
        <v>924</v>
      </c>
      <c r="L62" s="729" t="s">
        <v>770</v>
      </c>
      <c r="M62" s="729">
        <v>600675</v>
      </c>
      <c r="N62" s="729">
        <v>4756951</v>
      </c>
      <c r="O62" s="902">
        <f t="shared" si="1"/>
        <v>49</v>
      </c>
      <c r="P62" s="130"/>
      <c r="Q62" s="16"/>
      <c r="R62" s="17"/>
      <c r="S62" s="298">
        <v>11</v>
      </c>
      <c r="T62" s="18"/>
      <c r="U62" s="19"/>
      <c r="V62" s="41"/>
      <c r="W62" s="187">
        <v>38</v>
      </c>
      <c r="X62" s="76"/>
      <c r="Y62" s="300"/>
      <c r="Z62" s="306"/>
      <c r="AA62" s="358">
        <v>43295</v>
      </c>
      <c r="AB62" s="358">
        <v>43296</v>
      </c>
      <c r="AC62" s="729" t="s">
        <v>311</v>
      </c>
      <c r="AD62" s="729" t="s">
        <v>94</v>
      </c>
      <c r="AE62" s="729" t="s">
        <v>313</v>
      </c>
      <c r="AF62" s="729" t="s">
        <v>313</v>
      </c>
      <c r="AG62" s="729" t="s">
        <v>314</v>
      </c>
      <c r="AH62" s="729" t="s">
        <v>314</v>
      </c>
      <c r="AI62" s="834"/>
      <c r="AJ62" s="729" t="s">
        <v>314</v>
      </c>
      <c r="AK62" s="729" t="s">
        <v>313</v>
      </c>
      <c r="AL62" s="729" t="s">
        <v>315</v>
      </c>
      <c r="AM62" s="729" t="s">
        <v>313</v>
      </c>
      <c r="AN62" s="729" t="s">
        <v>313</v>
      </c>
      <c r="AO62" s="729" t="s">
        <v>321</v>
      </c>
      <c r="AP62" s="103"/>
      <c r="AQ62" s="2"/>
      <c r="AR62" s="2"/>
      <c r="AS62" s="2"/>
      <c r="AT62" s="2"/>
      <c r="AU62" s="2"/>
      <c r="AW62" s="2"/>
    </row>
    <row r="63" spans="1:77" s="270" customFormat="1" ht="15" customHeight="1" x14ac:dyDescent="0.25">
      <c r="A63" s="817">
        <v>43296</v>
      </c>
      <c r="B63" s="817" t="s">
        <v>773</v>
      </c>
      <c r="C63" s="902" t="s">
        <v>265</v>
      </c>
      <c r="D63" s="819">
        <v>527</v>
      </c>
      <c r="E63" s="902"/>
      <c r="F63" s="17" t="s">
        <v>779</v>
      </c>
      <c r="G63" s="931" t="s">
        <v>427</v>
      </c>
      <c r="H63" s="931"/>
      <c r="I63" s="902" t="s">
        <v>172</v>
      </c>
      <c r="J63" s="902" t="s">
        <v>1134</v>
      </c>
      <c r="K63" s="902" t="s">
        <v>860</v>
      </c>
      <c r="L63" s="902" t="s">
        <v>861</v>
      </c>
      <c r="M63" s="902">
        <v>581001</v>
      </c>
      <c r="N63" s="902">
        <v>4830336</v>
      </c>
      <c r="O63" s="941">
        <f t="shared" si="1"/>
        <v>524</v>
      </c>
      <c r="P63" s="130"/>
      <c r="Q63" s="16"/>
      <c r="R63" s="17"/>
      <c r="S63" s="897"/>
      <c r="T63" s="18"/>
      <c r="U63" s="19"/>
      <c r="V63" s="41"/>
      <c r="W63" s="187"/>
      <c r="X63" s="76"/>
      <c r="Y63" s="898">
        <v>524</v>
      </c>
      <c r="Z63" s="306"/>
      <c r="AA63" s="903"/>
      <c r="AB63" s="903"/>
      <c r="AC63" s="904"/>
      <c r="AD63" s="904"/>
      <c r="AE63" s="904"/>
      <c r="AF63" s="904"/>
      <c r="AG63" s="904"/>
      <c r="AH63" s="904"/>
      <c r="AI63" s="834"/>
      <c r="AJ63" s="904"/>
      <c r="AK63" s="904"/>
      <c r="AL63" s="904"/>
      <c r="AM63" s="904"/>
      <c r="AN63" s="904"/>
      <c r="AO63" s="904"/>
      <c r="AP63" s="103"/>
    </row>
    <row r="64" spans="1:77" ht="15" customHeight="1" x14ac:dyDescent="0.25">
      <c r="A64" s="358">
        <v>43296</v>
      </c>
      <c r="B64" s="729" t="s">
        <v>774</v>
      </c>
      <c r="C64" s="729" t="s">
        <v>91</v>
      </c>
      <c r="D64" s="729">
        <v>531</v>
      </c>
      <c r="E64" s="729" t="s">
        <v>11</v>
      </c>
      <c r="F64" s="813" t="s">
        <v>772</v>
      </c>
      <c r="G64" s="729" t="s">
        <v>472</v>
      </c>
      <c r="H64" s="729"/>
      <c r="I64" s="729" t="s">
        <v>8</v>
      </c>
      <c r="J64" s="729" t="s">
        <v>775</v>
      </c>
      <c r="K64" s="729" t="s">
        <v>1107</v>
      </c>
      <c r="L64" s="729" t="s">
        <v>1108</v>
      </c>
      <c r="M64" s="729">
        <v>625059</v>
      </c>
      <c r="N64" s="729">
        <v>4757738</v>
      </c>
      <c r="O64" s="648">
        <f t="shared" si="1"/>
        <v>1.25</v>
      </c>
      <c r="P64" s="130">
        <v>1.25</v>
      </c>
      <c r="Q64" s="16"/>
      <c r="R64" s="17"/>
      <c r="S64" s="298"/>
      <c r="T64" s="18"/>
      <c r="U64" s="19"/>
      <c r="V64" s="41"/>
      <c r="W64" s="187"/>
      <c r="X64" s="76"/>
      <c r="Y64" s="300"/>
      <c r="Z64" s="306"/>
      <c r="AA64" s="730">
        <v>43296</v>
      </c>
      <c r="AB64" s="730">
        <v>43296</v>
      </c>
      <c r="AC64" s="730" t="s">
        <v>311</v>
      </c>
      <c r="AD64" s="730" t="s">
        <v>312</v>
      </c>
      <c r="AE64" s="730" t="s">
        <v>313</v>
      </c>
      <c r="AF64" s="730" t="s">
        <v>314</v>
      </c>
      <c r="AG64" s="730" t="s">
        <v>314</v>
      </c>
      <c r="AH64" s="730" t="s">
        <v>314</v>
      </c>
      <c r="AI64" s="834"/>
      <c r="AJ64" s="730" t="s">
        <v>314</v>
      </c>
      <c r="AK64" s="730" t="s">
        <v>313</v>
      </c>
      <c r="AL64" s="730" t="s">
        <v>315</v>
      </c>
      <c r="AM64" s="730" t="s">
        <v>315</v>
      </c>
      <c r="AN64" s="730" t="s">
        <v>315</v>
      </c>
      <c r="AO64" s="730" t="s">
        <v>316</v>
      </c>
      <c r="AQ64" s="270"/>
      <c r="AR64" s="270"/>
      <c r="AS64" s="270"/>
      <c r="AT64" s="270"/>
      <c r="AU64" s="270"/>
    </row>
    <row r="65" spans="1:49" ht="15" customHeight="1" x14ac:dyDescent="0.25">
      <c r="A65" s="358">
        <v>43297</v>
      </c>
      <c r="B65" s="729" t="s">
        <v>786</v>
      </c>
      <c r="C65" s="729" t="s">
        <v>91</v>
      </c>
      <c r="D65" s="729">
        <v>534</v>
      </c>
      <c r="E65" s="729" t="s">
        <v>12</v>
      </c>
      <c r="F65" s="813" t="s">
        <v>777</v>
      </c>
      <c r="G65" s="729" t="s">
        <v>383</v>
      </c>
      <c r="H65" s="729"/>
      <c r="I65" s="729" t="s">
        <v>9</v>
      </c>
      <c r="J65" s="729" t="s">
        <v>800</v>
      </c>
      <c r="K65" s="729" t="s">
        <v>1109</v>
      </c>
      <c r="L65" s="729" t="s">
        <v>1110</v>
      </c>
      <c r="M65" s="729">
        <v>613546</v>
      </c>
      <c r="N65" s="729">
        <v>4708256</v>
      </c>
      <c r="O65" s="648">
        <f t="shared" si="1"/>
        <v>3245</v>
      </c>
      <c r="P65" s="130">
        <v>2722</v>
      </c>
      <c r="Q65" s="16"/>
      <c r="R65" s="17">
        <v>523</v>
      </c>
      <c r="S65" s="298"/>
      <c r="T65" s="18"/>
      <c r="U65" s="19"/>
      <c r="V65" s="41"/>
      <c r="W65" s="187"/>
      <c r="X65" s="76"/>
      <c r="Y65" s="300"/>
      <c r="Z65" s="306"/>
      <c r="AA65" s="733">
        <v>43299</v>
      </c>
      <c r="AB65" s="733">
        <v>43301</v>
      </c>
      <c r="AC65" s="730" t="s">
        <v>311</v>
      </c>
      <c r="AD65" s="730" t="s">
        <v>94</v>
      </c>
      <c r="AE65" s="730" t="s">
        <v>314</v>
      </c>
      <c r="AF65" s="730" t="s">
        <v>314</v>
      </c>
      <c r="AG65" s="730" t="s">
        <v>313</v>
      </c>
      <c r="AH65" s="730" t="s">
        <v>314</v>
      </c>
      <c r="AI65" s="730" t="s">
        <v>916</v>
      </c>
      <c r="AJ65" s="730" t="s">
        <v>314</v>
      </c>
      <c r="AK65" s="730" t="s">
        <v>314</v>
      </c>
      <c r="AL65" s="730" t="s">
        <v>313</v>
      </c>
      <c r="AM65" s="730" t="s">
        <v>313</v>
      </c>
      <c r="AN65" s="730" t="s">
        <v>313</v>
      </c>
      <c r="AO65" s="730" t="s">
        <v>698</v>
      </c>
    </row>
    <row r="66" spans="1:49" ht="15" customHeight="1" x14ac:dyDescent="0.25">
      <c r="A66" s="358">
        <v>43297</v>
      </c>
      <c r="B66" s="729" t="s">
        <v>787</v>
      </c>
      <c r="C66" s="729" t="s">
        <v>91</v>
      </c>
      <c r="D66" s="729">
        <v>536</v>
      </c>
      <c r="E66" s="729" t="s">
        <v>12</v>
      </c>
      <c r="F66" s="813" t="s">
        <v>785</v>
      </c>
      <c r="G66" s="729" t="s">
        <v>411</v>
      </c>
      <c r="H66" s="729"/>
      <c r="I66" s="729" t="s">
        <v>9</v>
      </c>
      <c r="J66" s="729" t="s">
        <v>807</v>
      </c>
      <c r="K66" s="729" t="s">
        <v>808</v>
      </c>
      <c r="L66" s="729" t="s">
        <v>1126</v>
      </c>
      <c r="M66" s="729">
        <v>542076</v>
      </c>
      <c r="N66" s="729">
        <v>4671154</v>
      </c>
      <c r="O66" s="648">
        <f t="shared" si="1"/>
        <v>9490</v>
      </c>
      <c r="P66" s="130">
        <v>9331</v>
      </c>
      <c r="Q66" s="16"/>
      <c r="R66" s="17"/>
      <c r="S66" s="298"/>
      <c r="T66" s="18"/>
      <c r="U66" s="19"/>
      <c r="V66" s="41"/>
      <c r="W66" s="187"/>
      <c r="X66" s="76">
        <v>159</v>
      </c>
      <c r="Y66" s="300"/>
      <c r="Z66" s="306"/>
      <c r="AA66" s="730">
        <v>43298</v>
      </c>
      <c r="AB66" s="730">
        <v>43300</v>
      </c>
      <c r="AC66" s="730" t="s">
        <v>311</v>
      </c>
      <c r="AD66" s="730" t="s">
        <v>94</v>
      </c>
      <c r="AE66" s="730" t="s">
        <v>314</v>
      </c>
      <c r="AF66" s="730" t="s">
        <v>314</v>
      </c>
      <c r="AG66" s="730" t="s">
        <v>313</v>
      </c>
      <c r="AH66" s="730" t="s">
        <v>314</v>
      </c>
      <c r="AI66" s="730" t="s">
        <v>917</v>
      </c>
      <c r="AJ66" s="730" t="s">
        <v>314</v>
      </c>
      <c r="AK66" s="730" t="s">
        <v>314</v>
      </c>
      <c r="AL66" s="730" t="s">
        <v>313</v>
      </c>
      <c r="AM66" s="730" t="s">
        <v>313</v>
      </c>
      <c r="AN66" s="730" t="s">
        <v>313</v>
      </c>
      <c r="AO66" s="730" t="s">
        <v>813</v>
      </c>
    </row>
    <row r="67" spans="1:49" ht="15" customHeight="1" x14ac:dyDescent="0.25">
      <c r="A67" s="358">
        <v>43297</v>
      </c>
      <c r="B67" s="358" t="s">
        <v>788</v>
      </c>
      <c r="C67" s="729" t="s">
        <v>91</v>
      </c>
      <c r="D67" s="359">
        <v>537</v>
      </c>
      <c r="E67" s="729" t="s">
        <v>12</v>
      </c>
      <c r="F67" s="813" t="s">
        <v>778</v>
      </c>
      <c r="G67" s="729" t="s">
        <v>485</v>
      </c>
      <c r="H67" s="729"/>
      <c r="I67" s="729" t="s">
        <v>9</v>
      </c>
      <c r="J67" s="729" t="s">
        <v>806</v>
      </c>
      <c r="K67" s="729" t="s">
        <v>809</v>
      </c>
      <c r="L67" s="729" t="s">
        <v>1127</v>
      </c>
      <c r="M67" s="729">
        <v>590538</v>
      </c>
      <c r="N67" s="729">
        <v>4749463</v>
      </c>
      <c r="O67" s="648">
        <f t="shared" si="1"/>
        <v>42</v>
      </c>
      <c r="P67" s="130">
        <v>42</v>
      </c>
      <c r="Q67" s="16"/>
      <c r="R67" s="17"/>
      <c r="S67" s="298"/>
      <c r="T67" s="18"/>
      <c r="U67" s="19"/>
      <c r="V67" s="41"/>
      <c r="W67" s="187"/>
      <c r="X67" s="76"/>
      <c r="Y67" s="300"/>
      <c r="Z67" s="306"/>
      <c r="AA67" s="358">
        <v>43297</v>
      </c>
      <c r="AB67" s="358">
        <v>43298</v>
      </c>
      <c r="AC67" s="729" t="s">
        <v>311</v>
      </c>
      <c r="AD67" s="729" t="s">
        <v>94</v>
      </c>
      <c r="AE67" s="729" t="s">
        <v>313</v>
      </c>
      <c r="AF67" s="729" t="s">
        <v>314</v>
      </c>
      <c r="AG67" s="729" t="s">
        <v>314</v>
      </c>
      <c r="AH67" s="729" t="s">
        <v>314</v>
      </c>
      <c r="AI67" s="834"/>
      <c r="AJ67" s="729" t="s">
        <v>314</v>
      </c>
      <c r="AK67" s="729" t="s">
        <v>313</v>
      </c>
      <c r="AL67" s="729" t="s">
        <v>315</v>
      </c>
      <c r="AM67" s="729" t="s">
        <v>313</v>
      </c>
      <c r="AN67" s="729" t="s">
        <v>315</v>
      </c>
      <c r="AO67" s="729" t="s">
        <v>321</v>
      </c>
    </row>
    <row r="68" spans="1:49" ht="15" customHeight="1" x14ac:dyDescent="0.25">
      <c r="A68" s="358">
        <v>43297</v>
      </c>
      <c r="B68" s="358" t="s">
        <v>789</v>
      </c>
      <c r="C68" s="729" t="s">
        <v>91</v>
      </c>
      <c r="D68" s="359">
        <v>538</v>
      </c>
      <c r="E68" s="729" t="s">
        <v>10</v>
      </c>
      <c r="F68" s="813" t="s">
        <v>780</v>
      </c>
      <c r="G68" s="729" t="s">
        <v>411</v>
      </c>
      <c r="H68" s="729"/>
      <c r="I68" s="729" t="s">
        <v>9</v>
      </c>
      <c r="J68" s="729" t="s">
        <v>977</v>
      </c>
      <c r="K68" s="729" t="s">
        <v>1137</v>
      </c>
      <c r="L68" s="729" t="s">
        <v>1138</v>
      </c>
      <c r="M68" s="729">
        <v>619750</v>
      </c>
      <c r="N68" s="729">
        <v>4762471</v>
      </c>
      <c r="O68" s="648">
        <f t="shared" si="1"/>
        <v>91</v>
      </c>
      <c r="P68" s="130">
        <v>91</v>
      </c>
      <c r="Q68" s="16"/>
      <c r="R68" s="17"/>
      <c r="S68" s="298"/>
      <c r="T68" s="18"/>
      <c r="U68" s="19"/>
      <c r="V68" s="41"/>
      <c r="W68" s="187"/>
      <c r="X68" s="76"/>
      <c r="Y68" s="300"/>
      <c r="Z68" s="306"/>
      <c r="AA68" s="358">
        <v>43297</v>
      </c>
      <c r="AB68" s="358">
        <v>43297</v>
      </c>
      <c r="AC68" s="729" t="s">
        <v>311</v>
      </c>
      <c r="AD68" s="729" t="s">
        <v>312</v>
      </c>
      <c r="AE68" s="729" t="s">
        <v>313</v>
      </c>
      <c r="AF68" s="729" t="s">
        <v>314</v>
      </c>
      <c r="AG68" s="729" t="s">
        <v>314</v>
      </c>
      <c r="AH68" s="729" t="s">
        <v>314</v>
      </c>
      <c r="AI68" s="834"/>
      <c r="AJ68" s="729" t="s">
        <v>314</v>
      </c>
      <c r="AK68" s="729" t="s">
        <v>314</v>
      </c>
      <c r="AL68" s="729" t="s">
        <v>315</v>
      </c>
      <c r="AM68" s="729" t="s">
        <v>315</v>
      </c>
      <c r="AN68" s="729" t="s">
        <v>315</v>
      </c>
      <c r="AO68" s="729" t="s">
        <v>321</v>
      </c>
    </row>
    <row r="69" spans="1:49" ht="15" customHeight="1" x14ac:dyDescent="0.25">
      <c r="A69" s="817">
        <v>43297</v>
      </c>
      <c r="B69" s="817"/>
      <c r="C69" s="899" t="s">
        <v>204</v>
      </c>
      <c r="D69" s="819">
        <v>539</v>
      </c>
      <c r="E69" s="899"/>
      <c r="F69" s="899" t="s">
        <v>782</v>
      </c>
      <c r="G69" s="899"/>
      <c r="H69" s="899"/>
      <c r="I69" s="899" t="s">
        <v>327</v>
      </c>
      <c r="J69" s="899"/>
      <c r="K69" s="899"/>
      <c r="L69" s="899"/>
      <c r="M69" s="899"/>
      <c r="N69" s="899"/>
      <c r="O69" s="648">
        <f t="shared" si="1"/>
        <v>0</v>
      </c>
      <c r="P69" s="130"/>
      <c r="Q69" s="16"/>
      <c r="R69" s="17"/>
      <c r="S69" s="298"/>
      <c r="T69" s="18"/>
      <c r="U69" s="19"/>
      <c r="V69" s="41"/>
      <c r="W69" s="187"/>
      <c r="X69" s="76"/>
      <c r="Y69" s="300"/>
      <c r="Z69" s="306"/>
      <c r="AA69" s="834"/>
      <c r="AB69" s="834"/>
      <c r="AC69" s="834"/>
      <c r="AD69" s="834"/>
      <c r="AE69" s="834"/>
      <c r="AF69" s="834"/>
      <c r="AG69" s="834"/>
      <c r="AH69" s="834"/>
      <c r="AI69" s="834"/>
      <c r="AJ69" s="834"/>
      <c r="AK69" s="834"/>
      <c r="AL69" s="834"/>
      <c r="AM69" s="834"/>
      <c r="AN69" s="834"/>
      <c r="AO69" s="834"/>
      <c r="AW69" s="270"/>
    </row>
    <row r="70" spans="1:49" ht="15" customHeight="1" x14ac:dyDescent="0.25">
      <c r="A70" s="358">
        <v>43297</v>
      </c>
      <c r="B70" s="358" t="s">
        <v>790</v>
      </c>
      <c r="C70" s="729" t="s">
        <v>91</v>
      </c>
      <c r="D70" s="359">
        <v>541</v>
      </c>
      <c r="E70" s="729" t="s">
        <v>13</v>
      </c>
      <c r="F70" s="813" t="s">
        <v>781</v>
      </c>
      <c r="G70" s="729" t="s">
        <v>344</v>
      </c>
      <c r="H70" s="729"/>
      <c r="I70" s="729" t="s">
        <v>9</v>
      </c>
      <c r="J70" s="729" t="s">
        <v>805</v>
      </c>
      <c r="K70" s="729" t="s">
        <v>810</v>
      </c>
      <c r="L70" s="729" t="s">
        <v>1145</v>
      </c>
      <c r="M70" s="729">
        <v>550341</v>
      </c>
      <c r="N70" s="729">
        <v>4653786</v>
      </c>
      <c r="O70" s="648">
        <f t="shared" si="1"/>
        <v>11194</v>
      </c>
      <c r="P70" s="130">
        <v>2812</v>
      </c>
      <c r="Q70" s="16"/>
      <c r="R70" s="17"/>
      <c r="S70" s="298"/>
      <c r="T70" s="18"/>
      <c r="U70" s="19"/>
      <c r="V70" s="41"/>
      <c r="W70" s="187"/>
      <c r="X70" s="76">
        <v>8382</v>
      </c>
      <c r="Y70" s="300"/>
      <c r="Z70" s="306"/>
      <c r="AA70" s="358">
        <v>43299</v>
      </c>
      <c r="AB70" s="358">
        <v>43301</v>
      </c>
      <c r="AC70" s="729" t="s">
        <v>311</v>
      </c>
      <c r="AD70" s="729" t="s">
        <v>894</v>
      </c>
      <c r="AE70" s="729" t="s">
        <v>314</v>
      </c>
      <c r="AF70" s="729" t="s">
        <v>314</v>
      </c>
      <c r="AG70" s="729" t="s">
        <v>314</v>
      </c>
      <c r="AH70" s="729" t="s">
        <v>314</v>
      </c>
      <c r="AI70" s="834"/>
      <c r="AJ70" s="729" t="s">
        <v>314</v>
      </c>
      <c r="AK70" s="729" t="s">
        <v>314</v>
      </c>
      <c r="AL70" s="729" t="s">
        <v>313</v>
      </c>
      <c r="AM70" s="729" t="s">
        <v>313</v>
      </c>
      <c r="AN70" s="729" t="s">
        <v>313</v>
      </c>
      <c r="AO70" s="729" t="s">
        <v>813</v>
      </c>
    </row>
    <row r="71" spans="1:49" ht="15" customHeight="1" x14ac:dyDescent="0.25">
      <c r="A71" s="358">
        <v>43297</v>
      </c>
      <c r="B71" s="358" t="s">
        <v>794</v>
      </c>
      <c r="C71" s="729" t="s">
        <v>91</v>
      </c>
      <c r="D71" s="359">
        <v>543</v>
      </c>
      <c r="E71" s="729" t="s">
        <v>12</v>
      </c>
      <c r="F71" s="813" t="s">
        <v>783</v>
      </c>
      <c r="G71" s="360" t="s">
        <v>683</v>
      </c>
      <c r="H71" s="729"/>
      <c r="I71" s="729" t="s">
        <v>9</v>
      </c>
      <c r="J71" s="729" t="s">
        <v>804</v>
      </c>
      <c r="K71" s="729" t="s">
        <v>1146</v>
      </c>
      <c r="L71" s="729" t="s">
        <v>1147</v>
      </c>
      <c r="M71" s="729">
        <v>581124</v>
      </c>
      <c r="N71" s="729">
        <v>4668511</v>
      </c>
      <c r="O71" s="648">
        <f t="shared" si="1"/>
        <v>2374</v>
      </c>
      <c r="P71" s="130">
        <v>1891</v>
      </c>
      <c r="Q71" s="16"/>
      <c r="R71" s="17"/>
      <c r="S71" s="298">
        <v>186</v>
      </c>
      <c r="T71" s="18"/>
      <c r="U71" s="19"/>
      <c r="V71" s="41"/>
      <c r="W71" s="187"/>
      <c r="X71" s="76">
        <v>297</v>
      </c>
      <c r="Y71" s="300"/>
      <c r="Z71" s="306"/>
      <c r="AA71" s="358">
        <v>43300</v>
      </c>
      <c r="AB71" s="358">
        <v>43300</v>
      </c>
      <c r="AC71" s="729" t="s">
        <v>311</v>
      </c>
      <c r="AD71" s="729" t="s">
        <v>894</v>
      </c>
      <c r="AE71" s="729" t="s">
        <v>314</v>
      </c>
      <c r="AF71" s="729" t="s">
        <v>314</v>
      </c>
      <c r="AG71" s="729" t="s">
        <v>313</v>
      </c>
      <c r="AH71" s="729" t="s">
        <v>314</v>
      </c>
      <c r="AI71" s="834"/>
      <c r="AJ71" s="729" t="s">
        <v>314</v>
      </c>
      <c r="AK71" s="729" t="s">
        <v>314</v>
      </c>
      <c r="AL71" s="729" t="s">
        <v>313</v>
      </c>
      <c r="AM71" s="729" t="s">
        <v>313</v>
      </c>
      <c r="AN71" s="729" t="s">
        <v>313</v>
      </c>
      <c r="AO71" s="729" t="s">
        <v>698</v>
      </c>
    </row>
    <row r="72" spans="1:49" s="270" customFormat="1" ht="15" customHeight="1" x14ac:dyDescent="0.25">
      <c r="A72" s="358">
        <v>43297</v>
      </c>
      <c r="B72" s="358" t="s">
        <v>795</v>
      </c>
      <c r="C72" s="729" t="s">
        <v>91</v>
      </c>
      <c r="D72" s="359">
        <v>544</v>
      </c>
      <c r="E72" s="729" t="s">
        <v>13</v>
      </c>
      <c r="F72" s="813" t="s">
        <v>791</v>
      </c>
      <c r="G72" s="360" t="s">
        <v>1148</v>
      </c>
      <c r="H72" s="729"/>
      <c r="I72" s="729" t="s">
        <v>9</v>
      </c>
      <c r="J72" s="729" t="s">
        <v>872</v>
      </c>
      <c r="K72" s="729" t="s">
        <v>1149</v>
      </c>
      <c r="L72" s="729" t="s">
        <v>1150</v>
      </c>
      <c r="M72" s="729">
        <v>518225</v>
      </c>
      <c r="N72" s="729">
        <v>4684941</v>
      </c>
      <c r="O72" s="648">
        <f t="shared" si="1"/>
        <v>205</v>
      </c>
      <c r="P72" s="130">
        <v>205</v>
      </c>
      <c r="Q72" s="16"/>
      <c r="R72" s="17"/>
      <c r="S72" s="346"/>
      <c r="T72" s="18"/>
      <c r="U72" s="19"/>
      <c r="V72" s="41"/>
      <c r="W72" s="187"/>
      <c r="X72" s="76"/>
      <c r="Y72" s="347"/>
      <c r="Z72" s="306"/>
      <c r="AA72" s="358">
        <v>43298</v>
      </c>
      <c r="AB72" s="358">
        <v>43300</v>
      </c>
      <c r="AC72" s="729" t="s">
        <v>311</v>
      </c>
      <c r="AD72" s="729" t="s">
        <v>894</v>
      </c>
      <c r="AE72" s="729" t="s">
        <v>314</v>
      </c>
      <c r="AF72" s="729" t="s">
        <v>314</v>
      </c>
      <c r="AG72" s="729" t="s">
        <v>313</v>
      </c>
      <c r="AH72" s="729" t="s">
        <v>314</v>
      </c>
      <c r="AI72" s="834"/>
      <c r="AJ72" s="729" t="s">
        <v>314</v>
      </c>
      <c r="AK72" s="729" t="s">
        <v>313</v>
      </c>
      <c r="AL72" s="729" t="s">
        <v>315</v>
      </c>
      <c r="AM72" s="729" t="s">
        <v>315</v>
      </c>
      <c r="AN72" s="729" t="s">
        <v>315</v>
      </c>
      <c r="AO72" s="729" t="s">
        <v>482</v>
      </c>
      <c r="AP72" s="103"/>
    </row>
    <row r="73" spans="1:49" s="270" customFormat="1" ht="15" customHeight="1" x14ac:dyDescent="0.25">
      <c r="A73" s="358">
        <v>43297</v>
      </c>
      <c r="B73" s="358" t="s">
        <v>796</v>
      </c>
      <c r="C73" s="729" t="s">
        <v>91</v>
      </c>
      <c r="D73" s="359">
        <v>545</v>
      </c>
      <c r="E73" s="729" t="s">
        <v>12</v>
      </c>
      <c r="F73" s="813" t="s">
        <v>792</v>
      </c>
      <c r="G73" s="360" t="s">
        <v>798</v>
      </c>
      <c r="H73" s="729"/>
      <c r="I73" s="729" t="s">
        <v>9</v>
      </c>
      <c r="J73" s="729" t="s">
        <v>803</v>
      </c>
      <c r="K73" s="729" t="s">
        <v>811</v>
      </c>
      <c r="L73" s="729" t="s">
        <v>812</v>
      </c>
      <c r="M73" s="729">
        <v>563686</v>
      </c>
      <c r="N73" s="729">
        <v>4686800</v>
      </c>
      <c r="O73" s="648">
        <f t="shared" si="1"/>
        <v>133</v>
      </c>
      <c r="P73" s="130">
        <v>133</v>
      </c>
      <c r="Q73" s="16"/>
      <c r="R73" s="17"/>
      <c r="S73" s="436"/>
      <c r="T73" s="18"/>
      <c r="U73" s="19"/>
      <c r="V73" s="41"/>
      <c r="W73" s="187"/>
      <c r="X73" s="76"/>
      <c r="Y73" s="437"/>
      <c r="Z73" s="306"/>
      <c r="AA73" s="358">
        <v>43298</v>
      </c>
      <c r="AB73" s="358">
        <v>43298</v>
      </c>
      <c r="AC73" s="729" t="s">
        <v>311</v>
      </c>
      <c r="AD73" s="729" t="s">
        <v>894</v>
      </c>
      <c r="AE73" s="729" t="s">
        <v>313</v>
      </c>
      <c r="AF73" s="729" t="s">
        <v>314</v>
      </c>
      <c r="AG73" s="729" t="s">
        <v>313</v>
      </c>
      <c r="AH73" s="729" t="s">
        <v>314</v>
      </c>
      <c r="AI73" s="834"/>
      <c r="AJ73" s="729" t="s">
        <v>314</v>
      </c>
      <c r="AK73" s="729" t="s">
        <v>313</v>
      </c>
      <c r="AL73" s="729" t="s">
        <v>315</v>
      </c>
      <c r="AM73" s="729" t="s">
        <v>315</v>
      </c>
      <c r="AN73" s="729" t="s">
        <v>313</v>
      </c>
      <c r="AO73" s="729" t="s">
        <v>482</v>
      </c>
      <c r="AP73" s="103"/>
      <c r="AQ73" s="2"/>
      <c r="AR73" s="2"/>
      <c r="AS73" s="2"/>
      <c r="AT73" s="2"/>
      <c r="AU73" s="2"/>
      <c r="AW73" s="2"/>
    </row>
    <row r="74" spans="1:49" ht="15" customHeight="1" x14ac:dyDescent="0.25">
      <c r="A74" s="358">
        <v>43297</v>
      </c>
      <c r="B74" s="358" t="s">
        <v>797</v>
      </c>
      <c r="C74" s="729" t="s">
        <v>256</v>
      </c>
      <c r="D74" s="359">
        <v>546</v>
      </c>
      <c r="E74" s="729" t="s">
        <v>10</v>
      </c>
      <c r="F74" s="813" t="s">
        <v>793</v>
      </c>
      <c r="G74" s="729" t="s">
        <v>681</v>
      </c>
      <c r="H74" s="729"/>
      <c r="I74" s="729" t="s">
        <v>9</v>
      </c>
      <c r="J74" s="729" t="s">
        <v>802</v>
      </c>
      <c r="K74" s="729" t="s">
        <v>1151</v>
      </c>
      <c r="L74" s="729" t="s">
        <v>1152</v>
      </c>
      <c r="M74" s="729">
        <v>583585</v>
      </c>
      <c r="N74" s="729">
        <v>4801061</v>
      </c>
      <c r="O74" s="648">
        <f t="shared" si="1"/>
        <v>36</v>
      </c>
      <c r="P74" s="130"/>
      <c r="Q74" s="16"/>
      <c r="R74" s="17"/>
      <c r="S74" s="298">
        <v>36</v>
      </c>
      <c r="T74" s="18"/>
      <c r="U74" s="19"/>
      <c r="V74" s="41"/>
      <c r="W74" s="187"/>
      <c r="X74" s="76"/>
      <c r="Y74" s="300"/>
      <c r="Z74" s="306"/>
      <c r="AA74" s="358">
        <v>43297</v>
      </c>
      <c r="AB74" s="358">
        <v>43298</v>
      </c>
      <c r="AC74" s="729" t="s">
        <v>311</v>
      </c>
      <c r="AD74" s="729" t="s">
        <v>94</v>
      </c>
      <c r="AE74" s="729" t="s">
        <v>313</v>
      </c>
      <c r="AF74" s="729" t="s">
        <v>314</v>
      </c>
      <c r="AG74" s="729" t="s">
        <v>314</v>
      </c>
      <c r="AH74" s="729" t="s">
        <v>314</v>
      </c>
      <c r="AI74" s="834"/>
      <c r="AJ74" s="729" t="s">
        <v>314</v>
      </c>
      <c r="AK74" s="729" t="s">
        <v>313</v>
      </c>
      <c r="AL74" s="729" t="s">
        <v>315</v>
      </c>
      <c r="AM74" s="729" t="s">
        <v>315</v>
      </c>
      <c r="AN74" s="729" t="s">
        <v>315</v>
      </c>
      <c r="AO74" s="729" t="s">
        <v>321</v>
      </c>
      <c r="AQ74" s="2" t="s">
        <v>6</v>
      </c>
    </row>
    <row r="75" spans="1:49" ht="15" customHeight="1" x14ac:dyDescent="0.25">
      <c r="A75" s="358">
        <v>43299</v>
      </c>
      <c r="B75" s="358" t="s">
        <v>817</v>
      </c>
      <c r="C75" s="729" t="s">
        <v>256</v>
      </c>
      <c r="D75" s="359">
        <v>559</v>
      </c>
      <c r="E75" s="729" t="s">
        <v>10</v>
      </c>
      <c r="F75" s="813" t="s">
        <v>816</v>
      </c>
      <c r="G75" s="729" t="s">
        <v>818</v>
      </c>
      <c r="H75" s="729"/>
      <c r="I75" s="729" t="s">
        <v>8</v>
      </c>
      <c r="J75" s="729" t="s">
        <v>1154</v>
      </c>
      <c r="K75" s="729" t="s">
        <v>1155</v>
      </c>
      <c r="L75" s="729" t="s">
        <v>1156</v>
      </c>
      <c r="M75" s="729">
        <v>584743</v>
      </c>
      <c r="N75" s="729">
        <v>4795354</v>
      </c>
      <c r="O75" s="648">
        <f t="shared" ref="O75:O144" si="3">SUM(P75:Z75)</f>
        <v>176</v>
      </c>
      <c r="P75" s="130">
        <v>8</v>
      </c>
      <c r="Q75" s="16"/>
      <c r="R75" s="17"/>
      <c r="S75" s="298">
        <v>168</v>
      </c>
      <c r="T75" s="18"/>
      <c r="U75" s="19"/>
      <c r="V75" s="41"/>
      <c r="W75" s="187"/>
      <c r="X75" s="76"/>
      <c r="Y75" s="300"/>
      <c r="Z75" s="306"/>
      <c r="AA75" s="358">
        <v>43299</v>
      </c>
      <c r="AB75" s="358">
        <v>43299</v>
      </c>
      <c r="AC75" s="729" t="s">
        <v>311</v>
      </c>
      <c r="AD75" s="729" t="s">
        <v>2</v>
      </c>
      <c r="AE75" s="729" t="s">
        <v>313</v>
      </c>
      <c r="AF75" s="729" t="s">
        <v>314</v>
      </c>
      <c r="AG75" s="729" t="s">
        <v>314</v>
      </c>
      <c r="AH75" s="729" t="s">
        <v>314</v>
      </c>
      <c r="AI75" s="834"/>
      <c r="AJ75" s="729" t="s">
        <v>314</v>
      </c>
      <c r="AK75" s="729" t="s">
        <v>313</v>
      </c>
      <c r="AL75" s="729" t="s">
        <v>315</v>
      </c>
      <c r="AM75" s="729" t="s">
        <v>315</v>
      </c>
      <c r="AN75" s="729" t="s">
        <v>315</v>
      </c>
      <c r="AO75" s="729" t="s">
        <v>482</v>
      </c>
    </row>
    <row r="76" spans="1:49" ht="15" customHeight="1" x14ac:dyDescent="0.25">
      <c r="A76" s="358">
        <v>43301</v>
      </c>
      <c r="B76" s="358" t="s">
        <v>821</v>
      </c>
      <c r="C76" s="729" t="s">
        <v>91</v>
      </c>
      <c r="D76" s="359">
        <v>572</v>
      </c>
      <c r="E76" s="729" t="s">
        <v>10</v>
      </c>
      <c r="F76" s="813" t="s">
        <v>822</v>
      </c>
      <c r="G76" s="729" t="s">
        <v>823</v>
      </c>
      <c r="H76" s="729"/>
      <c r="I76" s="729" t="s">
        <v>8</v>
      </c>
      <c r="J76" s="729" t="s">
        <v>824</v>
      </c>
      <c r="K76" s="729" t="s">
        <v>1174</v>
      </c>
      <c r="L76" s="729" t="s">
        <v>825</v>
      </c>
      <c r="M76" s="729">
        <v>585503</v>
      </c>
      <c r="N76" s="729">
        <v>4798856</v>
      </c>
      <c r="O76" s="648">
        <f t="shared" si="3"/>
        <v>1</v>
      </c>
      <c r="P76" s="130">
        <v>1</v>
      </c>
      <c r="Q76" s="16"/>
      <c r="R76" s="17"/>
      <c r="S76" s="298"/>
      <c r="T76" s="18"/>
      <c r="U76" s="19"/>
      <c r="V76" s="41"/>
      <c r="W76" s="187"/>
      <c r="X76" s="76"/>
      <c r="Y76" s="300"/>
      <c r="Z76" s="306"/>
      <c r="AA76" s="358">
        <v>43301</v>
      </c>
      <c r="AB76" s="358">
        <v>43301</v>
      </c>
      <c r="AC76" s="729" t="s">
        <v>311</v>
      </c>
      <c r="AD76" s="729" t="s">
        <v>2</v>
      </c>
      <c r="AE76" s="729" t="s">
        <v>313</v>
      </c>
      <c r="AF76" s="729" t="s">
        <v>314</v>
      </c>
      <c r="AG76" s="729" t="s">
        <v>314</v>
      </c>
      <c r="AH76" s="729" t="s">
        <v>313</v>
      </c>
      <c r="AI76" s="834"/>
      <c r="AJ76" s="729" t="s">
        <v>314</v>
      </c>
      <c r="AK76" s="729" t="s">
        <v>314</v>
      </c>
      <c r="AL76" s="729" t="s">
        <v>315</v>
      </c>
      <c r="AM76" s="729" t="s">
        <v>315</v>
      </c>
      <c r="AN76" s="729" t="s">
        <v>315</v>
      </c>
      <c r="AO76" s="729" t="s">
        <v>316</v>
      </c>
    </row>
    <row r="77" spans="1:49" ht="15" customHeight="1" x14ac:dyDescent="0.25">
      <c r="A77" s="862">
        <v>43301</v>
      </c>
      <c r="B77" s="862" t="s">
        <v>826</v>
      </c>
      <c r="C77" s="89" t="s">
        <v>266</v>
      </c>
      <c r="D77" s="863">
        <v>573</v>
      </c>
      <c r="E77" s="89" t="s">
        <v>63</v>
      </c>
      <c r="F77" s="89" t="s">
        <v>827</v>
      </c>
      <c r="G77" s="89"/>
      <c r="H77" s="89"/>
      <c r="I77" s="89" t="s">
        <v>63</v>
      </c>
      <c r="J77" s="89" t="s">
        <v>828</v>
      </c>
      <c r="K77" s="89" t="s">
        <v>1175</v>
      </c>
      <c r="L77" s="89" t="s">
        <v>1176</v>
      </c>
      <c r="M77" s="89">
        <v>564735</v>
      </c>
      <c r="N77" s="89">
        <v>4834590</v>
      </c>
      <c r="O77" s="648">
        <f t="shared" si="3"/>
        <v>20</v>
      </c>
      <c r="P77" s="130"/>
      <c r="Q77" s="16"/>
      <c r="R77" s="17"/>
      <c r="S77" s="298"/>
      <c r="T77" s="18"/>
      <c r="U77" s="19"/>
      <c r="V77" s="41"/>
      <c r="W77" s="187"/>
      <c r="X77" s="76"/>
      <c r="Y77" s="300">
        <v>20</v>
      </c>
      <c r="Z77" s="306"/>
      <c r="AA77" s="862"/>
      <c r="AB77" s="862"/>
      <c r="AC77" s="89"/>
      <c r="AD77" s="89"/>
      <c r="AE77" s="89"/>
      <c r="AF77" s="89"/>
      <c r="AG77" s="89"/>
      <c r="AH77" s="89"/>
      <c r="AI77" s="884"/>
      <c r="AJ77" s="89"/>
      <c r="AK77" s="89"/>
      <c r="AL77" s="89"/>
      <c r="AM77" s="89"/>
      <c r="AN77" s="89"/>
      <c r="AO77" s="89"/>
    </row>
    <row r="78" spans="1:49" ht="15" customHeight="1" x14ac:dyDescent="0.25">
      <c r="A78" s="358">
        <v>43302</v>
      </c>
      <c r="B78" s="358" t="s">
        <v>833</v>
      </c>
      <c r="C78" s="729" t="s">
        <v>91</v>
      </c>
      <c r="D78" s="359">
        <v>576</v>
      </c>
      <c r="E78" s="729" t="s">
        <v>10</v>
      </c>
      <c r="F78" s="813" t="s">
        <v>830</v>
      </c>
      <c r="G78" s="729" t="s">
        <v>832</v>
      </c>
      <c r="H78" s="729" t="s">
        <v>575</v>
      </c>
      <c r="I78" s="729" t="s">
        <v>8</v>
      </c>
      <c r="J78" s="729" t="s">
        <v>857</v>
      </c>
      <c r="K78" s="729" t="s">
        <v>858</v>
      </c>
      <c r="L78" s="729" t="s">
        <v>1178</v>
      </c>
      <c r="M78" s="729">
        <v>569529</v>
      </c>
      <c r="N78" s="729">
        <v>4833747</v>
      </c>
      <c r="O78" s="648">
        <f t="shared" si="3"/>
        <v>0.1</v>
      </c>
      <c r="P78" s="130">
        <v>0.1</v>
      </c>
      <c r="Q78" s="16"/>
      <c r="R78" s="17"/>
      <c r="S78" s="346"/>
      <c r="T78" s="18"/>
      <c r="U78" s="19"/>
      <c r="V78" s="41"/>
      <c r="W78" s="187"/>
      <c r="X78" s="76"/>
      <c r="Y78" s="347"/>
      <c r="Z78" s="306"/>
      <c r="AA78" s="358">
        <v>43302</v>
      </c>
      <c r="AB78" s="358">
        <v>43302</v>
      </c>
      <c r="AC78" s="729" t="s">
        <v>311</v>
      </c>
      <c r="AD78" s="729" t="s">
        <v>312</v>
      </c>
      <c r="AE78" s="729" t="s">
        <v>313</v>
      </c>
      <c r="AF78" s="729" t="s">
        <v>314</v>
      </c>
      <c r="AG78" s="729" t="s">
        <v>314</v>
      </c>
      <c r="AH78" s="729" t="s">
        <v>314</v>
      </c>
      <c r="AI78" s="834"/>
      <c r="AJ78" s="729" t="s">
        <v>314</v>
      </c>
      <c r="AK78" s="729" t="s">
        <v>314</v>
      </c>
      <c r="AL78" s="729" t="s">
        <v>315</v>
      </c>
      <c r="AM78" s="729" t="s">
        <v>315</v>
      </c>
      <c r="AN78" s="729" t="s">
        <v>315</v>
      </c>
      <c r="AO78" s="729" t="s">
        <v>392</v>
      </c>
    </row>
    <row r="79" spans="1:49" ht="15" customHeight="1" x14ac:dyDescent="0.25">
      <c r="A79" s="817">
        <v>43302</v>
      </c>
      <c r="B79" s="817" t="s">
        <v>854</v>
      </c>
      <c r="C79" s="902" t="s">
        <v>265</v>
      </c>
      <c r="D79" s="819">
        <v>586</v>
      </c>
      <c r="E79" s="902"/>
      <c r="F79" s="17" t="s">
        <v>848</v>
      </c>
      <c r="G79" s="902" t="s">
        <v>436</v>
      </c>
      <c r="H79" s="902" t="s">
        <v>855</v>
      </c>
      <c r="I79" s="902" t="s">
        <v>172</v>
      </c>
      <c r="J79" s="902" t="s">
        <v>856</v>
      </c>
      <c r="K79" s="902" t="s">
        <v>1180</v>
      </c>
      <c r="L79" s="902" t="s">
        <v>861</v>
      </c>
      <c r="M79" s="902">
        <v>580971</v>
      </c>
      <c r="N79" s="902">
        <v>4834896</v>
      </c>
      <c r="O79" s="648">
        <f t="shared" si="3"/>
        <v>2.7</v>
      </c>
      <c r="P79" s="130"/>
      <c r="Q79" s="16"/>
      <c r="R79" s="17"/>
      <c r="S79" s="298"/>
      <c r="T79" s="18"/>
      <c r="U79" s="19"/>
      <c r="V79" s="41"/>
      <c r="W79" s="187"/>
      <c r="X79" s="76"/>
      <c r="Y79" s="300">
        <v>2.7</v>
      </c>
      <c r="Z79" s="306"/>
      <c r="AA79" s="817"/>
      <c r="AB79" s="817"/>
      <c r="AC79" s="950"/>
      <c r="AD79" s="950"/>
      <c r="AE79" s="950"/>
      <c r="AF79" s="950"/>
      <c r="AG79" s="950"/>
      <c r="AH79" s="950"/>
      <c r="AI79" s="834"/>
      <c r="AJ79" s="950"/>
      <c r="AK79" s="950"/>
      <c r="AL79" s="950"/>
      <c r="AM79" s="950"/>
      <c r="AN79" s="950"/>
      <c r="AO79" s="950"/>
      <c r="AQ79" s="2" t="s">
        <v>6</v>
      </c>
    </row>
    <row r="80" spans="1:49" ht="15" customHeight="1" x14ac:dyDescent="0.25">
      <c r="A80" s="358">
        <v>43303</v>
      </c>
      <c r="B80" s="358" t="s">
        <v>868</v>
      </c>
      <c r="C80" s="729" t="s">
        <v>91</v>
      </c>
      <c r="D80" s="359">
        <v>592</v>
      </c>
      <c r="E80" s="729" t="s">
        <v>10</v>
      </c>
      <c r="F80" s="813" t="s">
        <v>867</v>
      </c>
      <c r="G80" s="729" t="s">
        <v>411</v>
      </c>
      <c r="H80" s="729"/>
      <c r="I80" s="729" t="s">
        <v>8</v>
      </c>
      <c r="J80" s="729" t="s">
        <v>869</v>
      </c>
      <c r="K80" s="729" t="s">
        <v>870</v>
      </c>
      <c r="L80" s="729" t="s">
        <v>1213</v>
      </c>
      <c r="M80" s="729">
        <v>568933</v>
      </c>
      <c r="N80" s="729">
        <v>4810979</v>
      </c>
      <c r="O80" s="648">
        <f t="shared" si="3"/>
        <v>1638</v>
      </c>
      <c r="P80" s="130">
        <v>1076</v>
      </c>
      <c r="Q80" s="16"/>
      <c r="R80" s="17">
        <v>537</v>
      </c>
      <c r="S80" s="349">
        <v>25</v>
      </c>
      <c r="T80" s="18"/>
      <c r="U80" s="19"/>
      <c r="V80" s="41"/>
      <c r="W80" s="187"/>
      <c r="X80" s="76"/>
      <c r="Y80" s="351"/>
      <c r="Z80" s="306"/>
      <c r="AA80" s="358">
        <v>43303</v>
      </c>
      <c r="AB80" s="358">
        <v>43304</v>
      </c>
      <c r="AC80" s="729" t="s">
        <v>311</v>
      </c>
      <c r="AD80" s="729" t="s">
        <v>312</v>
      </c>
      <c r="AE80" s="729" t="s">
        <v>313</v>
      </c>
      <c r="AF80" s="729" t="s">
        <v>313</v>
      </c>
      <c r="AG80" s="729" t="s">
        <v>314</v>
      </c>
      <c r="AH80" s="729" t="s">
        <v>314</v>
      </c>
      <c r="AI80" s="834"/>
      <c r="AJ80" s="729" t="s">
        <v>314</v>
      </c>
      <c r="AK80" s="729" t="s">
        <v>313</v>
      </c>
      <c r="AL80" s="729" t="s">
        <v>315</v>
      </c>
      <c r="AM80" s="729" t="s">
        <v>313</v>
      </c>
      <c r="AN80" s="729" t="s">
        <v>313</v>
      </c>
      <c r="AO80" s="729" t="s">
        <v>698</v>
      </c>
      <c r="AQ80" s="270"/>
      <c r="AR80" s="270"/>
      <c r="AS80" s="270"/>
      <c r="AT80" s="270"/>
      <c r="AU80" s="270"/>
    </row>
    <row r="81" spans="1:49" ht="15" customHeight="1" x14ac:dyDescent="0.25">
      <c r="A81" s="817">
        <v>43297</v>
      </c>
      <c r="B81" s="817" t="s">
        <v>1024</v>
      </c>
      <c r="C81" s="915" t="s">
        <v>91</v>
      </c>
      <c r="D81" s="819">
        <v>597</v>
      </c>
      <c r="E81" s="915" t="s">
        <v>10</v>
      </c>
      <c r="F81" s="78" t="s">
        <v>871</v>
      </c>
      <c r="G81" s="915"/>
      <c r="H81" s="915"/>
      <c r="I81" s="915" t="s">
        <v>367</v>
      </c>
      <c r="J81" s="915" t="s">
        <v>878</v>
      </c>
      <c r="K81" s="915" t="s">
        <v>879</v>
      </c>
      <c r="L81" s="915" t="s">
        <v>880</v>
      </c>
      <c r="M81" s="915"/>
      <c r="N81" s="915"/>
      <c r="O81" s="648">
        <f t="shared" si="3"/>
        <v>1081</v>
      </c>
      <c r="P81" s="130">
        <v>1081</v>
      </c>
      <c r="Q81" s="16"/>
      <c r="R81" s="17"/>
      <c r="S81" s="346"/>
      <c r="T81" s="18"/>
      <c r="U81" s="19"/>
      <c r="V81" s="41"/>
      <c r="W81" s="187"/>
      <c r="X81" s="76"/>
      <c r="Y81" s="347"/>
      <c r="Z81" s="306"/>
      <c r="AA81" s="817"/>
      <c r="AB81" s="817"/>
      <c r="AC81" s="954"/>
      <c r="AD81" s="954"/>
      <c r="AE81" s="954"/>
      <c r="AF81" s="954"/>
      <c r="AG81" s="954"/>
      <c r="AH81" s="954"/>
      <c r="AI81" s="834"/>
      <c r="AJ81" s="954"/>
      <c r="AK81" s="954"/>
      <c r="AL81" s="954"/>
      <c r="AM81" s="954"/>
      <c r="AN81" s="954"/>
      <c r="AO81" s="954"/>
    </row>
    <row r="82" spans="1:49" ht="15" customHeight="1" x14ac:dyDescent="0.25">
      <c r="A82" s="358">
        <v>43305</v>
      </c>
      <c r="B82" s="358" t="s">
        <v>875</v>
      </c>
      <c r="C82" s="729" t="s">
        <v>266</v>
      </c>
      <c r="D82" s="359">
        <v>601</v>
      </c>
      <c r="E82" s="729" t="s">
        <v>10</v>
      </c>
      <c r="F82" s="813" t="s">
        <v>874</v>
      </c>
      <c r="G82" s="729" t="s">
        <v>876</v>
      </c>
      <c r="H82" s="729"/>
      <c r="I82" s="729" t="s">
        <v>8</v>
      </c>
      <c r="J82" s="729" t="s">
        <v>877</v>
      </c>
      <c r="K82" s="729" t="s">
        <v>1214</v>
      </c>
      <c r="L82" s="729" t="s">
        <v>1215</v>
      </c>
      <c r="M82" s="729">
        <v>565145</v>
      </c>
      <c r="N82" s="729">
        <v>4808095</v>
      </c>
      <c r="O82" s="648">
        <f t="shared" si="3"/>
        <v>0.2</v>
      </c>
      <c r="P82" s="130"/>
      <c r="Q82" s="16"/>
      <c r="R82" s="17"/>
      <c r="S82" s="346">
        <v>0.2</v>
      </c>
      <c r="T82" s="18"/>
      <c r="U82" s="19"/>
      <c r="V82" s="41"/>
      <c r="W82" s="187"/>
      <c r="X82" s="76"/>
      <c r="Y82" s="347"/>
      <c r="Z82" s="306"/>
      <c r="AA82" s="358">
        <v>43305</v>
      </c>
      <c r="AB82" s="358">
        <v>43305</v>
      </c>
      <c r="AC82" s="729" t="s">
        <v>311</v>
      </c>
      <c r="AD82" s="729" t="s">
        <v>2</v>
      </c>
      <c r="AE82" s="729" t="s">
        <v>313</v>
      </c>
      <c r="AF82" s="729" t="s">
        <v>314</v>
      </c>
      <c r="AG82" s="729" t="s">
        <v>314</v>
      </c>
      <c r="AH82" s="729" t="s">
        <v>314</v>
      </c>
      <c r="AI82" s="834"/>
      <c r="AJ82" s="729" t="s">
        <v>314</v>
      </c>
      <c r="AK82" s="729" t="s">
        <v>313</v>
      </c>
      <c r="AL82" s="729" t="s">
        <v>315</v>
      </c>
      <c r="AM82" s="729" t="s">
        <v>315</v>
      </c>
      <c r="AN82" s="729" t="s">
        <v>315</v>
      </c>
      <c r="AO82" s="729" t="s">
        <v>392</v>
      </c>
    </row>
    <row r="83" spans="1:49" ht="15" customHeight="1" x14ac:dyDescent="0.25">
      <c r="A83" s="358">
        <v>43305</v>
      </c>
      <c r="B83" s="358" t="s">
        <v>884</v>
      </c>
      <c r="C83" s="729" t="s">
        <v>91</v>
      </c>
      <c r="D83" s="359">
        <v>604</v>
      </c>
      <c r="E83" s="729" t="s">
        <v>13</v>
      </c>
      <c r="F83" s="813" t="s">
        <v>881</v>
      </c>
      <c r="G83" s="729" t="s">
        <v>892</v>
      </c>
      <c r="H83" s="729" t="s">
        <v>893</v>
      </c>
      <c r="I83" s="729" t="s">
        <v>9</v>
      </c>
      <c r="J83" s="729" t="s">
        <v>890</v>
      </c>
      <c r="K83" s="729" t="s">
        <v>907</v>
      </c>
      <c r="L83" s="729" t="s">
        <v>1245</v>
      </c>
      <c r="M83" s="729">
        <v>525197</v>
      </c>
      <c r="N83" s="729">
        <v>4692736</v>
      </c>
      <c r="O83" s="648">
        <f t="shared" si="3"/>
        <v>545</v>
      </c>
      <c r="P83" s="130">
        <v>216</v>
      </c>
      <c r="Q83" s="16"/>
      <c r="R83" s="17">
        <v>304</v>
      </c>
      <c r="S83" s="398">
        <v>25</v>
      </c>
      <c r="T83" s="18"/>
      <c r="U83" s="19"/>
      <c r="V83" s="41"/>
      <c r="W83" s="187"/>
      <c r="X83" s="76"/>
      <c r="Y83" s="400"/>
      <c r="Z83" s="306"/>
      <c r="AA83" s="733">
        <v>43306</v>
      </c>
      <c r="AB83" s="733">
        <v>43307</v>
      </c>
      <c r="AC83" s="730" t="s">
        <v>311</v>
      </c>
      <c r="AD83" s="730" t="s">
        <v>577</v>
      </c>
      <c r="AE83" s="730" t="s">
        <v>313</v>
      </c>
      <c r="AF83" s="730" t="s">
        <v>313</v>
      </c>
      <c r="AG83" s="730" t="s">
        <v>313</v>
      </c>
      <c r="AH83" s="730" t="s">
        <v>314</v>
      </c>
      <c r="AI83" s="834"/>
      <c r="AJ83" s="730" t="s">
        <v>314</v>
      </c>
      <c r="AK83" s="730" t="s">
        <v>313</v>
      </c>
      <c r="AL83" s="730" t="s">
        <v>315</v>
      </c>
      <c r="AM83" s="730" t="s">
        <v>313</v>
      </c>
      <c r="AN83" s="730" t="s">
        <v>313</v>
      </c>
      <c r="AO83" s="730" t="s">
        <v>697</v>
      </c>
    </row>
    <row r="84" spans="1:49" ht="15" customHeight="1" x14ac:dyDescent="0.25">
      <c r="A84" s="358">
        <v>43305</v>
      </c>
      <c r="B84" s="358" t="s">
        <v>885</v>
      </c>
      <c r="C84" s="729" t="s">
        <v>269</v>
      </c>
      <c r="D84" s="359">
        <v>605</v>
      </c>
      <c r="E84" s="729" t="s">
        <v>13</v>
      </c>
      <c r="F84" s="813" t="s">
        <v>882</v>
      </c>
      <c r="G84" s="729" t="s">
        <v>1249</v>
      </c>
      <c r="H84" s="729"/>
      <c r="I84" s="729" t="s">
        <v>9</v>
      </c>
      <c r="J84" s="729" t="s">
        <v>889</v>
      </c>
      <c r="K84" s="729" t="s">
        <v>908</v>
      </c>
      <c r="L84" s="729" t="s">
        <v>1250</v>
      </c>
      <c r="M84" s="729">
        <v>527771</v>
      </c>
      <c r="N84" s="729">
        <v>4718100</v>
      </c>
      <c r="O84" s="648">
        <f t="shared" si="3"/>
        <v>0.1</v>
      </c>
      <c r="P84" s="130"/>
      <c r="Q84" s="16"/>
      <c r="R84" s="17"/>
      <c r="S84" s="298">
        <v>0.1</v>
      </c>
      <c r="T84" s="18"/>
      <c r="U84" s="19"/>
      <c r="V84" s="41"/>
      <c r="W84" s="187"/>
      <c r="X84" s="76"/>
      <c r="Y84" s="300"/>
      <c r="Z84" s="306"/>
      <c r="AA84" s="358">
        <v>43305</v>
      </c>
      <c r="AB84" s="358">
        <v>43306</v>
      </c>
      <c r="AC84" s="729" t="s">
        <v>311</v>
      </c>
      <c r="AD84" s="729" t="s">
        <v>894</v>
      </c>
      <c r="AE84" s="729" t="s">
        <v>313</v>
      </c>
      <c r="AF84" s="729" t="s">
        <v>314</v>
      </c>
      <c r="AG84" s="729" t="s">
        <v>313</v>
      </c>
      <c r="AH84" s="729" t="s">
        <v>314</v>
      </c>
      <c r="AI84" s="834"/>
      <c r="AJ84" s="729" t="s">
        <v>313</v>
      </c>
      <c r="AK84" s="729" t="s">
        <v>314</v>
      </c>
      <c r="AL84" s="729" t="s">
        <v>315</v>
      </c>
      <c r="AM84" s="729" t="s">
        <v>315</v>
      </c>
      <c r="AN84" s="729" t="s">
        <v>315</v>
      </c>
      <c r="AO84" s="729" t="s">
        <v>392</v>
      </c>
    </row>
    <row r="85" spans="1:49" s="270" customFormat="1" ht="15" customHeight="1" x14ac:dyDescent="0.25">
      <c r="A85" s="358">
        <v>43305</v>
      </c>
      <c r="B85" s="358" t="s">
        <v>886</v>
      </c>
      <c r="C85" s="729" t="s">
        <v>91</v>
      </c>
      <c r="D85" s="359">
        <v>608</v>
      </c>
      <c r="E85" s="729" t="s">
        <v>12</v>
      </c>
      <c r="F85" s="813" t="s">
        <v>883</v>
      </c>
      <c r="G85" s="729" t="s">
        <v>411</v>
      </c>
      <c r="H85" s="729"/>
      <c r="I85" s="729" t="s">
        <v>9</v>
      </c>
      <c r="J85" s="729" t="s">
        <v>887</v>
      </c>
      <c r="K85" s="729" t="s">
        <v>909</v>
      </c>
      <c r="L85" s="729" t="s">
        <v>910</v>
      </c>
      <c r="M85" s="729">
        <v>602461</v>
      </c>
      <c r="N85" s="729">
        <v>4662100</v>
      </c>
      <c r="O85" s="648">
        <f t="shared" si="3"/>
        <v>26605</v>
      </c>
      <c r="P85" s="130">
        <v>23869</v>
      </c>
      <c r="Q85" s="16"/>
      <c r="R85" s="17">
        <v>1530</v>
      </c>
      <c r="S85" s="298">
        <v>1205</v>
      </c>
      <c r="T85" s="18"/>
      <c r="U85" s="19">
        <v>1</v>
      </c>
      <c r="V85" s="41"/>
      <c r="W85" s="187"/>
      <c r="X85" s="76"/>
      <c r="Y85" s="300"/>
      <c r="Z85" s="306"/>
      <c r="AA85" s="733">
        <v>43310</v>
      </c>
      <c r="AB85" s="733">
        <v>43313</v>
      </c>
      <c r="AC85" s="730" t="s">
        <v>311</v>
      </c>
      <c r="AD85" s="730" t="s">
        <v>94</v>
      </c>
      <c r="AE85" s="730" t="s">
        <v>314</v>
      </c>
      <c r="AF85" s="730" t="s">
        <v>314</v>
      </c>
      <c r="AG85" s="730" t="s">
        <v>313</v>
      </c>
      <c r="AH85" s="730" t="s">
        <v>314</v>
      </c>
      <c r="AI85" s="834"/>
      <c r="AJ85" s="730" t="s">
        <v>314</v>
      </c>
      <c r="AK85" s="730" t="s">
        <v>314</v>
      </c>
      <c r="AL85" s="730" t="s">
        <v>313</v>
      </c>
      <c r="AM85" s="730" t="s">
        <v>313</v>
      </c>
      <c r="AN85" s="730" t="s">
        <v>313</v>
      </c>
      <c r="AO85" s="730" t="s">
        <v>813</v>
      </c>
      <c r="AP85" s="103"/>
    </row>
    <row r="86" spans="1:49" ht="15" customHeight="1" x14ac:dyDescent="0.25">
      <c r="A86" s="358">
        <v>43305</v>
      </c>
      <c r="B86" s="358" t="s">
        <v>891</v>
      </c>
      <c r="C86" s="729" t="s">
        <v>269</v>
      </c>
      <c r="D86" s="359">
        <v>609</v>
      </c>
      <c r="E86" s="729" t="s">
        <v>13</v>
      </c>
      <c r="F86" s="813" t="s">
        <v>888</v>
      </c>
      <c r="G86" s="729" t="s">
        <v>344</v>
      </c>
      <c r="H86" s="729"/>
      <c r="I86" s="729" t="s">
        <v>9</v>
      </c>
      <c r="J86" s="729" t="s">
        <v>905</v>
      </c>
      <c r="K86" s="729" t="s">
        <v>904</v>
      </c>
      <c r="L86" s="729" t="s">
        <v>1304</v>
      </c>
      <c r="M86" s="729">
        <v>499870</v>
      </c>
      <c r="N86" s="729">
        <v>4766101</v>
      </c>
      <c r="O86" s="719">
        <f t="shared" si="3"/>
        <v>756</v>
      </c>
      <c r="P86" s="130">
        <v>426</v>
      </c>
      <c r="Q86" s="16"/>
      <c r="R86" s="17">
        <v>272</v>
      </c>
      <c r="S86" s="717">
        <v>58</v>
      </c>
      <c r="T86" s="18"/>
      <c r="U86" s="19"/>
      <c r="V86" s="41"/>
      <c r="W86" s="187"/>
      <c r="X86" s="76"/>
      <c r="Y86" s="718"/>
      <c r="Z86" s="306"/>
      <c r="AA86" s="733">
        <v>43307</v>
      </c>
      <c r="AB86" s="733">
        <v>43308</v>
      </c>
      <c r="AC86" s="730" t="s">
        <v>311</v>
      </c>
      <c r="AD86" s="730" t="s">
        <v>894</v>
      </c>
      <c r="AE86" s="730" t="s">
        <v>313</v>
      </c>
      <c r="AF86" s="730" t="s">
        <v>314</v>
      </c>
      <c r="AG86" s="730" t="s">
        <v>313</v>
      </c>
      <c r="AH86" s="730" t="s">
        <v>314</v>
      </c>
      <c r="AI86" s="834"/>
      <c r="AJ86" s="730" t="s">
        <v>314</v>
      </c>
      <c r="AK86" s="730" t="s">
        <v>313</v>
      </c>
      <c r="AL86" s="730" t="s">
        <v>313</v>
      </c>
      <c r="AM86" s="730" t="s">
        <v>313</v>
      </c>
      <c r="AN86" s="730" t="s">
        <v>313</v>
      </c>
      <c r="AO86" s="730" t="s">
        <v>697</v>
      </c>
      <c r="AW86" s="270"/>
    </row>
    <row r="87" spans="1:49" ht="15" customHeight="1" x14ac:dyDescent="0.25">
      <c r="A87" s="817">
        <v>43306</v>
      </c>
      <c r="B87" s="817" t="s">
        <v>932</v>
      </c>
      <c r="C87" s="917"/>
      <c r="D87" s="819">
        <v>611</v>
      </c>
      <c r="E87" s="917" t="s">
        <v>10</v>
      </c>
      <c r="F87" s="16" t="s">
        <v>895</v>
      </c>
      <c r="G87" s="917"/>
      <c r="H87" s="917"/>
      <c r="I87" s="917" t="s">
        <v>367</v>
      </c>
      <c r="J87" s="917"/>
      <c r="K87" s="917"/>
      <c r="L87" s="917"/>
      <c r="M87" s="917"/>
      <c r="N87" s="917"/>
      <c r="O87" s="648">
        <f t="shared" si="3"/>
        <v>454</v>
      </c>
      <c r="P87" s="130">
        <v>454</v>
      </c>
      <c r="Q87" s="16"/>
      <c r="R87" s="17"/>
      <c r="S87" s="404"/>
      <c r="T87" s="18"/>
      <c r="U87" s="19"/>
      <c r="V87" s="41"/>
      <c r="W87" s="187"/>
      <c r="X87" s="76"/>
      <c r="Y87" s="405"/>
      <c r="Z87" s="306"/>
      <c r="AA87" s="833"/>
      <c r="AB87" s="833"/>
      <c r="AC87" s="834"/>
      <c r="AD87" s="834"/>
      <c r="AE87" s="834"/>
      <c r="AF87" s="834"/>
      <c r="AG87" s="834"/>
      <c r="AH87" s="834"/>
      <c r="AI87" s="834"/>
      <c r="AJ87" s="834"/>
      <c r="AK87" s="834"/>
      <c r="AL87" s="834"/>
      <c r="AM87" s="834"/>
      <c r="AN87" s="834"/>
      <c r="AO87" s="834"/>
    </row>
    <row r="88" spans="1:49" s="270" customFormat="1" ht="15" customHeight="1" x14ac:dyDescent="0.25">
      <c r="A88" s="817">
        <v>43306</v>
      </c>
      <c r="B88" s="817" t="s">
        <v>933</v>
      </c>
      <c r="C88" s="917"/>
      <c r="D88" s="819">
        <v>618</v>
      </c>
      <c r="E88" s="917" t="s">
        <v>10</v>
      </c>
      <c r="F88" s="16" t="s">
        <v>906</v>
      </c>
      <c r="G88" s="917"/>
      <c r="H88" s="917"/>
      <c r="I88" s="917" t="s">
        <v>367</v>
      </c>
      <c r="J88" s="917"/>
      <c r="K88" s="917"/>
      <c r="L88" s="917"/>
      <c r="M88" s="917"/>
      <c r="N88" s="917"/>
      <c r="O88" s="648">
        <f t="shared" si="3"/>
        <v>11213</v>
      </c>
      <c r="P88" s="130">
        <v>11213</v>
      </c>
      <c r="Q88" s="16"/>
      <c r="R88" s="17"/>
      <c r="S88" s="298"/>
      <c r="T88" s="18"/>
      <c r="U88" s="19"/>
      <c r="V88" s="41"/>
      <c r="W88" s="187"/>
      <c r="X88" s="76"/>
      <c r="Y88" s="300"/>
      <c r="Z88" s="306"/>
      <c r="AA88" s="817"/>
      <c r="AB88" s="817"/>
      <c r="AC88" s="925"/>
      <c r="AD88" s="925"/>
      <c r="AE88" s="925"/>
      <c r="AF88" s="925"/>
      <c r="AG88" s="925"/>
      <c r="AH88" s="925"/>
      <c r="AI88" s="834"/>
      <c r="AJ88" s="925"/>
      <c r="AK88" s="925"/>
      <c r="AL88" s="925"/>
      <c r="AM88" s="925"/>
      <c r="AN88" s="925"/>
      <c r="AO88" s="925"/>
      <c r="AP88" s="103"/>
    </row>
    <row r="89" spans="1:49" ht="15" customHeight="1" x14ac:dyDescent="0.25">
      <c r="A89" s="817">
        <v>43306</v>
      </c>
      <c r="B89" s="817" t="s">
        <v>912</v>
      </c>
      <c r="C89" s="917" t="s">
        <v>265</v>
      </c>
      <c r="D89" s="819">
        <v>615</v>
      </c>
      <c r="E89" s="917"/>
      <c r="F89" s="17" t="s">
        <v>1023</v>
      </c>
      <c r="G89" s="201" t="s">
        <v>935</v>
      </c>
      <c r="H89" s="201"/>
      <c r="I89" s="201" t="s">
        <v>367</v>
      </c>
      <c r="J89" s="201" t="s">
        <v>913</v>
      </c>
      <c r="K89" s="201" t="s">
        <v>914</v>
      </c>
      <c r="L89" s="201" t="s">
        <v>937</v>
      </c>
      <c r="M89" s="201"/>
      <c r="N89" s="201"/>
      <c r="O89" s="648">
        <f t="shared" si="3"/>
        <v>705</v>
      </c>
      <c r="P89" s="130">
        <v>705</v>
      </c>
      <c r="Q89" s="16"/>
      <c r="R89" s="17"/>
      <c r="S89" s="436"/>
      <c r="T89" s="18"/>
      <c r="U89" s="19"/>
      <c r="V89" s="41"/>
      <c r="W89" s="187"/>
      <c r="X89" s="76"/>
      <c r="Y89" s="437"/>
      <c r="Z89" s="306"/>
      <c r="AA89" s="817"/>
      <c r="AB89" s="817"/>
      <c r="AC89" s="925"/>
      <c r="AD89" s="925"/>
      <c r="AE89" s="925"/>
      <c r="AF89" s="925"/>
      <c r="AG89" s="925"/>
      <c r="AH89" s="925"/>
      <c r="AI89" s="834"/>
      <c r="AJ89" s="925"/>
      <c r="AK89" s="925"/>
      <c r="AL89" s="925"/>
      <c r="AM89" s="925"/>
      <c r="AN89" s="925"/>
      <c r="AO89" s="925"/>
    </row>
    <row r="90" spans="1:49" s="270" customFormat="1" ht="15" customHeight="1" x14ac:dyDescent="0.25">
      <c r="A90" s="358">
        <v>43306</v>
      </c>
      <c r="B90" s="358" t="s">
        <v>899</v>
      </c>
      <c r="C90" s="729" t="s">
        <v>91</v>
      </c>
      <c r="D90" s="359">
        <v>616</v>
      </c>
      <c r="E90" s="729" t="s">
        <v>12</v>
      </c>
      <c r="F90" s="813" t="s">
        <v>900</v>
      </c>
      <c r="G90" s="729" t="s">
        <v>472</v>
      </c>
      <c r="H90" s="729" t="s">
        <v>901</v>
      </c>
      <c r="I90" s="729" t="s">
        <v>9</v>
      </c>
      <c r="J90" s="729" t="s">
        <v>902</v>
      </c>
      <c r="K90" s="729" t="s">
        <v>903</v>
      </c>
      <c r="L90" s="729" t="s">
        <v>1305</v>
      </c>
      <c r="M90" s="729">
        <v>529313</v>
      </c>
      <c r="N90" s="729">
        <v>4692652</v>
      </c>
      <c r="O90" s="648">
        <f t="shared" si="3"/>
        <v>9</v>
      </c>
      <c r="P90" s="130">
        <v>9</v>
      </c>
      <c r="Q90" s="16"/>
      <c r="R90" s="17"/>
      <c r="S90" s="298"/>
      <c r="T90" s="18"/>
      <c r="U90" s="19"/>
      <c r="V90" s="41"/>
      <c r="W90" s="187"/>
      <c r="X90" s="76"/>
      <c r="Y90" s="300"/>
      <c r="Z90" s="306"/>
      <c r="AA90" s="358">
        <v>43307</v>
      </c>
      <c r="AB90" s="358">
        <v>43307</v>
      </c>
      <c r="AC90" s="729" t="s">
        <v>311</v>
      </c>
      <c r="AD90" s="729" t="s">
        <v>94</v>
      </c>
      <c r="AE90" s="729" t="s">
        <v>313</v>
      </c>
      <c r="AF90" s="729" t="s">
        <v>314</v>
      </c>
      <c r="AG90" s="729" t="s">
        <v>313</v>
      </c>
      <c r="AH90" s="729" t="s">
        <v>314</v>
      </c>
      <c r="AI90" s="834"/>
      <c r="AJ90" s="729" t="s">
        <v>314</v>
      </c>
      <c r="AK90" s="729" t="s">
        <v>314</v>
      </c>
      <c r="AL90" s="729" t="s">
        <v>315</v>
      </c>
      <c r="AM90" s="729" t="s">
        <v>313</v>
      </c>
      <c r="AN90" s="729" t="s">
        <v>315</v>
      </c>
      <c r="AO90" s="729" t="s">
        <v>321</v>
      </c>
      <c r="AP90" s="103"/>
      <c r="AQ90" s="2"/>
      <c r="AR90" s="2"/>
      <c r="AS90" s="2"/>
      <c r="AT90" s="2"/>
      <c r="AU90" s="2"/>
      <c r="AW90" s="2"/>
    </row>
    <row r="91" spans="1:49" s="270" customFormat="1" ht="15" customHeight="1" x14ac:dyDescent="0.25">
      <c r="A91" s="817">
        <v>43306</v>
      </c>
      <c r="B91" s="817" t="s">
        <v>940</v>
      </c>
      <c r="C91" s="917"/>
      <c r="D91" s="819">
        <v>625</v>
      </c>
      <c r="E91" s="917" t="s">
        <v>13</v>
      </c>
      <c r="F91" s="18" t="s">
        <v>918</v>
      </c>
      <c r="G91" s="917"/>
      <c r="H91" s="917"/>
      <c r="I91" s="917" t="s">
        <v>367</v>
      </c>
      <c r="J91" s="917" t="s">
        <v>938</v>
      </c>
      <c r="K91" s="917" t="s">
        <v>939</v>
      </c>
      <c r="L91" s="917" t="s">
        <v>1308</v>
      </c>
      <c r="M91" s="917">
        <v>497403</v>
      </c>
      <c r="N91" s="917">
        <v>4703617</v>
      </c>
      <c r="O91" s="648">
        <f t="shared" si="3"/>
        <v>664</v>
      </c>
      <c r="P91" s="130">
        <v>664</v>
      </c>
      <c r="Q91" s="16"/>
      <c r="R91" s="17"/>
      <c r="S91" s="346"/>
      <c r="T91" s="18"/>
      <c r="U91" s="19"/>
      <c r="V91" s="41"/>
      <c r="W91" s="187"/>
      <c r="X91" s="76"/>
      <c r="Y91" s="347"/>
      <c r="Z91" s="306"/>
      <c r="AA91" s="817"/>
      <c r="AB91" s="817"/>
      <c r="AC91" s="834"/>
      <c r="AD91" s="834"/>
      <c r="AE91" s="834"/>
      <c r="AF91" s="834"/>
      <c r="AG91" s="834"/>
      <c r="AH91" s="834"/>
      <c r="AI91" s="834"/>
      <c r="AJ91" s="834"/>
      <c r="AK91" s="834"/>
      <c r="AL91" s="834"/>
      <c r="AM91" s="834"/>
      <c r="AN91" s="834"/>
      <c r="AO91" s="834"/>
      <c r="AP91" s="103"/>
    </row>
    <row r="92" spans="1:49" s="270" customFormat="1" ht="15" customHeight="1" x14ac:dyDescent="0.25">
      <c r="A92" s="817">
        <v>43307</v>
      </c>
      <c r="B92" s="817" t="s">
        <v>982</v>
      </c>
      <c r="C92" s="925"/>
      <c r="D92" s="819">
        <v>626</v>
      </c>
      <c r="E92" s="925"/>
      <c r="F92" s="18" t="s">
        <v>981</v>
      </c>
      <c r="G92" s="925"/>
      <c r="H92" s="925"/>
      <c r="I92" s="925" t="s">
        <v>367</v>
      </c>
      <c r="J92" s="925"/>
      <c r="K92" s="925"/>
      <c r="L92" s="925"/>
      <c r="M92" s="925"/>
      <c r="N92" s="925"/>
      <c r="O92" s="925">
        <f t="shared" si="3"/>
        <v>1619</v>
      </c>
      <c r="P92" s="130">
        <v>1619</v>
      </c>
      <c r="Q92" s="16"/>
      <c r="R92" s="17"/>
      <c r="S92" s="923"/>
      <c r="T92" s="18"/>
      <c r="U92" s="19"/>
      <c r="V92" s="41"/>
      <c r="W92" s="187"/>
      <c r="X92" s="76"/>
      <c r="Y92" s="924"/>
      <c r="Z92" s="306"/>
      <c r="AA92" s="817"/>
      <c r="AB92" s="817"/>
      <c r="AC92" s="834"/>
      <c r="AD92" s="834"/>
      <c r="AE92" s="834"/>
      <c r="AF92" s="834"/>
      <c r="AG92" s="834"/>
      <c r="AH92" s="834"/>
      <c r="AI92" s="834"/>
      <c r="AJ92" s="834"/>
      <c r="AK92" s="834"/>
      <c r="AL92" s="834"/>
      <c r="AM92" s="834"/>
      <c r="AN92" s="834"/>
      <c r="AO92" s="834"/>
      <c r="AP92" s="103"/>
    </row>
    <row r="93" spans="1:49" ht="15" customHeight="1" x14ac:dyDescent="0.25">
      <c r="A93" s="817">
        <v>43311</v>
      </c>
      <c r="B93" s="817" t="s">
        <v>946</v>
      </c>
      <c r="C93" s="925" t="s">
        <v>91</v>
      </c>
      <c r="D93" s="819">
        <v>657</v>
      </c>
      <c r="E93" s="925"/>
      <c r="F93" s="78" t="s">
        <v>945</v>
      </c>
      <c r="G93" s="925" t="s">
        <v>332</v>
      </c>
      <c r="H93" s="925" t="s">
        <v>970</v>
      </c>
      <c r="I93" s="925" t="s">
        <v>172</v>
      </c>
      <c r="J93" s="925" t="s">
        <v>979</v>
      </c>
      <c r="K93" s="925" t="s">
        <v>980</v>
      </c>
      <c r="L93" s="925" t="s">
        <v>1310</v>
      </c>
      <c r="M93" s="925"/>
      <c r="N93" s="925"/>
      <c r="O93" s="666">
        <f t="shared" si="3"/>
        <v>0.2</v>
      </c>
      <c r="P93" s="130"/>
      <c r="Q93" s="16"/>
      <c r="R93" s="17"/>
      <c r="S93" s="664"/>
      <c r="T93" s="18"/>
      <c r="U93" s="19"/>
      <c r="V93" s="41"/>
      <c r="W93" s="187"/>
      <c r="X93" s="76"/>
      <c r="Y93" s="665">
        <v>0.2</v>
      </c>
      <c r="Z93" s="306"/>
      <c r="AA93" s="817"/>
      <c r="AB93" s="817"/>
      <c r="AC93" s="834"/>
      <c r="AD93" s="834"/>
      <c r="AE93" s="834"/>
      <c r="AF93" s="834"/>
      <c r="AG93" s="834"/>
      <c r="AH93" s="834"/>
      <c r="AI93" s="834"/>
      <c r="AJ93" s="834"/>
      <c r="AK93" s="834"/>
      <c r="AL93" s="834"/>
      <c r="AM93" s="834"/>
      <c r="AN93" s="834"/>
      <c r="AO93" s="834"/>
    </row>
    <row r="94" spans="1:49" ht="15" customHeight="1" x14ac:dyDescent="0.25">
      <c r="A94" s="358">
        <v>43317</v>
      </c>
      <c r="B94" s="358" t="s">
        <v>974</v>
      </c>
      <c r="C94" s="729" t="s">
        <v>95</v>
      </c>
      <c r="D94" s="359">
        <v>741</v>
      </c>
      <c r="E94" s="729" t="s">
        <v>10</v>
      </c>
      <c r="F94" s="813" t="s">
        <v>971</v>
      </c>
      <c r="G94" s="729" t="s">
        <v>344</v>
      </c>
      <c r="H94" s="729" t="s">
        <v>970</v>
      </c>
      <c r="I94" s="729" t="s">
        <v>8</v>
      </c>
      <c r="J94" s="729" t="s">
        <v>973</v>
      </c>
      <c r="K94" s="729" t="s">
        <v>972</v>
      </c>
      <c r="L94" s="729" t="s">
        <v>1311</v>
      </c>
      <c r="M94" s="729">
        <v>563769</v>
      </c>
      <c r="N94" s="729">
        <v>4814467</v>
      </c>
      <c r="O94" s="648">
        <f t="shared" si="3"/>
        <v>4.3</v>
      </c>
      <c r="P94" s="130"/>
      <c r="Q94" s="16"/>
      <c r="R94" s="17">
        <v>4.3</v>
      </c>
      <c r="S94" s="298"/>
      <c r="T94" s="18"/>
      <c r="U94" s="19"/>
      <c r="V94" s="41"/>
      <c r="W94" s="187"/>
      <c r="X94" s="76"/>
      <c r="Y94" s="300"/>
      <c r="Z94" s="306"/>
      <c r="AA94" s="358">
        <v>43317</v>
      </c>
      <c r="AB94" s="358">
        <v>43317</v>
      </c>
      <c r="AC94" s="729" t="s">
        <v>311</v>
      </c>
      <c r="AD94" s="729" t="s">
        <v>312</v>
      </c>
      <c r="AE94" s="729" t="s">
        <v>313</v>
      </c>
      <c r="AF94" s="729" t="s">
        <v>314</v>
      </c>
      <c r="AG94" s="729" t="s">
        <v>314</v>
      </c>
      <c r="AH94" s="729" t="s">
        <v>314</v>
      </c>
      <c r="AI94" s="834"/>
      <c r="AJ94" s="729" t="s">
        <v>314</v>
      </c>
      <c r="AK94" s="729" t="s">
        <v>313</v>
      </c>
      <c r="AL94" s="729" t="s">
        <v>315</v>
      </c>
      <c r="AM94" s="729" t="s">
        <v>315</v>
      </c>
      <c r="AN94" s="729" t="s">
        <v>315</v>
      </c>
      <c r="AO94" s="729" t="s">
        <v>316</v>
      </c>
    </row>
    <row r="95" spans="1:49" ht="15" customHeight="1" x14ac:dyDescent="0.25">
      <c r="A95" s="358">
        <v>43317</v>
      </c>
      <c r="B95" s="358" t="s">
        <v>976</v>
      </c>
      <c r="C95" s="729" t="s">
        <v>91</v>
      </c>
      <c r="D95" s="359">
        <v>742</v>
      </c>
      <c r="E95" s="729" t="s">
        <v>11</v>
      </c>
      <c r="F95" s="813" t="s">
        <v>975</v>
      </c>
      <c r="G95" s="729" t="s">
        <v>472</v>
      </c>
      <c r="H95" s="729"/>
      <c r="I95" s="729" t="s">
        <v>8</v>
      </c>
      <c r="J95" s="729" t="s">
        <v>977</v>
      </c>
      <c r="K95" s="729" t="s">
        <v>1313</v>
      </c>
      <c r="L95" s="729" t="s">
        <v>978</v>
      </c>
      <c r="M95" s="729">
        <v>619574</v>
      </c>
      <c r="N95" s="729">
        <v>4761569</v>
      </c>
      <c r="O95" s="648">
        <f t="shared" si="3"/>
        <v>0.25</v>
      </c>
      <c r="P95" s="130">
        <v>0.25</v>
      </c>
      <c r="Q95" s="16"/>
      <c r="R95" s="17"/>
      <c r="S95" s="342"/>
      <c r="T95" s="18"/>
      <c r="U95" s="19"/>
      <c r="V95" s="41"/>
      <c r="W95" s="187"/>
      <c r="X95" s="76"/>
      <c r="Y95" s="343"/>
      <c r="Z95" s="306"/>
      <c r="AA95" s="733">
        <v>43317</v>
      </c>
      <c r="AB95" s="733">
        <v>43317</v>
      </c>
      <c r="AC95" s="730" t="s">
        <v>311</v>
      </c>
      <c r="AD95" s="730" t="s">
        <v>312</v>
      </c>
      <c r="AE95" s="730" t="s">
        <v>313</v>
      </c>
      <c r="AF95" s="730" t="s">
        <v>314</v>
      </c>
      <c r="AG95" s="730" t="s">
        <v>314</v>
      </c>
      <c r="AH95" s="730" t="s">
        <v>314</v>
      </c>
      <c r="AI95" s="834"/>
      <c r="AJ95" s="730" t="s">
        <v>314</v>
      </c>
      <c r="AK95" s="730" t="s">
        <v>313</v>
      </c>
      <c r="AL95" s="730" t="s">
        <v>315</v>
      </c>
      <c r="AM95" s="730" t="s">
        <v>315</v>
      </c>
      <c r="AN95" s="730" t="s">
        <v>315</v>
      </c>
      <c r="AO95" s="926" t="s">
        <v>392</v>
      </c>
    </row>
    <row r="96" spans="1:49" ht="15" customHeight="1" x14ac:dyDescent="0.25">
      <c r="A96" s="358">
        <v>43317</v>
      </c>
      <c r="B96" s="358" t="s">
        <v>994</v>
      </c>
      <c r="C96" s="729" t="s">
        <v>91</v>
      </c>
      <c r="D96" s="359">
        <v>746</v>
      </c>
      <c r="E96" s="729" t="s">
        <v>11</v>
      </c>
      <c r="F96" s="813" t="s">
        <v>995</v>
      </c>
      <c r="G96" s="729" t="s">
        <v>344</v>
      </c>
      <c r="H96" s="729" t="s">
        <v>996</v>
      </c>
      <c r="I96" s="729" t="s">
        <v>8</v>
      </c>
      <c r="J96" s="729" t="s">
        <v>1326</v>
      </c>
      <c r="K96" s="729" t="s">
        <v>997</v>
      </c>
      <c r="L96" s="729" t="s">
        <v>1327</v>
      </c>
      <c r="M96" s="729">
        <v>562155</v>
      </c>
      <c r="N96" s="729">
        <v>4800545</v>
      </c>
      <c r="O96" s="648">
        <f t="shared" si="3"/>
        <v>0.25</v>
      </c>
      <c r="P96" s="130">
        <v>0.25</v>
      </c>
      <c r="Q96" s="16"/>
      <c r="R96" s="17"/>
      <c r="S96" s="346"/>
      <c r="T96" s="18"/>
      <c r="U96" s="19"/>
      <c r="V96" s="41"/>
      <c r="W96" s="187"/>
      <c r="X96" s="76"/>
      <c r="Y96" s="347"/>
      <c r="Z96" s="306"/>
      <c r="AA96" s="358">
        <v>43317</v>
      </c>
      <c r="AB96" s="358">
        <v>43317</v>
      </c>
      <c r="AC96" s="729" t="s">
        <v>311</v>
      </c>
      <c r="AD96" s="729" t="s">
        <v>312</v>
      </c>
      <c r="AE96" s="729" t="s">
        <v>313</v>
      </c>
      <c r="AF96" s="729" t="s">
        <v>314</v>
      </c>
      <c r="AG96" s="729" t="s">
        <v>314</v>
      </c>
      <c r="AH96" s="729" t="s">
        <v>313</v>
      </c>
      <c r="AI96" s="834"/>
      <c r="AJ96" s="729" t="s">
        <v>314</v>
      </c>
      <c r="AK96" s="729" t="s">
        <v>313</v>
      </c>
      <c r="AL96" s="729" t="s">
        <v>315</v>
      </c>
      <c r="AM96" s="729" t="s">
        <v>315</v>
      </c>
      <c r="AN96" s="729" t="s">
        <v>315</v>
      </c>
      <c r="AO96" s="729" t="s">
        <v>392</v>
      </c>
    </row>
    <row r="97" spans="1:49" ht="15" customHeight="1" x14ac:dyDescent="0.25">
      <c r="A97" s="358">
        <v>43318</v>
      </c>
      <c r="B97" s="358" t="s">
        <v>1009</v>
      </c>
      <c r="C97" s="729" t="s">
        <v>266</v>
      </c>
      <c r="D97" s="359">
        <v>761</v>
      </c>
      <c r="E97" s="729" t="s">
        <v>10</v>
      </c>
      <c r="F97" s="813" t="s">
        <v>1001</v>
      </c>
      <c r="G97" s="729" t="s">
        <v>681</v>
      </c>
      <c r="H97" s="729"/>
      <c r="I97" s="729" t="s">
        <v>8</v>
      </c>
      <c r="J97" s="729" t="s">
        <v>1010</v>
      </c>
      <c r="K97" s="729" t="s">
        <v>1011</v>
      </c>
      <c r="L97" s="729" t="s">
        <v>1012</v>
      </c>
      <c r="M97" s="729">
        <v>580892</v>
      </c>
      <c r="N97" s="729">
        <v>4825694</v>
      </c>
      <c r="O97" s="648">
        <f t="shared" si="3"/>
        <v>16</v>
      </c>
      <c r="P97" s="15"/>
      <c r="Q97" s="16"/>
      <c r="R97" s="17"/>
      <c r="S97" s="585">
        <v>10</v>
      </c>
      <c r="T97" s="18"/>
      <c r="U97" s="19"/>
      <c r="V97" s="41">
        <v>6</v>
      </c>
      <c r="W97" s="187"/>
      <c r="X97" s="76"/>
      <c r="Y97" s="584"/>
      <c r="Z97" s="82"/>
      <c r="AA97" s="358">
        <v>43318</v>
      </c>
      <c r="AB97" s="358">
        <v>43319</v>
      </c>
      <c r="AC97" s="729" t="s">
        <v>311</v>
      </c>
      <c r="AD97" s="729" t="s">
        <v>94</v>
      </c>
      <c r="AE97" s="729" t="s">
        <v>313</v>
      </c>
      <c r="AF97" s="729" t="s">
        <v>313</v>
      </c>
      <c r="AG97" s="729" t="s">
        <v>314</v>
      </c>
      <c r="AH97" s="729" t="s">
        <v>314</v>
      </c>
      <c r="AI97" s="834"/>
      <c r="AJ97" s="729" t="s">
        <v>314</v>
      </c>
      <c r="AK97" s="729" t="s">
        <v>314</v>
      </c>
      <c r="AL97" s="729" t="s">
        <v>313</v>
      </c>
      <c r="AM97" s="729" t="s">
        <v>313</v>
      </c>
      <c r="AN97" s="729" t="s">
        <v>313</v>
      </c>
      <c r="AO97" s="729" t="s">
        <v>321</v>
      </c>
    </row>
    <row r="98" spans="1:49" s="270" customFormat="1" ht="15" customHeight="1" x14ac:dyDescent="0.25">
      <c r="A98" s="817">
        <v>43319</v>
      </c>
      <c r="B98" s="817" t="s">
        <v>1112</v>
      </c>
      <c r="C98" s="938" t="s">
        <v>91</v>
      </c>
      <c r="D98" s="819">
        <v>774</v>
      </c>
      <c r="E98" s="938"/>
      <c r="F98" s="938" t="s">
        <v>1111</v>
      </c>
      <c r="G98" s="938"/>
      <c r="H98" s="938"/>
      <c r="I98" s="938" t="s">
        <v>327</v>
      </c>
      <c r="J98" s="938" t="s">
        <v>1113</v>
      </c>
      <c r="K98" s="938" t="s">
        <v>1114</v>
      </c>
      <c r="L98" s="938" t="s">
        <v>1115</v>
      </c>
      <c r="M98" s="938"/>
      <c r="N98" s="938"/>
      <c r="O98" s="938">
        <f t="shared" si="3"/>
        <v>0</v>
      </c>
      <c r="P98" s="15"/>
      <c r="Q98" s="16"/>
      <c r="R98" s="17"/>
      <c r="S98" s="937"/>
      <c r="T98" s="18"/>
      <c r="U98" s="19"/>
      <c r="V98" s="41"/>
      <c r="W98" s="187"/>
      <c r="X98" s="76"/>
      <c r="Y98" s="936"/>
      <c r="Z98" s="82"/>
      <c r="AA98" s="817"/>
      <c r="AB98" s="817"/>
      <c r="AC98" s="938"/>
      <c r="AD98" s="938"/>
      <c r="AE98" s="938"/>
      <c r="AF98" s="938"/>
      <c r="AG98" s="938"/>
      <c r="AH98" s="938"/>
      <c r="AI98" s="834"/>
      <c r="AJ98" s="938"/>
      <c r="AK98" s="938"/>
      <c r="AL98" s="938"/>
      <c r="AM98" s="938"/>
      <c r="AN98" s="938"/>
      <c r="AO98" s="938"/>
      <c r="AP98" s="103"/>
    </row>
    <row r="99" spans="1:49" ht="15" customHeight="1" x14ac:dyDescent="0.25">
      <c r="A99" s="358">
        <v>43319</v>
      </c>
      <c r="B99" s="358" t="s">
        <v>1020</v>
      </c>
      <c r="C99" s="729" t="s">
        <v>91</v>
      </c>
      <c r="D99" s="359">
        <v>776</v>
      </c>
      <c r="E99" s="729" t="s">
        <v>10</v>
      </c>
      <c r="F99" s="813" t="s">
        <v>1019</v>
      </c>
      <c r="G99" s="729" t="s">
        <v>472</v>
      </c>
      <c r="H99" s="729"/>
      <c r="I99" s="729" t="s">
        <v>8</v>
      </c>
      <c r="J99" s="729" t="s">
        <v>730</v>
      </c>
      <c r="K99" s="729" t="s">
        <v>1021</v>
      </c>
      <c r="L99" s="729" t="s">
        <v>1022</v>
      </c>
      <c r="M99" s="729">
        <v>633717</v>
      </c>
      <c r="N99" s="729">
        <v>4757423</v>
      </c>
      <c r="O99" s="648">
        <f t="shared" si="3"/>
        <v>0.5</v>
      </c>
      <c r="P99" s="130">
        <v>0.5</v>
      </c>
      <c r="Q99" s="16"/>
      <c r="R99" s="17"/>
      <c r="S99" s="298"/>
      <c r="T99" s="18"/>
      <c r="U99" s="19"/>
      <c r="V99" s="41"/>
      <c r="W99" s="187"/>
      <c r="X99" s="76"/>
      <c r="Y99" s="300"/>
      <c r="Z99" s="306"/>
      <c r="AA99" s="358">
        <v>43319</v>
      </c>
      <c r="AB99" s="358">
        <v>43319</v>
      </c>
      <c r="AC99" s="729" t="s">
        <v>311</v>
      </c>
      <c r="AD99" s="729" t="s">
        <v>2</v>
      </c>
      <c r="AE99" s="729" t="s">
        <v>313</v>
      </c>
      <c r="AF99" s="729" t="s">
        <v>314</v>
      </c>
      <c r="AG99" s="729" t="s">
        <v>314</v>
      </c>
      <c r="AH99" s="729" t="s">
        <v>314</v>
      </c>
      <c r="AI99" s="834"/>
      <c r="AJ99" s="729" t="s">
        <v>314</v>
      </c>
      <c r="AK99" s="729" t="s">
        <v>313</v>
      </c>
      <c r="AL99" s="729" t="s">
        <v>315</v>
      </c>
      <c r="AM99" s="729" t="s">
        <v>315</v>
      </c>
      <c r="AN99" s="729" t="s">
        <v>315</v>
      </c>
      <c r="AO99" s="729" t="s">
        <v>316</v>
      </c>
    </row>
    <row r="100" spans="1:49" s="270" customFormat="1" ht="15" customHeight="1" x14ac:dyDescent="0.25">
      <c r="A100" s="817">
        <v>43322</v>
      </c>
      <c r="B100" s="817" t="s">
        <v>1116</v>
      </c>
      <c r="C100" s="938" t="s">
        <v>265</v>
      </c>
      <c r="D100" s="819">
        <v>811</v>
      </c>
      <c r="E100" s="938"/>
      <c r="F100" s="938" t="s">
        <v>1117</v>
      </c>
      <c r="G100" s="938"/>
      <c r="H100" s="938"/>
      <c r="I100" s="938" t="s">
        <v>327</v>
      </c>
      <c r="J100" s="938" t="s">
        <v>1118</v>
      </c>
      <c r="K100" s="938" t="s">
        <v>1119</v>
      </c>
      <c r="L100" s="938" t="s">
        <v>1120</v>
      </c>
      <c r="M100" s="938"/>
      <c r="N100" s="938"/>
      <c r="O100" s="938">
        <f t="shared" si="3"/>
        <v>0</v>
      </c>
      <c r="P100" s="130"/>
      <c r="Q100" s="16"/>
      <c r="R100" s="17"/>
      <c r="S100" s="935"/>
      <c r="T100" s="18"/>
      <c r="U100" s="19"/>
      <c r="V100" s="41"/>
      <c r="W100" s="187"/>
      <c r="X100" s="76"/>
      <c r="Y100" s="936"/>
      <c r="Z100" s="306"/>
      <c r="AA100" s="817"/>
      <c r="AB100" s="817"/>
      <c r="AC100" s="938"/>
      <c r="AD100" s="938"/>
      <c r="AE100" s="938"/>
      <c r="AF100" s="938"/>
      <c r="AG100" s="938"/>
      <c r="AH100" s="938"/>
      <c r="AI100" s="834"/>
      <c r="AJ100" s="938"/>
      <c r="AK100" s="938"/>
      <c r="AL100" s="938"/>
      <c r="AM100" s="938"/>
      <c r="AN100" s="938"/>
      <c r="AO100" s="938"/>
      <c r="AP100" s="103"/>
    </row>
    <row r="101" spans="1:49" ht="15" customHeight="1" x14ac:dyDescent="0.25">
      <c r="A101" s="358">
        <v>43324</v>
      </c>
      <c r="B101" s="358" t="s">
        <v>1038</v>
      </c>
      <c r="C101" s="729" t="s">
        <v>206</v>
      </c>
      <c r="D101" s="359">
        <v>831</v>
      </c>
      <c r="E101" s="729" t="s">
        <v>10</v>
      </c>
      <c r="F101" s="813" t="s">
        <v>1037</v>
      </c>
      <c r="G101" s="729" t="s">
        <v>344</v>
      </c>
      <c r="H101" s="729"/>
      <c r="I101" s="729" t="s">
        <v>8</v>
      </c>
      <c r="J101" s="729" t="s">
        <v>1343</v>
      </c>
      <c r="K101" s="729" t="s">
        <v>1039</v>
      </c>
      <c r="L101" s="729" t="s">
        <v>1344</v>
      </c>
      <c r="M101" s="729">
        <v>581442</v>
      </c>
      <c r="N101" s="729">
        <v>4826611</v>
      </c>
      <c r="O101" s="648">
        <f t="shared" si="3"/>
        <v>2.8</v>
      </c>
      <c r="P101" s="130"/>
      <c r="Q101" s="16"/>
      <c r="R101" s="17"/>
      <c r="S101" s="298"/>
      <c r="T101" s="18"/>
      <c r="U101" s="19"/>
      <c r="V101" s="41">
        <v>2.8</v>
      </c>
      <c r="W101" s="187"/>
      <c r="X101" s="76"/>
      <c r="Y101" s="300"/>
      <c r="Z101" s="306"/>
      <c r="AA101" s="358">
        <v>43325</v>
      </c>
      <c r="AB101" s="358">
        <v>43325</v>
      </c>
      <c r="AC101" s="729" t="s">
        <v>311</v>
      </c>
      <c r="AD101" s="729" t="s">
        <v>312</v>
      </c>
      <c r="AE101" s="729" t="s">
        <v>313</v>
      </c>
      <c r="AF101" s="729" t="s">
        <v>313</v>
      </c>
      <c r="AG101" s="729" t="s">
        <v>314</v>
      </c>
      <c r="AH101" s="729" t="s">
        <v>314</v>
      </c>
      <c r="AI101" s="834"/>
      <c r="AJ101" s="729" t="s">
        <v>314</v>
      </c>
      <c r="AK101" s="729" t="s">
        <v>313</v>
      </c>
      <c r="AL101" s="729" t="s">
        <v>313</v>
      </c>
      <c r="AM101" s="729" t="s">
        <v>315</v>
      </c>
      <c r="AN101" s="729" t="s">
        <v>315</v>
      </c>
      <c r="AO101" s="729" t="s">
        <v>316</v>
      </c>
      <c r="AQ101" s="270"/>
      <c r="AR101" s="270"/>
      <c r="AS101" s="270"/>
      <c r="AT101" s="270"/>
      <c r="AU101" s="270"/>
    </row>
    <row r="102" spans="1:49" ht="16.5" customHeight="1" x14ac:dyDescent="0.25">
      <c r="A102" s="358">
        <v>43325</v>
      </c>
      <c r="B102" s="358" t="s">
        <v>1049</v>
      </c>
      <c r="C102" s="729" t="s">
        <v>266</v>
      </c>
      <c r="D102" s="359">
        <v>838</v>
      </c>
      <c r="E102" s="729" t="s">
        <v>10</v>
      </c>
      <c r="F102" s="813" t="s">
        <v>1050</v>
      </c>
      <c r="G102" s="729" t="s">
        <v>1053</v>
      </c>
      <c r="H102" s="729"/>
      <c r="I102" s="729" t="s">
        <v>8</v>
      </c>
      <c r="J102" s="729" t="s">
        <v>1054</v>
      </c>
      <c r="K102" s="729" t="s">
        <v>1055</v>
      </c>
      <c r="L102" s="729" t="s">
        <v>1345</v>
      </c>
      <c r="M102" s="729">
        <v>558816</v>
      </c>
      <c r="N102" s="729">
        <v>4815801</v>
      </c>
      <c r="O102" s="648">
        <f t="shared" si="3"/>
        <v>2</v>
      </c>
      <c r="P102" s="15"/>
      <c r="Q102" s="16"/>
      <c r="R102" s="17"/>
      <c r="S102" s="585">
        <v>2</v>
      </c>
      <c r="T102" s="18"/>
      <c r="U102" s="19"/>
      <c r="V102" s="41"/>
      <c r="W102" s="187"/>
      <c r="X102" s="76"/>
      <c r="Y102" s="584"/>
      <c r="Z102" s="82"/>
      <c r="AA102" s="358">
        <v>43326</v>
      </c>
      <c r="AB102" s="358">
        <v>43326</v>
      </c>
      <c r="AC102" s="729" t="s">
        <v>311</v>
      </c>
      <c r="AD102" s="729" t="s">
        <v>312</v>
      </c>
      <c r="AE102" s="729" t="s">
        <v>313</v>
      </c>
      <c r="AF102" s="729" t="s">
        <v>313</v>
      </c>
      <c r="AG102" s="729" t="s">
        <v>314</v>
      </c>
      <c r="AH102" s="729" t="s">
        <v>313</v>
      </c>
      <c r="AI102" s="834"/>
      <c r="AJ102" s="729" t="s">
        <v>314</v>
      </c>
      <c r="AK102" s="729" t="s">
        <v>313</v>
      </c>
      <c r="AL102" s="729" t="s">
        <v>315</v>
      </c>
      <c r="AM102" s="729" t="s">
        <v>315</v>
      </c>
      <c r="AN102" s="729" t="s">
        <v>315</v>
      </c>
      <c r="AO102" s="729" t="s">
        <v>316</v>
      </c>
    </row>
    <row r="103" spans="1:49" ht="16.5" customHeight="1" x14ac:dyDescent="0.25">
      <c r="A103" s="358">
        <v>43325</v>
      </c>
      <c r="B103" s="358" t="s">
        <v>1052</v>
      </c>
      <c r="C103" s="729" t="s">
        <v>91</v>
      </c>
      <c r="D103" s="359">
        <v>839</v>
      </c>
      <c r="E103" s="729" t="s">
        <v>10</v>
      </c>
      <c r="F103" s="813" t="s">
        <v>1051</v>
      </c>
      <c r="G103" s="729" t="s">
        <v>344</v>
      </c>
      <c r="H103" s="729"/>
      <c r="I103" s="729" t="s">
        <v>8</v>
      </c>
      <c r="J103" s="729" t="s">
        <v>1346</v>
      </c>
      <c r="K103" s="729" t="s">
        <v>1056</v>
      </c>
      <c r="L103" s="729" t="s">
        <v>1347</v>
      </c>
      <c r="M103" s="729">
        <v>558674</v>
      </c>
      <c r="N103" s="729">
        <v>4814443</v>
      </c>
      <c r="O103" s="648">
        <f t="shared" si="3"/>
        <v>37</v>
      </c>
      <c r="P103" s="130">
        <v>37</v>
      </c>
      <c r="Q103" s="16"/>
      <c r="R103" s="17"/>
      <c r="S103" s="298"/>
      <c r="T103" s="18"/>
      <c r="U103" s="19"/>
      <c r="V103" s="41"/>
      <c r="W103" s="187"/>
      <c r="X103" s="76"/>
      <c r="Y103" s="300"/>
      <c r="Z103" s="306"/>
      <c r="AA103" s="358">
        <v>43326</v>
      </c>
      <c r="AB103" s="358">
        <v>43327</v>
      </c>
      <c r="AC103" s="729" t="s">
        <v>311</v>
      </c>
      <c r="AD103" s="729" t="s">
        <v>94</v>
      </c>
      <c r="AE103" s="729" t="s">
        <v>313</v>
      </c>
      <c r="AF103" s="729" t="s">
        <v>314</v>
      </c>
      <c r="AG103" s="729" t="s">
        <v>314</v>
      </c>
      <c r="AH103" s="729" t="s">
        <v>313</v>
      </c>
      <c r="AI103" s="834"/>
      <c r="AJ103" s="729" t="s">
        <v>314</v>
      </c>
      <c r="AK103" s="729" t="s">
        <v>313</v>
      </c>
      <c r="AL103" s="729" t="s">
        <v>315</v>
      </c>
      <c r="AM103" s="729" t="s">
        <v>315</v>
      </c>
      <c r="AN103" s="729" t="s">
        <v>315</v>
      </c>
      <c r="AO103" s="729" t="s">
        <v>321</v>
      </c>
      <c r="AQ103" s="270"/>
      <c r="AR103" s="270"/>
      <c r="AS103" s="270"/>
      <c r="AT103" s="270"/>
      <c r="AU103" s="270"/>
    </row>
    <row r="104" spans="1:49" ht="16.5" customHeight="1" x14ac:dyDescent="0.25">
      <c r="A104" s="358">
        <v>43327</v>
      </c>
      <c r="B104" s="358" t="s">
        <v>1058</v>
      </c>
      <c r="C104" s="729" t="s">
        <v>256</v>
      </c>
      <c r="D104" s="359">
        <v>843</v>
      </c>
      <c r="E104" s="729" t="s">
        <v>10</v>
      </c>
      <c r="F104" s="813" t="s">
        <v>1057</v>
      </c>
      <c r="G104" s="729" t="s">
        <v>344</v>
      </c>
      <c r="H104" s="729"/>
      <c r="I104" s="729" t="s">
        <v>8</v>
      </c>
      <c r="J104" s="729" t="s">
        <v>1059</v>
      </c>
      <c r="K104" s="729" t="s">
        <v>1060</v>
      </c>
      <c r="L104" s="729" t="s">
        <v>1348</v>
      </c>
      <c r="M104" s="729">
        <v>586520</v>
      </c>
      <c r="N104" s="729">
        <v>4808651</v>
      </c>
      <c r="O104" s="648">
        <f t="shared" si="3"/>
        <v>45</v>
      </c>
      <c r="P104" s="130">
        <v>10</v>
      </c>
      <c r="Q104" s="16"/>
      <c r="R104" s="17">
        <v>23</v>
      </c>
      <c r="S104" s="298">
        <v>12</v>
      </c>
      <c r="T104" s="18"/>
      <c r="U104" s="19"/>
      <c r="V104" s="41"/>
      <c r="W104" s="187"/>
      <c r="X104" s="76"/>
      <c r="Y104" s="300"/>
      <c r="Z104" s="306"/>
      <c r="AA104" s="358">
        <v>43327</v>
      </c>
      <c r="AB104" s="358">
        <v>43327</v>
      </c>
      <c r="AC104" s="729" t="s">
        <v>311</v>
      </c>
      <c r="AD104" s="729" t="s">
        <v>2</v>
      </c>
      <c r="AE104" s="729" t="s">
        <v>313</v>
      </c>
      <c r="AF104" s="729" t="s">
        <v>313</v>
      </c>
      <c r="AG104" s="729" t="s">
        <v>314</v>
      </c>
      <c r="AH104" s="729" t="s">
        <v>314</v>
      </c>
      <c r="AI104" s="834"/>
      <c r="AJ104" s="729" t="s">
        <v>314</v>
      </c>
      <c r="AK104" s="729" t="s">
        <v>313</v>
      </c>
      <c r="AL104" s="729" t="s">
        <v>315</v>
      </c>
      <c r="AM104" s="729" t="s">
        <v>313</v>
      </c>
      <c r="AN104" s="729" t="s">
        <v>315</v>
      </c>
      <c r="AO104" s="729" t="s">
        <v>321</v>
      </c>
    </row>
    <row r="105" spans="1:49" s="270" customFormat="1" ht="16.5" customHeight="1" x14ac:dyDescent="0.25">
      <c r="A105" s="358">
        <v>43328</v>
      </c>
      <c r="B105" s="358" t="s">
        <v>1064</v>
      </c>
      <c r="C105" s="729" t="s">
        <v>256</v>
      </c>
      <c r="D105" s="359">
        <v>851</v>
      </c>
      <c r="E105" s="729" t="s">
        <v>11</v>
      </c>
      <c r="F105" s="813" t="s">
        <v>1062</v>
      </c>
      <c r="G105" s="729" t="s">
        <v>472</v>
      </c>
      <c r="H105" s="729" t="s">
        <v>1063</v>
      </c>
      <c r="I105" s="729" t="s">
        <v>8</v>
      </c>
      <c r="J105" s="729" t="s">
        <v>1350</v>
      </c>
      <c r="K105" s="729" t="s">
        <v>1065</v>
      </c>
      <c r="L105" s="729" t="s">
        <v>1351</v>
      </c>
      <c r="M105" s="729">
        <v>614837</v>
      </c>
      <c r="N105" s="638">
        <v>4763293</v>
      </c>
      <c r="O105" s="648">
        <f t="shared" si="3"/>
        <v>1</v>
      </c>
      <c r="P105" s="130"/>
      <c r="Q105" s="16"/>
      <c r="R105" s="17"/>
      <c r="S105" s="298">
        <v>1</v>
      </c>
      <c r="T105" s="18"/>
      <c r="U105" s="19"/>
      <c r="V105" s="41"/>
      <c r="W105" s="187"/>
      <c r="X105" s="76"/>
      <c r="Y105" s="300"/>
      <c r="Z105" s="306"/>
      <c r="AA105" s="358">
        <v>43328</v>
      </c>
      <c r="AB105" s="358">
        <v>43328</v>
      </c>
      <c r="AC105" s="729" t="s">
        <v>311</v>
      </c>
      <c r="AD105" s="729" t="s">
        <v>312</v>
      </c>
      <c r="AE105" s="729" t="s">
        <v>313</v>
      </c>
      <c r="AF105" s="729" t="s">
        <v>314</v>
      </c>
      <c r="AG105" s="729" t="s">
        <v>314</v>
      </c>
      <c r="AH105" s="729" t="s">
        <v>314</v>
      </c>
      <c r="AI105" s="834"/>
      <c r="AJ105" s="729" t="s">
        <v>314</v>
      </c>
      <c r="AK105" s="729" t="s">
        <v>313</v>
      </c>
      <c r="AL105" s="729" t="s">
        <v>315</v>
      </c>
      <c r="AM105" s="729" t="s">
        <v>315</v>
      </c>
      <c r="AN105" s="729" t="s">
        <v>315</v>
      </c>
      <c r="AO105" s="729" t="s">
        <v>316</v>
      </c>
      <c r="AP105" s="103"/>
    </row>
    <row r="106" spans="1:49" s="270" customFormat="1" ht="16.5" customHeight="1" x14ac:dyDescent="0.25">
      <c r="A106" s="817">
        <v>43328</v>
      </c>
      <c r="B106" s="817" t="s">
        <v>1121</v>
      </c>
      <c r="C106" s="938" t="s">
        <v>91</v>
      </c>
      <c r="D106" s="819">
        <v>854</v>
      </c>
      <c r="E106" s="938"/>
      <c r="F106" s="938" t="s">
        <v>1122</v>
      </c>
      <c r="G106" s="938"/>
      <c r="H106" s="938"/>
      <c r="I106" s="938" t="s">
        <v>327</v>
      </c>
      <c r="J106" s="938" t="s">
        <v>1123</v>
      </c>
      <c r="K106" s="938" t="s">
        <v>1124</v>
      </c>
      <c r="L106" s="938" t="s">
        <v>1125</v>
      </c>
      <c r="M106" s="938"/>
      <c r="N106" s="940"/>
      <c r="O106" s="938"/>
      <c r="P106" s="130"/>
      <c r="Q106" s="16"/>
      <c r="R106" s="17"/>
      <c r="S106" s="935"/>
      <c r="T106" s="18"/>
      <c r="U106" s="19"/>
      <c r="V106" s="41"/>
      <c r="W106" s="187"/>
      <c r="X106" s="76"/>
      <c r="Y106" s="936"/>
      <c r="Z106" s="306"/>
      <c r="AA106" s="817"/>
      <c r="AB106" s="817"/>
      <c r="AC106" s="938"/>
      <c r="AD106" s="938"/>
      <c r="AE106" s="938"/>
      <c r="AF106" s="938"/>
      <c r="AG106" s="938"/>
      <c r="AH106" s="938"/>
      <c r="AI106" s="834"/>
      <c r="AJ106" s="938"/>
      <c r="AK106" s="938"/>
      <c r="AL106" s="938"/>
      <c r="AM106" s="938"/>
      <c r="AN106" s="938"/>
      <c r="AO106" s="938"/>
      <c r="AP106" s="103"/>
    </row>
    <row r="107" spans="1:49" s="270" customFormat="1" ht="16.5" customHeight="1" x14ac:dyDescent="0.25">
      <c r="A107" s="358">
        <v>43329</v>
      </c>
      <c r="B107" s="358" t="s">
        <v>1083</v>
      </c>
      <c r="C107" s="729" t="s">
        <v>91</v>
      </c>
      <c r="D107" s="359">
        <v>857</v>
      </c>
      <c r="E107" s="729" t="s">
        <v>13</v>
      </c>
      <c r="F107" s="813" t="s">
        <v>1069</v>
      </c>
      <c r="G107" s="729" t="s">
        <v>1081</v>
      </c>
      <c r="H107" s="729"/>
      <c r="I107" s="729" t="s">
        <v>9</v>
      </c>
      <c r="J107" s="729" t="s">
        <v>1094</v>
      </c>
      <c r="K107" s="729" t="s">
        <v>1405</v>
      </c>
      <c r="L107" s="729" t="s">
        <v>1406</v>
      </c>
      <c r="M107" s="729">
        <v>525689</v>
      </c>
      <c r="N107" s="729">
        <v>4719072</v>
      </c>
      <c r="O107" s="648">
        <f t="shared" si="3"/>
        <v>0.25</v>
      </c>
      <c r="P107" s="130">
        <v>0.25</v>
      </c>
      <c r="Q107" s="16"/>
      <c r="R107" s="17"/>
      <c r="S107" s="436"/>
      <c r="T107" s="18"/>
      <c r="U107" s="19"/>
      <c r="V107" s="41"/>
      <c r="W107" s="187"/>
      <c r="X107" s="76"/>
      <c r="Y107" s="437"/>
      <c r="Z107" s="306"/>
      <c r="AA107" s="358">
        <v>43330</v>
      </c>
      <c r="AB107" s="358">
        <v>43330</v>
      </c>
      <c r="AC107" s="729" t="s">
        <v>311</v>
      </c>
      <c r="AD107" s="729" t="s">
        <v>894</v>
      </c>
      <c r="AE107" s="729" t="s">
        <v>313</v>
      </c>
      <c r="AF107" s="729" t="s">
        <v>314</v>
      </c>
      <c r="AG107" s="729" t="s">
        <v>313</v>
      </c>
      <c r="AH107" s="729" t="s">
        <v>314</v>
      </c>
      <c r="AI107" s="834"/>
      <c r="AJ107" s="729" t="s">
        <v>313</v>
      </c>
      <c r="AK107" s="729" t="s">
        <v>314</v>
      </c>
      <c r="AL107" s="729" t="s">
        <v>315</v>
      </c>
      <c r="AM107" s="729" t="s">
        <v>315</v>
      </c>
      <c r="AN107" s="729" t="s">
        <v>315</v>
      </c>
      <c r="AO107" s="729" t="s">
        <v>392</v>
      </c>
      <c r="AP107" s="103"/>
    </row>
    <row r="108" spans="1:49" ht="16.5" customHeight="1" x14ac:dyDescent="0.25">
      <c r="A108" s="358">
        <v>43329</v>
      </c>
      <c r="B108" s="358" t="s">
        <v>1084</v>
      </c>
      <c r="C108" s="729" t="s">
        <v>91</v>
      </c>
      <c r="D108" s="359">
        <v>858</v>
      </c>
      <c r="E108" s="729" t="s">
        <v>12</v>
      </c>
      <c r="F108" s="813" t="s">
        <v>1070</v>
      </c>
      <c r="G108" s="729" t="s">
        <v>1082</v>
      </c>
      <c r="H108" s="729"/>
      <c r="I108" s="729" t="s">
        <v>9</v>
      </c>
      <c r="J108" s="729" t="s">
        <v>1363</v>
      </c>
      <c r="K108" s="729" t="s">
        <v>1364</v>
      </c>
      <c r="L108" s="729" t="s">
        <v>1365</v>
      </c>
      <c r="M108" s="729">
        <v>559170</v>
      </c>
      <c r="N108" s="729">
        <v>4735327</v>
      </c>
      <c r="O108" s="648">
        <f t="shared" si="3"/>
        <v>0.3</v>
      </c>
      <c r="P108" s="130"/>
      <c r="Q108" s="16"/>
      <c r="R108" s="17">
        <v>0.3</v>
      </c>
      <c r="S108" s="436"/>
      <c r="T108" s="18"/>
      <c r="U108" s="19"/>
      <c r="V108" s="41"/>
      <c r="W108" s="187"/>
      <c r="X108" s="76"/>
      <c r="Y108" s="437"/>
      <c r="Z108" s="306"/>
      <c r="AA108" s="358">
        <v>43329</v>
      </c>
      <c r="AB108" s="358">
        <v>43329</v>
      </c>
      <c r="AC108" s="729" t="s">
        <v>311</v>
      </c>
      <c r="AD108" s="729" t="s">
        <v>2</v>
      </c>
      <c r="AE108" s="729" t="s">
        <v>314</v>
      </c>
      <c r="AF108" s="729" t="s">
        <v>314</v>
      </c>
      <c r="AG108" s="729" t="s">
        <v>313</v>
      </c>
      <c r="AH108" s="729" t="s">
        <v>314</v>
      </c>
      <c r="AI108" s="834"/>
      <c r="AJ108" s="729" t="s">
        <v>314</v>
      </c>
      <c r="AK108" s="729" t="s">
        <v>314</v>
      </c>
      <c r="AL108" s="729" t="s">
        <v>315</v>
      </c>
      <c r="AM108" s="729" t="s">
        <v>315</v>
      </c>
      <c r="AN108" s="729" t="s">
        <v>313</v>
      </c>
      <c r="AO108" s="729" t="s">
        <v>316</v>
      </c>
      <c r="AW108" s="270"/>
    </row>
    <row r="109" spans="1:49" ht="16.5" customHeight="1" x14ac:dyDescent="0.25">
      <c r="A109" s="358">
        <v>43329</v>
      </c>
      <c r="B109" s="358" t="s">
        <v>1085</v>
      </c>
      <c r="C109" s="729" t="s">
        <v>91</v>
      </c>
      <c r="D109" s="359">
        <v>860</v>
      </c>
      <c r="E109" s="729" t="s">
        <v>10</v>
      </c>
      <c r="F109" s="813" t="s">
        <v>1071</v>
      </c>
      <c r="G109" s="729" t="s">
        <v>823</v>
      </c>
      <c r="H109" s="729"/>
      <c r="I109" s="729" t="s">
        <v>9</v>
      </c>
      <c r="J109" s="729" t="s">
        <v>1368</v>
      </c>
      <c r="K109" s="729" t="s">
        <v>1369</v>
      </c>
      <c r="L109" s="729" t="s">
        <v>1370</v>
      </c>
      <c r="M109" s="729">
        <v>611167</v>
      </c>
      <c r="N109" s="729">
        <v>4780712</v>
      </c>
      <c r="O109" s="648">
        <f t="shared" si="3"/>
        <v>0.1</v>
      </c>
      <c r="P109" s="130">
        <v>0.1</v>
      </c>
      <c r="Q109" s="16"/>
      <c r="R109" s="17"/>
      <c r="S109" s="298"/>
      <c r="T109" s="18"/>
      <c r="U109" s="19"/>
      <c r="V109" s="41"/>
      <c r="W109" s="187"/>
      <c r="X109" s="76"/>
      <c r="Y109" s="300"/>
      <c r="Z109" s="306"/>
      <c r="AA109" s="358">
        <v>43329</v>
      </c>
      <c r="AB109" s="358">
        <v>43329</v>
      </c>
      <c r="AC109" s="729" t="s">
        <v>311</v>
      </c>
      <c r="AD109" s="729" t="s">
        <v>312</v>
      </c>
      <c r="AE109" s="729" t="s">
        <v>313</v>
      </c>
      <c r="AF109" s="729" t="s">
        <v>314</v>
      </c>
      <c r="AG109" s="729" t="s">
        <v>313</v>
      </c>
      <c r="AH109" s="729" t="s">
        <v>314</v>
      </c>
      <c r="AI109" s="834"/>
      <c r="AJ109" s="729" t="s">
        <v>314</v>
      </c>
      <c r="AK109" s="729" t="s">
        <v>313</v>
      </c>
      <c r="AL109" s="729" t="s">
        <v>315</v>
      </c>
      <c r="AM109" s="729" t="s">
        <v>315</v>
      </c>
      <c r="AN109" s="729" t="s">
        <v>315</v>
      </c>
      <c r="AO109" s="729" t="s">
        <v>392</v>
      </c>
    </row>
    <row r="110" spans="1:49" s="270" customFormat="1" ht="16.5" customHeight="1" x14ac:dyDescent="0.25">
      <c r="A110" s="358">
        <v>43329</v>
      </c>
      <c r="B110" s="358" t="s">
        <v>1086</v>
      </c>
      <c r="C110" s="729" t="s">
        <v>91</v>
      </c>
      <c r="D110" s="359">
        <v>861</v>
      </c>
      <c r="E110" s="729" t="s">
        <v>10</v>
      </c>
      <c r="F110" s="813" t="s">
        <v>1072</v>
      </c>
      <c r="G110" s="729" t="s">
        <v>332</v>
      </c>
      <c r="H110" s="729"/>
      <c r="I110" s="729" t="s">
        <v>9</v>
      </c>
      <c r="J110" s="729" t="s">
        <v>1095</v>
      </c>
      <c r="K110" s="729" t="s">
        <v>1371</v>
      </c>
      <c r="L110" s="729" t="s">
        <v>1372</v>
      </c>
      <c r="M110" s="729">
        <v>618177</v>
      </c>
      <c r="N110" s="729">
        <v>4787456</v>
      </c>
      <c r="O110" s="648">
        <f t="shared" si="3"/>
        <v>0.1</v>
      </c>
      <c r="P110" s="130">
        <v>0.1</v>
      </c>
      <c r="Q110" s="16"/>
      <c r="R110" s="17"/>
      <c r="S110" s="298"/>
      <c r="T110" s="18"/>
      <c r="U110" s="19"/>
      <c r="V110" s="41"/>
      <c r="W110" s="187"/>
      <c r="X110" s="76"/>
      <c r="Y110" s="300"/>
      <c r="Z110" s="306"/>
      <c r="AA110" s="358">
        <v>43329</v>
      </c>
      <c r="AB110" s="358">
        <v>43329</v>
      </c>
      <c r="AC110" s="729" t="s">
        <v>311</v>
      </c>
      <c r="AD110" s="729" t="s">
        <v>312</v>
      </c>
      <c r="AE110" s="729" t="s">
        <v>313</v>
      </c>
      <c r="AF110" s="729" t="s">
        <v>314</v>
      </c>
      <c r="AG110" s="729" t="s">
        <v>313</v>
      </c>
      <c r="AH110" s="729" t="s">
        <v>314</v>
      </c>
      <c r="AI110" s="834"/>
      <c r="AJ110" s="729" t="s">
        <v>314</v>
      </c>
      <c r="AK110" s="729" t="s">
        <v>313</v>
      </c>
      <c r="AL110" s="729" t="s">
        <v>315</v>
      </c>
      <c r="AM110" s="729" t="s">
        <v>315</v>
      </c>
      <c r="AN110" s="729" t="s">
        <v>315</v>
      </c>
      <c r="AO110" s="729" t="s">
        <v>392</v>
      </c>
      <c r="AP110" s="103"/>
      <c r="AQ110" s="2"/>
      <c r="AR110" s="2"/>
      <c r="AS110" s="2"/>
      <c r="AT110" s="2"/>
      <c r="AU110" s="2"/>
      <c r="AW110" s="2"/>
    </row>
    <row r="111" spans="1:49" s="270" customFormat="1" ht="16.5" customHeight="1" x14ac:dyDescent="0.25">
      <c r="A111" s="358">
        <v>43329</v>
      </c>
      <c r="B111" s="358" t="s">
        <v>1087</v>
      </c>
      <c r="C111" s="729" t="s">
        <v>91</v>
      </c>
      <c r="D111" s="359">
        <v>862</v>
      </c>
      <c r="E111" s="729" t="s">
        <v>10</v>
      </c>
      <c r="F111" s="813" t="s">
        <v>1073</v>
      </c>
      <c r="G111" s="729" t="s">
        <v>686</v>
      </c>
      <c r="H111" s="729"/>
      <c r="I111" s="729" t="s">
        <v>9</v>
      </c>
      <c r="J111" s="729" t="s">
        <v>1096</v>
      </c>
      <c r="K111" s="729" t="s">
        <v>1373</v>
      </c>
      <c r="L111" s="729" t="s">
        <v>1374</v>
      </c>
      <c r="M111" s="729">
        <v>606278</v>
      </c>
      <c r="N111" s="729">
        <v>4785708</v>
      </c>
      <c r="O111" s="648">
        <f t="shared" si="3"/>
        <v>3</v>
      </c>
      <c r="P111" s="130">
        <v>3</v>
      </c>
      <c r="Q111" s="16"/>
      <c r="R111" s="17"/>
      <c r="S111" s="298"/>
      <c r="T111" s="18"/>
      <c r="U111" s="19"/>
      <c r="V111" s="41"/>
      <c r="W111" s="187"/>
      <c r="X111" s="76"/>
      <c r="Y111" s="300"/>
      <c r="Z111" s="306"/>
      <c r="AA111" s="358">
        <v>43329</v>
      </c>
      <c r="AB111" s="358">
        <v>43329</v>
      </c>
      <c r="AC111" s="729" t="s">
        <v>311</v>
      </c>
      <c r="AD111" s="729" t="s">
        <v>312</v>
      </c>
      <c r="AE111" s="729" t="s">
        <v>313</v>
      </c>
      <c r="AF111" s="729" t="s">
        <v>314</v>
      </c>
      <c r="AG111" s="729" t="s">
        <v>313</v>
      </c>
      <c r="AH111" s="729" t="s">
        <v>314</v>
      </c>
      <c r="AI111" s="834"/>
      <c r="AJ111" s="729" t="s">
        <v>314</v>
      </c>
      <c r="AK111" s="729" t="s">
        <v>313</v>
      </c>
      <c r="AL111" s="729" t="s">
        <v>315</v>
      </c>
      <c r="AM111" s="729" t="s">
        <v>315</v>
      </c>
      <c r="AN111" s="729" t="s">
        <v>315</v>
      </c>
      <c r="AO111" s="729" t="s">
        <v>316</v>
      </c>
      <c r="AP111" s="103"/>
      <c r="AQ111" s="2"/>
      <c r="AR111" s="2"/>
      <c r="AS111" s="2"/>
      <c r="AT111" s="2"/>
      <c r="AU111" s="2"/>
      <c r="AW111" s="2"/>
    </row>
    <row r="112" spans="1:49" ht="15" customHeight="1" x14ac:dyDescent="0.25">
      <c r="A112" s="358">
        <v>43329</v>
      </c>
      <c r="B112" s="358" t="s">
        <v>1088</v>
      </c>
      <c r="C112" s="729" t="s">
        <v>95</v>
      </c>
      <c r="D112" s="359">
        <v>863</v>
      </c>
      <c r="E112" s="729" t="s">
        <v>11</v>
      </c>
      <c r="F112" s="813" t="s">
        <v>1074</v>
      </c>
      <c r="G112" s="729" t="s">
        <v>472</v>
      </c>
      <c r="H112" s="729"/>
      <c r="I112" s="729" t="s">
        <v>9</v>
      </c>
      <c r="J112" s="729" t="s">
        <v>1097</v>
      </c>
      <c r="K112" s="729" t="s">
        <v>1375</v>
      </c>
      <c r="L112" s="729" t="s">
        <v>1376</v>
      </c>
      <c r="M112" s="729">
        <v>604720</v>
      </c>
      <c r="N112" s="729">
        <v>4757071</v>
      </c>
      <c r="O112" s="648">
        <f t="shared" si="3"/>
        <v>4</v>
      </c>
      <c r="P112" s="130"/>
      <c r="Q112" s="16"/>
      <c r="R112" s="17">
        <v>4</v>
      </c>
      <c r="S112" s="298"/>
      <c r="T112" s="18"/>
      <c r="U112" s="19"/>
      <c r="V112" s="41"/>
      <c r="W112" s="187"/>
      <c r="X112" s="76"/>
      <c r="Y112" s="300"/>
      <c r="Z112" s="306"/>
      <c r="AA112" s="358">
        <v>43329</v>
      </c>
      <c r="AB112" s="358">
        <v>43330</v>
      </c>
      <c r="AC112" s="729" t="s">
        <v>311</v>
      </c>
      <c r="AD112" s="729" t="s">
        <v>94</v>
      </c>
      <c r="AE112" s="729" t="s">
        <v>313</v>
      </c>
      <c r="AF112" s="729" t="s">
        <v>314</v>
      </c>
      <c r="AG112" s="729" t="s">
        <v>314</v>
      </c>
      <c r="AH112" s="729" t="s">
        <v>314</v>
      </c>
      <c r="AI112" s="834"/>
      <c r="AJ112" s="729" t="s">
        <v>314</v>
      </c>
      <c r="AK112" s="729" t="s">
        <v>314</v>
      </c>
      <c r="AL112" s="729" t="s">
        <v>315</v>
      </c>
      <c r="AM112" s="729" t="s">
        <v>313</v>
      </c>
      <c r="AN112" s="729" t="s">
        <v>315</v>
      </c>
      <c r="AO112" s="729" t="s">
        <v>316</v>
      </c>
    </row>
    <row r="113" spans="1:41" ht="15" customHeight="1" x14ac:dyDescent="0.25">
      <c r="A113" s="358">
        <v>43329</v>
      </c>
      <c r="B113" s="358" t="s">
        <v>1089</v>
      </c>
      <c r="C113" s="729" t="s">
        <v>91</v>
      </c>
      <c r="D113" s="359">
        <v>864</v>
      </c>
      <c r="E113" s="729" t="s">
        <v>10</v>
      </c>
      <c r="F113" s="813" t="s">
        <v>1075</v>
      </c>
      <c r="G113" s="729" t="s">
        <v>344</v>
      </c>
      <c r="H113" s="729"/>
      <c r="I113" s="729" t="s">
        <v>9</v>
      </c>
      <c r="J113" s="729" t="s">
        <v>1098</v>
      </c>
      <c r="K113" s="729" t="s">
        <v>1378</v>
      </c>
      <c r="L113" s="729" t="s">
        <v>1379</v>
      </c>
      <c r="M113" s="729">
        <v>635191</v>
      </c>
      <c r="N113" s="729">
        <v>4769084</v>
      </c>
      <c r="O113" s="648">
        <f t="shared" si="3"/>
        <v>2011</v>
      </c>
      <c r="P113" s="130">
        <v>2011</v>
      </c>
      <c r="Q113" s="16"/>
      <c r="R113" s="17"/>
      <c r="S113" s="583"/>
      <c r="T113" s="18"/>
      <c r="U113" s="19"/>
      <c r="V113" s="41"/>
      <c r="W113" s="187"/>
      <c r="X113" s="76"/>
      <c r="Y113" s="584"/>
      <c r="Z113" s="306"/>
      <c r="AA113" s="358">
        <v>43330</v>
      </c>
      <c r="AB113" s="358">
        <v>43331</v>
      </c>
      <c r="AC113" s="729" t="s">
        <v>311</v>
      </c>
      <c r="AD113" s="729" t="s">
        <v>94</v>
      </c>
      <c r="AE113" s="729" t="s">
        <v>313</v>
      </c>
      <c r="AF113" s="729" t="s">
        <v>314</v>
      </c>
      <c r="AG113" s="729" t="s">
        <v>313</v>
      </c>
      <c r="AH113" s="729" t="s">
        <v>314</v>
      </c>
      <c r="AI113" s="834"/>
      <c r="AJ113" s="729" t="s">
        <v>314</v>
      </c>
      <c r="AK113" s="729" t="s">
        <v>313</v>
      </c>
      <c r="AL113" s="729" t="s">
        <v>315</v>
      </c>
      <c r="AM113" s="729" t="s">
        <v>313</v>
      </c>
      <c r="AN113" s="729" t="s">
        <v>313</v>
      </c>
      <c r="AO113" s="729" t="s">
        <v>698</v>
      </c>
    </row>
    <row r="114" spans="1:41" ht="15" customHeight="1" x14ac:dyDescent="0.25">
      <c r="A114" s="358">
        <v>43329</v>
      </c>
      <c r="B114" s="358" t="s">
        <v>1090</v>
      </c>
      <c r="C114" s="729" t="s">
        <v>91</v>
      </c>
      <c r="D114" s="359">
        <v>865</v>
      </c>
      <c r="E114" s="729" t="s">
        <v>10</v>
      </c>
      <c r="F114" s="813" t="s">
        <v>1076</v>
      </c>
      <c r="G114" s="729" t="s">
        <v>344</v>
      </c>
      <c r="H114" s="729"/>
      <c r="I114" s="729" t="s">
        <v>9</v>
      </c>
      <c r="J114" s="729" t="s">
        <v>1409</v>
      </c>
      <c r="K114" s="729" t="s">
        <v>1100</v>
      </c>
      <c r="L114" s="729" t="s">
        <v>1407</v>
      </c>
      <c r="M114" s="729">
        <v>639452</v>
      </c>
      <c r="N114" s="729">
        <v>4771901</v>
      </c>
      <c r="O114" s="648">
        <f t="shared" si="3"/>
        <v>867</v>
      </c>
      <c r="P114" s="130">
        <v>756</v>
      </c>
      <c r="Q114" s="16"/>
      <c r="R114" s="17">
        <v>111</v>
      </c>
      <c r="S114" s="583"/>
      <c r="T114" s="18"/>
      <c r="U114" s="19"/>
      <c r="V114" s="41"/>
      <c r="W114" s="187"/>
      <c r="X114" s="76"/>
      <c r="Y114" s="584"/>
      <c r="Z114" s="306"/>
      <c r="AA114" s="358">
        <v>43330</v>
      </c>
      <c r="AB114" s="358">
        <v>43331</v>
      </c>
      <c r="AC114" s="729" t="s">
        <v>311</v>
      </c>
      <c r="AD114" s="729" t="s">
        <v>894</v>
      </c>
      <c r="AE114" s="729" t="s">
        <v>313</v>
      </c>
      <c r="AF114" s="729" t="s">
        <v>314</v>
      </c>
      <c r="AG114" s="729" t="s">
        <v>313</v>
      </c>
      <c r="AH114" s="729" t="s">
        <v>314</v>
      </c>
      <c r="AI114" s="834"/>
      <c r="AJ114" s="729" t="s">
        <v>314</v>
      </c>
      <c r="AK114" s="729" t="s">
        <v>313</v>
      </c>
      <c r="AL114" s="729" t="s">
        <v>315</v>
      </c>
      <c r="AM114" s="729" t="s">
        <v>313</v>
      </c>
      <c r="AN114" s="729" t="s">
        <v>313</v>
      </c>
      <c r="AO114" s="729" t="s">
        <v>697</v>
      </c>
    </row>
    <row r="115" spans="1:41" ht="15" customHeight="1" x14ac:dyDescent="0.25">
      <c r="A115" s="358">
        <v>43329</v>
      </c>
      <c r="B115" s="358" t="s">
        <v>1091</v>
      </c>
      <c r="C115" s="729" t="s">
        <v>91</v>
      </c>
      <c r="D115" s="359">
        <v>866</v>
      </c>
      <c r="E115" s="729" t="s">
        <v>10</v>
      </c>
      <c r="F115" s="813" t="s">
        <v>1077</v>
      </c>
      <c r="G115" s="729" t="s">
        <v>344</v>
      </c>
      <c r="H115" s="729"/>
      <c r="I115" s="729" t="s">
        <v>9</v>
      </c>
      <c r="J115" s="729" t="s">
        <v>1410</v>
      </c>
      <c r="K115" s="729" t="s">
        <v>1101</v>
      </c>
      <c r="L115" s="729" t="s">
        <v>1411</v>
      </c>
      <c r="M115" s="729">
        <v>640314</v>
      </c>
      <c r="N115" s="729">
        <v>4772640</v>
      </c>
      <c r="O115" s="648">
        <f t="shared" si="3"/>
        <v>0.1</v>
      </c>
      <c r="P115" s="130">
        <v>0.1</v>
      </c>
      <c r="Q115" s="16"/>
      <c r="R115" s="17"/>
      <c r="S115" s="583"/>
      <c r="T115" s="18"/>
      <c r="U115" s="19"/>
      <c r="V115" s="41"/>
      <c r="W115" s="187"/>
      <c r="X115" s="76"/>
      <c r="Y115" s="584"/>
      <c r="Z115" s="306"/>
      <c r="AA115" s="358">
        <v>43329</v>
      </c>
      <c r="AB115" s="358">
        <v>43329</v>
      </c>
      <c r="AC115" s="729" t="s">
        <v>311</v>
      </c>
      <c r="AD115" s="729" t="s">
        <v>894</v>
      </c>
      <c r="AE115" s="729" t="s">
        <v>313</v>
      </c>
      <c r="AF115" s="729" t="s">
        <v>314</v>
      </c>
      <c r="AG115" s="729" t="s">
        <v>313</v>
      </c>
      <c r="AH115" s="729" t="s">
        <v>314</v>
      </c>
      <c r="AI115" s="834"/>
      <c r="AJ115" s="729" t="s">
        <v>314</v>
      </c>
      <c r="AK115" s="729" t="s">
        <v>313</v>
      </c>
      <c r="AL115" s="729" t="s">
        <v>315</v>
      </c>
      <c r="AM115" s="729" t="s">
        <v>313</v>
      </c>
      <c r="AN115" s="729" t="s">
        <v>313</v>
      </c>
      <c r="AO115" s="729" t="s">
        <v>392</v>
      </c>
    </row>
    <row r="116" spans="1:41" ht="15" customHeight="1" x14ac:dyDescent="0.25">
      <c r="A116" s="358">
        <v>43329</v>
      </c>
      <c r="B116" s="358" t="s">
        <v>1092</v>
      </c>
      <c r="C116" s="729" t="s">
        <v>91</v>
      </c>
      <c r="D116" s="359">
        <v>867</v>
      </c>
      <c r="E116" s="729" t="s">
        <v>10</v>
      </c>
      <c r="F116" s="813" t="s">
        <v>1078</v>
      </c>
      <c r="G116" s="729" t="s">
        <v>344</v>
      </c>
      <c r="H116" s="729"/>
      <c r="I116" s="729" t="s">
        <v>9</v>
      </c>
      <c r="J116" s="729" t="s">
        <v>1412</v>
      </c>
      <c r="K116" s="729" t="s">
        <v>1102</v>
      </c>
      <c r="L116" s="729" t="s">
        <v>1413</v>
      </c>
      <c r="M116" s="729">
        <v>633303</v>
      </c>
      <c r="N116" s="729">
        <v>4771444</v>
      </c>
      <c r="O116" s="648">
        <f t="shared" si="3"/>
        <v>0.25</v>
      </c>
      <c r="P116" s="130">
        <v>0.25</v>
      </c>
      <c r="Q116" s="16"/>
      <c r="R116" s="17"/>
      <c r="S116" s="583"/>
      <c r="T116" s="18"/>
      <c r="U116" s="19"/>
      <c r="V116" s="41"/>
      <c r="W116" s="187"/>
      <c r="X116" s="76"/>
      <c r="Y116" s="584"/>
      <c r="Z116" s="306"/>
      <c r="AA116" s="358">
        <v>43329</v>
      </c>
      <c r="AB116" s="358">
        <v>43329</v>
      </c>
      <c r="AC116" s="729" t="s">
        <v>311</v>
      </c>
      <c r="AD116" s="729" t="s">
        <v>894</v>
      </c>
      <c r="AE116" s="729" t="s">
        <v>313</v>
      </c>
      <c r="AF116" s="729" t="s">
        <v>314</v>
      </c>
      <c r="AG116" s="729" t="s">
        <v>313</v>
      </c>
      <c r="AH116" s="729" t="s">
        <v>314</v>
      </c>
      <c r="AI116" s="834"/>
      <c r="AJ116" s="729" t="s">
        <v>314</v>
      </c>
      <c r="AK116" s="729" t="s">
        <v>313</v>
      </c>
      <c r="AL116" s="729" t="s">
        <v>315</v>
      </c>
      <c r="AM116" s="729" t="s">
        <v>315</v>
      </c>
      <c r="AN116" s="729" t="s">
        <v>315</v>
      </c>
      <c r="AO116" s="729" t="s">
        <v>392</v>
      </c>
    </row>
    <row r="117" spans="1:41" ht="15" customHeight="1" x14ac:dyDescent="0.25">
      <c r="A117" s="358">
        <v>43329</v>
      </c>
      <c r="B117" s="358" t="s">
        <v>1093</v>
      </c>
      <c r="C117" s="729" t="s">
        <v>91</v>
      </c>
      <c r="D117" s="359">
        <v>868</v>
      </c>
      <c r="E117" s="729" t="s">
        <v>10</v>
      </c>
      <c r="F117" s="813" t="s">
        <v>1079</v>
      </c>
      <c r="G117" s="729" t="s">
        <v>823</v>
      </c>
      <c r="H117" s="729"/>
      <c r="I117" s="729" t="s">
        <v>9</v>
      </c>
      <c r="J117" s="729" t="s">
        <v>1368</v>
      </c>
      <c r="K117" s="729" t="s">
        <v>1415</v>
      </c>
      <c r="L117" s="729" t="s">
        <v>1416</v>
      </c>
      <c r="M117" s="729">
        <v>611049</v>
      </c>
      <c r="N117" s="729">
        <v>4781339</v>
      </c>
      <c r="O117" s="648">
        <f t="shared" si="3"/>
        <v>0.1</v>
      </c>
      <c r="P117" s="130">
        <v>0.1</v>
      </c>
      <c r="Q117" s="16"/>
      <c r="R117" s="17"/>
      <c r="S117" s="583"/>
      <c r="T117" s="18"/>
      <c r="U117" s="19"/>
      <c r="V117" s="41"/>
      <c r="W117" s="187"/>
      <c r="X117" s="76"/>
      <c r="Y117" s="300"/>
      <c r="Z117" s="306"/>
      <c r="AA117" s="358">
        <v>43329</v>
      </c>
      <c r="AB117" s="358">
        <v>43329</v>
      </c>
      <c r="AC117" s="729" t="s">
        <v>311</v>
      </c>
      <c r="AD117" s="729" t="s">
        <v>312</v>
      </c>
      <c r="AE117" s="729" t="s">
        <v>313</v>
      </c>
      <c r="AF117" s="729" t="s">
        <v>314</v>
      </c>
      <c r="AG117" s="729" t="s">
        <v>313</v>
      </c>
      <c r="AH117" s="729" t="s">
        <v>314</v>
      </c>
      <c r="AI117" s="834"/>
      <c r="AJ117" s="729" t="s">
        <v>314</v>
      </c>
      <c r="AK117" s="729" t="s">
        <v>314</v>
      </c>
      <c r="AL117" s="729" t="s">
        <v>315</v>
      </c>
      <c r="AM117" s="729" t="s">
        <v>315</v>
      </c>
      <c r="AN117" s="729" t="s">
        <v>315</v>
      </c>
      <c r="AO117" s="729" t="s">
        <v>392</v>
      </c>
    </row>
    <row r="118" spans="1:41" ht="15" customHeight="1" x14ac:dyDescent="0.25">
      <c r="A118" s="358">
        <v>43329</v>
      </c>
      <c r="B118" s="358" t="s">
        <v>1103</v>
      </c>
      <c r="C118" s="729" t="s">
        <v>91</v>
      </c>
      <c r="D118" s="359">
        <v>870</v>
      </c>
      <c r="E118" s="729" t="s">
        <v>12</v>
      </c>
      <c r="F118" s="813" t="s">
        <v>1080</v>
      </c>
      <c r="G118" s="729" t="s">
        <v>686</v>
      </c>
      <c r="H118" s="729"/>
      <c r="I118" s="729" t="s">
        <v>9</v>
      </c>
      <c r="J118" s="729" t="s">
        <v>1099</v>
      </c>
      <c r="K118" s="729" t="s">
        <v>1417</v>
      </c>
      <c r="L118" s="729" t="s">
        <v>1418</v>
      </c>
      <c r="M118" s="729">
        <v>569474</v>
      </c>
      <c r="N118" s="729">
        <v>4747395</v>
      </c>
      <c r="O118" s="648">
        <f t="shared" si="3"/>
        <v>467</v>
      </c>
      <c r="P118" s="130">
        <v>269</v>
      </c>
      <c r="Q118" s="16"/>
      <c r="R118" s="17">
        <v>198</v>
      </c>
      <c r="S118" s="583"/>
      <c r="T118" s="18"/>
      <c r="U118" s="19"/>
      <c r="V118" s="41"/>
      <c r="W118" s="187"/>
      <c r="X118" s="76"/>
      <c r="Y118" s="300"/>
      <c r="Z118" s="306"/>
      <c r="AA118" s="358">
        <v>43329</v>
      </c>
      <c r="AB118" s="358">
        <v>43330</v>
      </c>
      <c r="AC118" s="729" t="s">
        <v>311</v>
      </c>
      <c r="AD118" s="729" t="s">
        <v>312</v>
      </c>
      <c r="AE118" s="729" t="s">
        <v>313</v>
      </c>
      <c r="AF118" s="729" t="s">
        <v>314</v>
      </c>
      <c r="AG118" s="729" t="s">
        <v>314</v>
      </c>
      <c r="AH118" s="729" t="s">
        <v>314</v>
      </c>
      <c r="AI118" s="834"/>
      <c r="AJ118" s="729" t="s">
        <v>314</v>
      </c>
      <c r="AK118" s="729" t="s">
        <v>313</v>
      </c>
      <c r="AL118" s="729" t="s">
        <v>315</v>
      </c>
      <c r="AM118" s="729" t="s">
        <v>313</v>
      </c>
      <c r="AN118" s="729" t="s">
        <v>313</v>
      </c>
      <c r="AO118" s="729" t="s">
        <v>697</v>
      </c>
    </row>
    <row r="119" spans="1:41" ht="15" customHeight="1" x14ac:dyDescent="0.25">
      <c r="A119" s="862">
        <v>43335</v>
      </c>
      <c r="B119" s="862" t="s">
        <v>1172</v>
      </c>
      <c r="C119" s="89" t="s">
        <v>272</v>
      </c>
      <c r="D119" s="863">
        <v>948</v>
      </c>
      <c r="E119" s="89" t="s">
        <v>63</v>
      </c>
      <c r="F119" s="89" t="s">
        <v>1165</v>
      </c>
      <c r="G119" s="89" t="s">
        <v>1173</v>
      </c>
      <c r="H119" s="89"/>
      <c r="I119" s="89" t="s">
        <v>63</v>
      </c>
      <c r="J119" s="89" t="s">
        <v>1171</v>
      </c>
      <c r="K119" s="89" t="s">
        <v>1423</v>
      </c>
      <c r="L119" s="89" t="s">
        <v>1424</v>
      </c>
      <c r="M119" s="89">
        <v>525991</v>
      </c>
      <c r="N119" s="89">
        <v>4918940</v>
      </c>
      <c r="O119" s="648">
        <f t="shared" si="3"/>
        <v>250</v>
      </c>
      <c r="P119" s="130"/>
      <c r="Q119" s="16"/>
      <c r="R119" s="17"/>
      <c r="S119" s="298"/>
      <c r="T119" s="18"/>
      <c r="U119" s="19"/>
      <c r="V119" s="41"/>
      <c r="W119" s="187"/>
      <c r="X119" s="76"/>
      <c r="Y119" s="300">
        <v>250</v>
      </c>
      <c r="Z119" s="306"/>
      <c r="AA119" s="817"/>
      <c r="AB119" s="817"/>
      <c r="AC119" s="949"/>
      <c r="AD119" s="949"/>
      <c r="AE119" s="949"/>
      <c r="AF119" s="949"/>
      <c r="AG119" s="949"/>
      <c r="AH119" s="949"/>
      <c r="AI119" s="949"/>
      <c r="AJ119" s="949"/>
      <c r="AK119" s="949"/>
      <c r="AL119" s="949"/>
      <c r="AM119" s="949"/>
      <c r="AN119" s="949"/>
      <c r="AO119" s="949"/>
    </row>
    <row r="120" spans="1:41" ht="15" customHeight="1" x14ac:dyDescent="0.25">
      <c r="A120" s="817">
        <v>43335</v>
      </c>
      <c r="B120" s="817" t="s">
        <v>1185</v>
      </c>
      <c r="C120" s="952" t="s">
        <v>272</v>
      </c>
      <c r="D120" s="819">
        <v>958</v>
      </c>
      <c r="E120" s="952"/>
      <c r="F120" s="18" t="s">
        <v>1540</v>
      </c>
      <c r="G120" s="952"/>
      <c r="H120" s="952"/>
      <c r="I120" s="952" t="s">
        <v>367</v>
      </c>
      <c r="J120" s="952" t="s">
        <v>1186</v>
      </c>
      <c r="K120" s="952" t="s">
        <v>1187</v>
      </c>
      <c r="L120" s="952" t="s">
        <v>1188</v>
      </c>
      <c r="M120" s="952"/>
      <c r="N120" s="952"/>
      <c r="O120" s="648">
        <f t="shared" si="3"/>
        <v>2</v>
      </c>
      <c r="P120" s="130">
        <v>2</v>
      </c>
      <c r="Q120" s="16"/>
      <c r="R120" s="17"/>
      <c r="S120" s="298"/>
      <c r="T120" s="18"/>
      <c r="U120" s="19"/>
      <c r="V120" s="41"/>
      <c r="W120" s="187"/>
      <c r="X120" s="76"/>
      <c r="Y120" s="300"/>
      <c r="Z120" s="306"/>
      <c r="AA120" s="817"/>
      <c r="AB120" s="817"/>
      <c r="AC120" s="952"/>
      <c r="AD120" s="952"/>
      <c r="AE120" s="952"/>
      <c r="AF120" s="952"/>
      <c r="AG120" s="952"/>
      <c r="AH120" s="952"/>
      <c r="AI120" s="952"/>
      <c r="AJ120" s="952"/>
      <c r="AK120" s="952"/>
      <c r="AL120" s="952"/>
      <c r="AM120" s="952"/>
      <c r="AN120" s="952"/>
      <c r="AO120" s="952"/>
    </row>
    <row r="121" spans="1:41" ht="15" customHeight="1" x14ac:dyDescent="0.25">
      <c r="A121" s="358">
        <v>43340</v>
      </c>
      <c r="B121" s="358" t="s">
        <v>1195</v>
      </c>
      <c r="C121" s="729" t="s">
        <v>91</v>
      </c>
      <c r="D121" s="359">
        <v>974</v>
      </c>
      <c r="E121" s="729" t="s">
        <v>10</v>
      </c>
      <c r="F121" s="813" t="s">
        <v>1194</v>
      </c>
      <c r="G121" s="729" t="s">
        <v>716</v>
      </c>
      <c r="H121" s="729" t="s">
        <v>1196</v>
      </c>
      <c r="I121" s="729" t="s">
        <v>8</v>
      </c>
      <c r="J121" s="729" t="s">
        <v>1197</v>
      </c>
      <c r="K121" s="729" t="s">
        <v>1198</v>
      </c>
      <c r="L121" s="729" t="s">
        <v>1199</v>
      </c>
      <c r="M121" s="729">
        <v>542860</v>
      </c>
      <c r="N121" s="729">
        <v>4854847</v>
      </c>
      <c r="O121" s="648">
        <f t="shared" si="3"/>
        <v>0.1</v>
      </c>
      <c r="P121" s="130">
        <v>0.1</v>
      </c>
      <c r="Q121" s="16"/>
      <c r="R121" s="17"/>
      <c r="S121" s="298"/>
      <c r="T121" s="18"/>
      <c r="U121" s="19"/>
      <c r="V121" s="41"/>
      <c r="W121" s="187"/>
      <c r="X121" s="76"/>
      <c r="Y121" s="300"/>
      <c r="Z121" s="306"/>
      <c r="AA121" s="358">
        <v>43340</v>
      </c>
      <c r="AB121" s="358">
        <v>43340</v>
      </c>
      <c r="AC121" s="729" t="s">
        <v>311</v>
      </c>
      <c r="AD121" s="729" t="s">
        <v>2</v>
      </c>
      <c r="AE121" s="729" t="s">
        <v>313</v>
      </c>
      <c r="AF121" s="729" t="s">
        <v>314</v>
      </c>
      <c r="AG121" s="729" t="s">
        <v>314</v>
      </c>
      <c r="AH121" s="729" t="s">
        <v>314</v>
      </c>
      <c r="AI121" s="953"/>
      <c r="AJ121" s="729" t="s">
        <v>314</v>
      </c>
      <c r="AK121" s="729" t="s">
        <v>313</v>
      </c>
      <c r="AL121" s="729" t="s">
        <v>315</v>
      </c>
      <c r="AM121" s="729" t="s">
        <v>315</v>
      </c>
      <c r="AN121" s="729" t="s">
        <v>315</v>
      </c>
      <c r="AO121" s="729" t="s">
        <v>392</v>
      </c>
    </row>
    <row r="122" spans="1:41" ht="15" customHeight="1" x14ac:dyDescent="0.25">
      <c r="A122" s="358">
        <v>43341</v>
      </c>
      <c r="B122" s="358" t="s">
        <v>1207</v>
      </c>
      <c r="C122" s="729" t="s">
        <v>266</v>
      </c>
      <c r="D122" s="359">
        <v>978</v>
      </c>
      <c r="E122" s="729" t="s">
        <v>10</v>
      </c>
      <c r="F122" s="813" t="s">
        <v>1204</v>
      </c>
      <c r="G122" s="729" t="s">
        <v>332</v>
      </c>
      <c r="H122" s="729" t="s">
        <v>1427</v>
      </c>
      <c r="I122" s="729" t="s">
        <v>8</v>
      </c>
      <c r="J122" s="729" t="s">
        <v>1206</v>
      </c>
      <c r="K122" s="729" t="s">
        <v>1428</v>
      </c>
      <c r="L122" s="729" t="s">
        <v>1429</v>
      </c>
      <c r="M122" s="729">
        <v>562151</v>
      </c>
      <c r="N122" s="729">
        <v>4818908</v>
      </c>
      <c r="O122" s="648">
        <f t="shared" si="3"/>
        <v>1</v>
      </c>
      <c r="P122" s="130"/>
      <c r="Q122" s="16"/>
      <c r="R122" s="17"/>
      <c r="S122" s="298">
        <v>1</v>
      </c>
      <c r="T122" s="18"/>
      <c r="U122" s="19"/>
      <c r="V122" s="41"/>
      <c r="W122" s="187"/>
      <c r="X122" s="76"/>
      <c r="Y122" s="300"/>
      <c r="Z122" s="306"/>
      <c r="AA122" s="358">
        <v>43341</v>
      </c>
      <c r="AB122" s="358">
        <v>43341</v>
      </c>
      <c r="AC122" s="729" t="s">
        <v>311</v>
      </c>
      <c r="AD122" s="729" t="s">
        <v>312</v>
      </c>
      <c r="AE122" s="729" t="s">
        <v>313</v>
      </c>
      <c r="AF122" s="729" t="s">
        <v>314</v>
      </c>
      <c r="AG122" s="729" t="s">
        <v>314</v>
      </c>
      <c r="AH122" s="729" t="s">
        <v>314</v>
      </c>
      <c r="AI122" s="953"/>
      <c r="AJ122" s="729" t="s">
        <v>314</v>
      </c>
      <c r="AK122" s="729" t="s">
        <v>313</v>
      </c>
      <c r="AL122" s="729" t="s">
        <v>315</v>
      </c>
      <c r="AM122" s="729" t="s">
        <v>315</v>
      </c>
      <c r="AN122" s="729" t="s">
        <v>315</v>
      </c>
      <c r="AO122" s="729" t="s">
        <v>316</v>
      </c>
    </row>
    <row r="123" spans="1:41" ht="15" customHeight="1" x14ac:dyDescent="0.25">
      <c r="A123" s="817">
        <v>43341</v>
      </c>
      <c r="B123" s="817" t="s">
        <v>1210</v>
      </c>
      <c r="C123" s="953" t="s">
        <v>256</v>
      </c>
      <c r="D123" s="819">
        <v>980</v>
      </c>
      <c r="E123" s="953"/>
      <c r="F123" s="953" t="s">
        <v>1208</v>
      </c>
      <c r="G123" s="953"/>
      <c r="H123" s="953"/>
      <c r="I123" s="953" t="s">
        <v>327</v>
      </c>
      <c r="J123" s="953" t="s">
        <v>1209</v>
      </c>
      <c r="K123" s="953" t="s">
        <v>1211</v>
      </c>
      <c r="L123" s="953" t="s">
        <v>1212</v>
      </c>
      <c r="M123" s="953"/>
      <c r="N123" s="953"/>
      <c r="O123" s="648">
        <f t="shared" si="3"/>
        <v>0</v>
      </c>
      <c r="P123" s="130"/>
      <c r="Q123" s="16"/>
      <c r="R123" s="17"/>
      <c r="S123" s="298"/>
      <c r="T123" s="18"/>
      <c r="U123" s="19"/>
      <c r="V123" s="41"/>
      <c r="W123" s="187"/>
      <c r="X123" s="76"/>
      <c r="Y123" s="300"/>
      <c r="Z123" s="306"/>
      <c r="AA123" s="817"/>
      <c r="AB123" s="817"/>
      <c r="AC123" s="953"/>
      <c r="AD123" s="953"/>
      <c r="AE123" s="953"/>
      <c r="AF123" s="953"/>
      <c r="AG123" s="953"/>
      <c r="AH123" s="953"/>
      <c r="AI123" s="953"/>
      <c r="AJ123" s="953"/>
      <c r="AK123" s="953"/>
      <c r="AL123" s="953"/>
      <c r="AM123" s="953"/>
      <c r="AN123" s="953"/>
      <c r="AO123" s="953"/>
    </row>
    <row r="124" spans="1:41" ht="15" customHeight="1" x14ac:dyDescent="0.25">
      <c r="A124" s="358">
        <v>43345</v>
      </c>
      <c r="B124" s="358" t="s">
        <v>1230</v>
      </c>
      <c r="C124" s="729" t="s">
        <v>91</v>
      </c>
      <c r="D124" s="359">
        <v>997</v>
      </c>
      <c r="E124" s="729" t="s">
        <v>10</v>
      </c>
      <c r="F124" s="813" t="s">
        <v>1229</v>
      </c>
      <c r="G124" s="729" t="s">
        <v>798</v>
      </c>
      <c r="H124" s="729" t="s">
        <v>567</v>
      </c>
      <c r="I124" s="729" t="s">
        <v>8</v>
      </c>
      <c r="J124" s="729" t="s">
        <v>869</v>
      </c>
      <c r="K124" s="729" t="s">
        <v>1431</v>
      </c>
      <c r="L124" s="729" t="s">
        <v>1231</v>
      </c>
      <c r="M124" s="729">
        <v>568995</v>
      </c>
      <c r="N124" s="729">
        <v>4811641</v>
      </c>
      <c r="O124" s="648">
        <f t="shared" si="3"/>
        <v>1.5</v>
      </c>
      <c r="P124" s="130">
        <v>1.5</v>
      </c>
      <c r="Q124" s="16"/>
      <c r="R124" s="17"/>
      <c r="S124" s="298"/>
      <c r="T124" s="18"/>
      <c r="U124" s="19"/>
      <c r="V124" s="41"/>
      <c r="W124" s="187"/>
      <c r="X124" s="76"/>
      <c r="Y124" s="300"/>
      <c r="Z124" s="306"/>
      <c r="AA124" s="358">
        <v>43345</v>
      </c>
      <c r="AB124" s="358">
        <v>43345</v>
      </c>
      <c r="AC124" s="729" t="s">
        <v>311</v>
      </c>
      <c r="AD124" s="729" t="s">
        <v>312</v>
      </c>
      <c r="AE124" s="729" t="s">
        <v>313</v>
      </c>
      <c r="AF124" s="729" t="s">
        <v>314</v>
      </c>
      <c r="AG124" s="729" t="s">
        <v>314</v>
      </c>
      <c r="AH124" s="729" t="s">
        <v>314</v>
      </c>
      <c r="AI124" s="953"/>
      <c r="AJ124" s="729" t="s">
        <v>314</v>
      </c>
      <c r="AK124" s="729" t="s">
        <v>314</v>
      </c>
      <c r="AL124" s="729" t="s">
        <v>315</v>
      </c>
      <c r="AM124" s="729" t="s">
        <v>315</v>
      </c>
      <c r="AN124" s="729" t="s">
        <v>315</v>
      </c>
      <c r="AO124" s="729" t="s">
        <v>316</v>
      </c>
    </row>
    <row r="125" spans="1:41" ht="15" customHeight="1" x14ac:dyDescent="0.25">
      <c r="A125" s="358">
        <v>43346</v>
      </c>
      <c r="B125" s="358" t="s">
        <v>1234</v>
      </c>
      <c r="C125" s="729" t="s">
        <v>91</v>
      </c>
      <c r="D125" s="359">
        <v>1000</v>
      </c>
      <c r="E125" s="729" t="s">
        <v>10</v>
      </c>
      <c r="F125" s="813" t="s">
        <v>1232</v>
      </c>
      <c r="G125" s="729" t="s">
        <v>681</v>
      </c>
      <c r="H125" s="729"/>
      <c r="I125" s="729" t="s">
        <v>8</v>
      </c>
      <c r="J125" s="729" t="s">
        <v>1240</v>
      </c>
      <c r="K125" s="729" t="s">
        <v>1432</v>
      </c>
      <c r="L125" s="729" t="s">
        <v>1433</v>
      </c>
      <c r="M125" s="729">
        <v>511188</v>
      </c>
      <c r="N125" s="729">
        <v>4852985</v>
      </c>
      <c r="O125" s="648">
        <f t="shared" si="3"/>
        <v>844</v>
      </c>
      <c r="P125" s="130">
        <v>844</v>
      </c>
      <c r="Q125" s="16"/>
      <c r="R125" s="17"/>
      <c r="S125" s="298"/>
      <c r="T125" s="18"/>
      <c r="U125" s="19"/>
      <c r="V125" s="41"/>
      <c r="W125" s="187"/>
      <c r="X125" s="76"/>
      <c r="Y125" s="300"/>
      <c r="Z125" s="306"/>
      <c r="AA125" s="358">
        <v>43346</v>
      </c>
      <c r="AB125" s="358">
        <v>43347</v>
      </c>
      <c r="AC125" s="729" t="s">
        <v>311</v>
      </c>
      <c r="AD125" s="729" t="s">
        <v>577</v>
      </c>
      <c r="AE125" s="729" t="s">
        <v>313</v>
      </c>
      <c r="AF125" s="729" t="s">
        <v>313</v>
      </c>
      <c r="AG125" s="729" t="s">
        <v>314</v>
      </c>
      <c r="AH125" s="729" t="s">
        <v>314</v>
      </c>
      <c r="AI125" s="953"/>
      <c r="AJ125" s="729" t="s">
        <v>314</v>
      </c>
      <c r="AK125" s="729" t="s">
        <v>313</v>
      </c>
      <c r="AL125" s="729" t="s">
        <v>315</v>
      </c>
      <c r="AM125" s="729" t="s">
        <v>313</v>
      </c>
      <c r="AN125" s="729" t="s">
        <v>313</v>
      </c>
      <c r="AO125" s="729" t="s">
        <v>697</v>
      </c>
    </row>
    <row r="126" spans="1:41" ht="15" customHeight="1" x14ac:dyDescent="0.25">
      <c r="A126" s="358">
        <v>43346</v>
      </c>
      <c r="B126" s="358" t="s">
        <v>1235</v>
      </c>
      <c r="C126" s="729" t="s">
        <v>266</v>
      </c>
      <c r="D126" s="359">
        <v>1002</v>
      </c>
      <c r="E126" s="729" t="s">
        <v>10</v>
      </c>
      <c r="F126" s="813" t="s">
        <v>1233</v>
      </c>
      <c r="G126" s="729" t="s">
        <v>1236</v>
      </c>
      <c r="H126" s="729" t="s">
        <v>1434</v>
      </c>
      <c r="I126" s="729" t="s">
        <v>8</v>
      </c>
      <c r="J126" s="729" t="s">
        <v>1435</v>
      </c>
      <c r="K126" s="729" t="s">
        <v>1239</v>
      </c>
      <c r="L126" s="729" t="s">
        <v>1436</v>
      </c>
      <c r="M126" s="729">
        <v>579363</v>
      </c>
      <c r="N126" s="729">
        <v>4825224</v>
      </c>
      <c r="O126" s="648">
        <f t="shared" si="3"/>
        <v>0.1</v>
      </c>
      <c r="P126" s="130"/>
      <c r="Q126" s="16"/>
      <c r="R126" s="17"/>
      <c r="S126" s="298">
        <v>0.1</v>
      </c>
      <c r="T126" s="18"/>
      <c r="U126" s="19"/>
      <c r="V126" s="41"/>
      <c r="W126" s="187"/>
      <c r="X126" s="76"/>
      <c r="Y126" s="300"/>
      <c r="Z126" s="306"/>
      <c r="AA126" s="358">
        <v>43346</v>
      </c>
      <c r="AB126" s="358">
        <v>43346</v>
      </c>
      <c r="AC126" s="729" t="s">
        <v>311</v>
      </c>
      <c r="AD126" s="729" t="s">
        <v>312</v>
      </c>
      <c r="AE126" s="729" t="s">
        <v>313</v>
      </c>
      <c r="AF126" s="729" t="s">
        <v>314</v>
      </c>
      <c r="AG126" s="729" t="s">
        <v>314</v>
      </c>
      <c r="AH126" s="729" t="s">
        <v>314</v>
      </c>
      <c r="AI126" s="953"/>
      <c r="AJ126" s="729" t="s">
        <v>314</v>
      </c>
      <c r="AK126" s="729" t="s">
        <v>314</v>
      </c>
      <c r="AL126" s="729" t="s">
        <v>315</v>
      </c>
      <c r="AM126" s="729" t="s">
        <v>315</v>
      </c>
      <c r="AN126" s="729" t="s">
        <v>315</v>
      </c>
      <c r="AO126" s="729" t="s">
        <v>392</v>
      </c>
    </row>
    <row r="127" spans="1:41" ht="15.75" customHeight="1" x14ac:dyDescent="0.25">
      <c r="A127" s="817">
        <v>43351</v>
      </c>
      <c r="B127" s="817" t="s">
        <v>1278</v>
      </c>
      <c r="C127" s="958" t="s">
        <v>256</v>
      </c>
      <c r="D127" s="819">
        <v>1031</v>
      </c>
      <c r="E127" s="958"/>
      <c r="F127" s="958" t="s">
        <v>1273</v>
      </c>
      <c r="G127" s="958"/>
      <c r="H127" s="958"/>
      <c r="I127" s="958" t="s">
        <v>327</v>
      </c>
      <c r="J127" s="958" t="s">
        <v>1279</v>
      </c>
      <c r="K127" s="958" t="s">
        <v>1280</v>
      </c>
      <c r="L127" s="958" t="s">
        <v>1281</v>
      </c>
      <c r="M127" s="958"/>
      <c r="N127" s="958"/>
      <c r="O127" s="648">
        <f t="shared" si="3"/>
        <v>0</v>
      </c>
      <c r="P127" s="130"/>
      <c r="Q127" s="16"/>
      <c r="R127" s="17"/>
      <c r="S127" s="298"/>
      <c r="T127" s="18"/>
      <c r="U127" s="19"/>
      <c r="V127" s="41"/>
      <c r="W127" s="187"/>
      <c r="X127" s="76"/>
      <c r="Y127" s="300"/>
      <c r="Z127" s="306"/>
      <c r="AA127" s="817"/>
      <c r="AB127" s="817"/>
      <c r="AC127" s="958"/>
      <c r="AD127" s="958"/>
      <c r="AE127" s="958"/>
      <c r="AF127" s="958"/>
      <c r="AG127" s="958"/>
      <c r="AH127" s="958"/>
      <c r="AI127" s="958"/>
      <c r="AJ127" s="958"/>
      <c r="AK127" s="958"/>
      <c r="AL127" s="958"/>
      <c r="AM127" s="958"/>
      <c r="AN127" s="958"/>
      <c r="AO127" s="958"/>
    </row>
    <row r="128" spans="1:41" ht="15" customHeight="1" x14ac:dyDescent="0.25">
      <c r="A128" s="358">
        <v>43355</v>
      </c>
      <c r="B128" s="358" t="s">
        <v>1289</v>
      </c>
      <c r="C128" s="729" t="s">
        <v>269</v>
      </c>
      <c r="D128" s="359">
        <v>1047</v>
      </c>
      <c r="E128" s="729" t="s">
        <v>11</v>
      </c>
      <c r="F128" s="813" t="s">
        <v>1288</v>
      </c>
      <c r="G128" s="729" t="s">
        <v>383</v>
      </c>
      <c r="H128" s="729" t="s">
        <v>527</v>
      </c>
      <c r="I128" s="729" t="s">
        <v>8</v>
      </c>
      <c r="J128" s="729" t="s">
        <v>1290</v>
      </c>
      <c r="K128" s="729" t="s">
        <v>1291</v>
      </c>
      <c r="L128" s="729" t="s">
        <v>1478</v>
      </c>
      <c r="M128" s="729">
        <v>591700</v>
      </c>
      <c r="N128" s="729">
        <v>4756447</v>
      </c>
      <c r="O128" s="648">
        <f t="shared" si="3"/>
        <v>3.1</v>
      </c>
      <c r="P128" s="130">
        <v>0.1</v>
      </c>
      <c r="Q128" s="16"/>
      <c r="R128" s="17"/>
      <c r="S128" s="298">
        <v>3</v>
      </c>
      <c r="T128" s="18"/>
      <c r="U128" s="19"/>
      <c r="V128" s="41"/>
      <c r="W128" s="187"/>
      <c r="X128" s="76"/>
      <c r="Y128" s="300"/>
      <c r="Z128" s="306"/>
      <c r="AA128" s="358">
        <v>43355</v>
      </c>
      <c r="AB128" s="358">
        <v>43355</v>
      </c>
      <c r="AC128" s="729" t="s">
        <v>311</v>
      </c>
      <c r="AD128" s="729" t="s">
        <v>312</v>
      </c>
      <c r="AE128" s="729" t="s">
        <v>313</v>
      </c>
      <c r="AF128" s="729" t="s">
        <v>314</v>
      </c>
      <c r="AG128" s="729" t="s">
        <v>314</v>
      </c>
      <c r="AH128" s="729" t="s">
        <v>314</v>
      </c>
      <c r="AI128" s="961"/>
      <c r="AJ128" s="729" t="s">
        <v>314</v>
      </c>
      <c r="AK128" s="729" t="s">
        <v>313</v>
      </c>
      <c r="AL128" s="729" t="s">
        <v>315</v>
      </c>
      <c r="AM128" s="729" t="s">
        <v>313</v>
      </c>
      <c r="AN128" s="729" t="s">
        <v>315</v>
      </c>
      <c r="AO128" s="368" t="s">
        <v>316</v>
      </c>
    </row>
    <row r="129" spans="1:49" ht="15" customHeight="1" x14ac:dyDescent="0.25">
      <c r="A129" s="358">
        <v>43357</v>
      </c>
      <c r="B129" s="358" t="s">
        <v>1296</v>
      </c>
      <c r="C129" s="729" t="s">
        <v>91</v>
      </c>
      <c r="D129" s="359">
        <v>1053</v>
      </c>
      <c r="E129" s="729" t="s">
        <v>10</v>
      </c>
      <c r="F129" s="813" t="s">
        <v>1480</v>
      </c>
      <c r="G129" s="729" t="s">
        <v>495</v>
      </c>
      <c r="H129" s="729"/>
      <c r="I129" s="729" t="s">
        <v>8</v>
      </c>
      <c r="J129" s="729" t="s">
        <v>824</v>
      </c>
      <c r="K129" s="729" t="s">
        <v>1481</v>
      </c>
      <c r="L129" s="729" t="s">
        <v>1297</v>
      </c>
      <c r="M129" s="729">
        <v>585398</v>
      </c>
      <c r="N129" s="729">
        <v>4798888</v>
      </c>
      <c r="O129" s="648">
        <f t="shared" si="3"/>
        <v>0.1</v>
      </c>
      <c r="P129" s="130">
        <v>0.1</v>
      </c>
      <c r="Q129" s="16"/>
      <c r="R129" s="17"/>
      <c r="S129" s="298"/>
      <c r="T129" s="18"/>
      <c r="U129" s="19"/>
      <c r="V129" s="41"/>
      <c r="W129" s="187"/>
      <c r="X129" s="76"/>
      <c r="Y129" s="300"/>
      <c r="Z129" s="306"/>
      <c r="AA129" s="358">
        <v>43357</v>
      </c>
      <c r="AB129" s="358">
        <v>43357</v>
      </c>
      <c r="AC129" s="729" t="s">
        <v>311</v>
      </c>
      <c r="AD129" s="729" t="s">
        <v>312</v>
      </c>
      <c r="AE129" s="729" t="s">
        <v>313</v>
      </c>
      <c r="AF129" s="729" t="s">
        <v>314</v>
      </c>
      <c r="AG129" s="729" t="s">
        <v>314</v>
      </c>
      <c r="AH129" s="729" t="s">
        <v>313</v>
      </c>
      <c r="AI129" s="962"/>
      <c r="AJ129" s="729" t="s">
        <v>314</v>
      </c>
      <c r="AK129" s="729" t="s">
        <v>313</v>
      </c>
      <c r="AL129" s="729" t="s">
        <v>315</v>
      </c>
      <c r="AM129" s="729" t="s">
        <v>315</v>
      </c>
      <c r="AN129" s="732" t="s">
        <v>315</v>
      </c>
      <c r="AO129" s="729" t="s">
        <v>392</v>
      </c>
    </row>
    <row r="130" spans="1:49" ht="15" customHeight="1" x14ac:dyDescent="0.25">
      <c r="A130" s="817">
        <v>43358</v>
      </c>
      <c r="B130" s="817" t="s">
        <v>1315</v>
      </c>
      <c r="C130" s="964"/>
      <c r="D130" s="819">
        <v>1082</v>
      </c>
      <c r="E130" s="964"/>
      <c r="F130" s="18" t="s">
        <v>1309</v>
      </c>
      <c r="G130" s="964"/>
      <c r="H130" s="964"/>
      <c r="I130" s="964" t="s">
        <v>367</v>
      </c>
      <c r="J130" s="964" t="s">
        <v>1316</v>
      </c>
      <c r="K130" s="964" t="s">
        <v>1317</v>
      </c>
      <c r="L130" s="964" t="s">
        <v>1318</v>
      </c>
      <c r="M130" s="964"/>
      <c r="N130" s="964"/>
      <c r="O130" s="648">
        <f t="shared" si="3"/>
        <v>591</v>
      </c>
      <c r="P130" s="130">
        <v>591</v>
      </c>
      <c r="Q130" s="16"/>
      <c r="R130" s="17"/>
      <c r="S130" s="298"/>
      <c r="T130" s="18"/>
      <c r="U130" s="19"/>
      <c r="V130" s="41"/>
      <c r="W130" s="187"/>
      <c r="X130" s="76"/>
      <c r="Y130" s="300"/>
      <c r="Z130" s="306"/>
      <c r="AA130" s="817"/>
      <c r="AB130" s="817"/>
      <c r="AC130" s="966"/>
      <c r="AD130" s="966"/>
      <c r="AE130" s="966"/>
      <c r="AF130" s="966"/>
      <c r="AG130" s="966"/>
      <c r="AH130" s="966"/>
      <c r="AI130" s="966"/>
      <c r="AJ130" s="966"/>
      <c r="AK130" s="966"/>
      <c r="AL130" s="966"/>
      <c r="AM130" s="966"/>
      <c r="AN130" s="967"/>
      <c r="AO130" s="966"/>
      <c r="AP130" s="103" t="s">
        <v>6</v>
      </c>
    </row>
    <row r="131" spans="1:49" ht="15" customHeight="1" x14ac:dyDescent="0.25">
      <c r="A131" s="358">
        <v>43360</v>
      </c>
      <c r="B131" s="358" t="s">
        <v>1322</v>
      </c>
      <c r="C131" s="729" t="s">
        <v>269</v>
      </c>
      <c r="D131" s="359">
        <v>1084</v>
      </c>
      <c r="E131" s="729" t="s">
        <v>13</v>
      </c>
      <c r="F131" s="813" t="s">
        <v>1323</v>
      </c>
      <c r="G131" s="729" t="s">
        <v>716</v>
      </c>
      <c r="H131" s="729"/>
      <c r="I131" s="729" t="s">
        <v>8</v>
      </c>
      <c r="J131" s="729" t="s">
        <v>1325</v>
      </c>
      <c r="K131" s="729" t="s">
        <v>1324</v>
      </c>
      <c r="L131" s="729" t="s">
        <v>1507</v>
      </c>
      <c r="M131" s="729">
        <v>510518</v>
      </c>
      <c r="N131" s="729">
        <v>4736021</v>
      </c>
      <c r="O131" s="648">
        <f t="shared" si="3"/>
        <v>93</v>
      </c>
      <c r="P131" s="130">
        <v>33</v>
      </c>
      <c r="Q131" s="16"/>
      <c r="R131" s="17"/>
      <c r="S131" s="298">
        <v>60</v>
      </c>
      <c r="T131" s="18"/>
      <c r="U131" s="19"/>
      <c r="V131" s="41"/>
      <c r="W131" s="187"/>
      <c r="X131" s="76"/>
      <c r="Y131" s="300"/>
      <c r="Z131" s="306"/>
      <c r="AA131" s="358">
        <v>43361</v>
      </c>
      <c r="AB131" s="358">
        <v>43362</v>
      </c>
      <c r="AC131" s="729" t="s">
        <v>311</v>
      </c>
      <c r="AD131" s="729" t="s">
        <v>94</v>
      </c>
      <c r="AE131" s="729" t="s">
        <v>313</v>
      </c>
      <c r="AF131" s="729" t="s">
        <v>314</v>
      </c>
      <c r="AG131" s="729" t="s">
        <v>313</v>
      </c>
      <c r="AH131" s="729" t="s">
        <v>314</v>
      </c>
      <c r="AI131" s="966"/>
      <c r="AJ131" s="729" t="s">
        <v>314</v>
      </c>
      <c r="AK131" s="729" t="s">
        <v>313</v>
      </c>
      <c r="AL131" s="729" t="s">
        <v>315</v>
      </c>
      <c r="AM131" s="729" t="s">
        <v>315</v>
      </c>
      <c r="AN131" s="732" t="s">
        <v>315</v>
      </c>
      <c r="AO131" s="729" t="s">
        <v>321</v>
      </c>
    </row>
    <row r="132" spans="1:49" ht="15" customHeight="1" x14ac:dyDescent="0.25">
      <c r="A132" s="979">
        <v>43361</v>
      </c>
      <c r="B132" s="979" t="s">
        <v>1329</v>
      </c>
      <c r="C132" s="977" t="s">
        <v>265</v>
      </c>
      <c r="D132" s="980">
        <v>1092</v>
      </c>
      <c r="E132" s="977"/>
      <c r="F132" s="17" t="s">
        <v>1340</v>
      </c>
      <c r="G132" s="984" t="s">
        <v>436</v>
      </c>
      <c r="H132" s="984"/>
      <c r="I132" s="984" t="s">
        <v>172</v>
      </c>
      <c r="J132" s="984" t="s">
        <v>1330</v>
      </c>
      <c r="K132" s="984" t="s">
        <v>1331</v>
      </c>
      <c r="L132" s="984" t="s">
        <v>1508</v>
      </c>
      <c r="M132" s="984"/>
      <c r="N132" s="984"/>
      <c r="O132" s="648">
        <f t="shared" si="3"/>
        <v>7.5</v>
      </c>
      <c r="P132" s="130"/>
      <c r="Q132" s="16"/>
      <c r="R132" s="17"/>
      <c r="S132" s="298"/>
      <c r="T132" s="18"/>
      <c r="U132" s="19"/>
      <c r="V132" s="41"/>
      <c r="W132" s="187"/>
      <c r="X132" s="76"/>
      <c r="Y132" s="300"/>
      <c r="Z132" s="306">
        <v>7.5</v>
      </c>
      <c r="AA132" s="979"/>
      <c r="AB132" s="979"/>
      <c r="AC132" s="977"/>
      <c r="AD132" s="977"/>
      <c r="AE132" s="977"/>
      <c r="AF132" s="977"/>
      <c r="AG132" s="977"/>
      <c r="AH132" s="977"/>
      <c r="AI132" s="969"/>
      <c r="AJ132" s="977"/>
      <c r="AK132" s="977"/>
      <c r="AL132" s="977"/>
      <c r="AM132" s="977"/>
      <c r="AN132" s="978"/>
      <c r="AO132" s="977"/>
    </row>
    <row r="133" spans="1:49" ht="15" customHeight="1" x14ac:dyDescent="0.25">
      <c r="A133" s="358">
        <v>43364</v>
      </c>
      <c r="B133" s="358" t="s">
        <v>1337</v>
      </c>
      <c r="C133" s="729" t="s">
        <v>91</v>
      </c>
      <c r="D133" s="359">
        <v>1099</v>
      </c>
      <c r="E133" s="729" t="s">
        <v>10</v>
      </c>
      <c r="F133" s="813" t="s">
        <v>1336</v>
      </c>
      <c r="G133" s="729" t="s">
        <v>497</v>
      </c>
      <c r="H133" s="729" t="s">
        <v>1511</v>
      </c>
      <c r="I133" s="729" t="s">
        <v>8</v>
      </c>
      <c r="J133" s="729" t="s">
        <v>1338</v>
      </c>
      <c r="K133" s="729" t="s">
        <v>1339</v>
      </c>
      <c r="L133" s="729" t="s">
        <v>766</v>
      </c>
      <c r="M133" s="729">
        <v>576095</v>
      </c>
      <c r="N133" s="729">
        <v>4812681</v>
      </c>
      <c r="O133" s="648">
        <f t="shared" si="3"/>
        <v>125</v>
      </c>
      <c r="P133" s="130">
        <v>12</v>
      </c>
      <c r="Q133" s="16"/>
      <c r="R133" s="17">
        <v>89</v>
      </c>
      <c r="S133" s="298">
        <v>24</v>
      </c>
      <c r="T133" s="18"/>
      <c r="U133" s="19"/>
      <c r="V133" s="41"/>
      <c r="W133" s="187"/>
      <c r="X133" s="76"/>
      <c r="Y133" s="264"/>
      <c r="Z133" s="306"/>
      <c r="AA133" s="358">
        <v>43364</v>
      </c>
      <c r="AB133" s="358">
        <v>43365</v>
      </c>
      <c r="AC133" s="729" t="s">
        <v>311</v>
      </c>
      <c r="AD133" s="729" t="s">
        <v>2</v>
      </c>
      <c r="AE133" s="729" t="s">
        <v>313</v>
      </c>
      <c r="AF133" s="729" t="s">
        <v>314</v>
      </c>
      <c r="AG133" s="729" t="s">
        <v>314</v>
      </c>
      <c r="AH133" s="729" t="s">
        <v>314</v>
      </c>
      <c r="AI133" s="969"/>
      <c r="AJ133" s="729" t="s">
        <v>314</v>
      </c>
      <c r="AK133" s="729" t="s">
        <v>313</v>
      </c>
      <c r="AL133" s="729" t="s">
        <v>315</v>
      </c>
      <c r="AM133" s="729" t="s">
        <v>315</v>
      </c>
      <c r="AN133" s="732" t="s">
        <v>313</v>
      </c>
      <c r="AO133" s="729" t="s">
        <v>482</v>
      </c>
    </row>
    <row r="134" spans="1:49" ht="15" customHeight="1" x14ac:dyDescent="0.25">
      <c r="A134" s="358">
        <v>43367</v>
      </c>
      <c r="B134" s="358" t="s">
        <v>1361</v>
      </c>
      <c r="C134" s="729" t="s">
        <v>206</v>
      </c>
      <c r="D134" s="359">
        <v>1110</v>
      </c>
      <c r="E134" s="729" t="s">
        <v>10</v>
      </c>
      <c r="F134" s="813" t="s">
        <v>1358</v>
      </c>
      <c r="G134" s="729" t="s">
        <v>332</v>
      </c>
      <c r="H134" s="729" t="s">
        <v>498</v>
      </c>
      <c r="I134" s="729" t="s">
        <v>8</v>
      </c>
      <c r="J134" s="729" t="s">
        <v>1359</v>
      </c>
      <c r="K134" s="729" t="s">
        <v>1360</v>
      </c>
      <c r="L134" s="729" t="s">
        <v>1530</v>
      </c>
      <c r="M134" s="729">
        <v>576179</v>
      </c>
      <c r="N134" s="729">
        <v>4820421</v>
      </c>
      <c r="O134" s="648">
        <f t="shared" si="3"/>
        <v>0.1</v>
      </c>
      <c r="P134" s="130"/>
      <c r="Q134" s="16"/>
      <c r="R134" s="17"/>
      <c r="S134" s="298"/>
      <c r="T134" s="18"/>
      <c r="U134" s="19"/>
      <c r="V134" s="41">
        <v>0.1</v>
      </c>
      <c r="W134" s="187"/>
      <c r="X134" s="76"/>
      <c r="Y134" s="264"/>
      <c r="Z134" s="306"/>
      <c r="AA134" s="358">
        <v>43367</v>
      </c>
      <c r="AB134" s="358">
        <v>43367</v>
      </c>
      <c r="AC134" s="729" t="s">
        <v>311</v>
      </c>
      <c r="AD134" s="729" t="s">
        <v>312</v>
      </c>
      <c r="AE134" s="729" t="s">
        <v>313</v>
      </c>
      <c r="AF134" s="729" t="s">
        <v>314</v>
      </c>
      <c r="AG134" s="729" t="s">
        <v>314</v>
      </c>
      <c r="AH134" s="729" t="s">
        <v>314</v>
      </c>
      <c r="AI134" s="973"/>
      <c r="AJ134" s="729" t="s">
        <v>314</v>
      </c>
      <c r="AK134" s="729" t="s">
        <v>314</v>
      </c>
      <c r="AL134" s="729" t="s">
        <v>315</v>
      </c>
      <c r="AM134" s="729" t="s">
        <v>315</v>
      </c>
      <c r="AN134" s="732" t="s">
        <v>315</v>
      </c>
      <c r="AO134" s="729" t="s">
        <v>392</v>
      </c>
    </row>
    <row r="135" spans="1:49" ht="15" customHeight="1" x14ac:dyDescent="0.25">
      <c r="A135" s="358">
        <v>43370</v>
      </c>
      <c r="B135" s="358" t="s">
        <v>1383</v>
      </c>
      <c r="C135" s="729" t="s">
        <v>256</v>
      </c>
      <c r="D135" s="359">
        <v>1123</v>
      </c>
      <c r="E135" s="729" t="s">
        <v>10</v>
      </c>
      <c r="F135" s="813" t="s">
        <v>1380</v>
      </c>
      <c r="G135" s="729" t="s">
        <v>332</v>
      </c>
      <c r="H135" s="729" t="s">
        <v>1384</v>
      </c>
      <c r="I135" s="729" t="s">
        <v>8</v>
      </c>
      <c r="J135" s="729" t="s">
        <v>1385</v>
      </c>
      <c r="K135" s="729" t="s">
        <v>1386</v>
      </c>
      <c r="L135" s="729" t="s">
        <v>1531</v>
      </c>
      <c r="M135" s="729">
        <v>584965</v>
      </c>
      <c r="N135" s="729">
        <v>4804455</v>
      </c>
      <c r="O135" s="648">
        <f t="shared" si="3"/>
        <v>49.1</v>
      </c>
      <c r="P135" s="130">
        <v>49</v>
      </c>
      <c r="Q135" s="16"/>
      <c r="R135" s="17"/>
      <c r="S135" s="298">
        <v>0.1</v>
      </c>
      <c r="T135" s="18"/>
      <c r="U135" s="19"/>
      <c r="V135" s="41"/>
      <c r="W135" s="187"/>
      <c r="X135" s="76"/>
      <c r="Y135" s="264"/>
      <c r="Z135" s="306"/>
      <c r="AA135" s="358">
        <v>43370</v>
      </c>
      <c r="AB135" s="358">
        <v>43371</v>
      </c>
      <c r="AC135" s="729" t="s">
        <v>311</v>
      </c>
      <c r="AD135" s="729" t="s">
        <v>2</v>
      </c>
      <c r="AE135" s="729" t="s">
        <v>313</v>
      </c>
      <c r="AF135" s="729" t="s">
        <v>313</v>
      </c>
      <c r="AG135" s="729" t="s">
        <v>314</v>
      </c>
      <c r="AH135" s="729" t="s">
        <v>314</v>
      </c>
      <c r="AI135" s="984"/>
      <c r="AJ135" s="729" t="s">
        <v>314</v>
      </c>
      <c r="AK135" s="729" t="s">
        <v>313</v>
      </c>
      <c r="AL135" s="729" t="s">
        <v>315</v>
      </c>
      <c r="AM135" s="729" t="s">
        <v>313</v>
      </c>
      <c r="AN135" s="732" t="s">
        <v>315</v>
      </c>
      <c r="AO135" s="729" t="s">
        <v>321</v>
      </c>
    </row>
    <row r="136" spans="1:49" ht="15" customHeight="1" x14ac:dyDescent="0.25">
      <c r="A136" s="358">
        <v>43371</v>
      </c>
      <c r="B136" s="358" t="s">
        <v>1387</v>
      </c>
      <c r="C136" s="729" t="s">
        <v>91</v>
      </c>
      <c r="D136" s="359">
        <v>1127</v>
      </c>
      <c r="E136" s="729" t="s">
        <v>10</v>
      </c>
      <c r="F136" s="813" t="s">
        <v>1381</v>
      </c>
      <c r="G136" s="729" t="s">
        <v>411</v>
      </c>
      <c r="H136" s="729"/>
      <c r="I136" s="729" t="s">
        <v>8</v>
      </c>
      <c r="J136" s="729" t="s">
        <v>1388</v>
      </c>
      <c r="K136" s="729" t="s">
        <v>1465</v>
      </c>
      <c r="L136" s="729" t="s">
        <v>1532</v>
      </c>
      <c r="M136" s="729">
        <v>533119</v>
      </c>
      <c r="N136" s="729">
        <v>4889421</v>
      </c>
      <c r="O136" s="648">
        <f t="shared" si="3"/>
        <v>1113</v>
      </c>
      <c r="P136" s="130">
        <v>1013</v>
      </c>
      <c r="Q136" s="16"/>
      <c r="R136" s="17">
        <v>27</v>
      </c>
      <c r="S136" s="662">
        <v>73</v>
      </c>
      <c r="T136" s="18"/>
      <c r="U136" s="19"/>
      <c r="V136" s="41"/>
      <c r="W136" s="187"/>
      <c r="X136" s="76"/>
      <c r="Y136" s="663"/>
      <c r="Z136" s="306"/>
      <c r="AA136" s="358">
        <v>43372</v>
      </c>
      <c r="AB136" s="358">
        <v>43373</v>
      </c>
      <c r="AC136" s="729" t="s">
        <v>311</v>
      </c>
      <c r="AD136" s="729" t="s">
        <v>312</v>
      </c>
      <c r="AE136" s="729" t="s">
        <v>314</v>
      </c>
      <c r="AF136" s="729" t="s">
        <v>314</v>
      </c>
      <c r="AG136" s="729" t="s">
        <v>313</v>
      </c>
      <c r="AH136" s="729" t="s">
        <v>314</v>
      </c>
      <c r="AI136" s="984"/>
      <c r="AJ136" s="729" t="s">
        <v>314</v>
      </c>
      <c r="AK136" s="729" t="s">
        <v>313</v>
      </c>
      <c r="AL136" s="729" t="s">
        <v>315</v>
      </c>
      <c r="AM136" s="729" t="s">
        <v>313</v>
      </c>
      <c r="AN136" s="732" t="s">
        <v>313</v>
      </c>
      <c r="AO136" s="729" t="s">
        <v>698</v>
      </c>
    </row>
    <row r="137" spans="1:49" s="270" customFormat="1" ht="15" customHeight="1" x14ac:dyDescent="0.25">
      <c r="A137" s="358">
        <v>43371</v>
      </c>
      <c r="B137" s="358" t="s">
        <v>1389</v>
      </c>
      <c r="C137" s="729" t="s">
        <v>91</v>
      </c>
      <c r="D137" s="359">
        <v>1128</v>
      </c>
      <c r="E137" s="729" t="s">
        <v>10</v>
      </c>
      <c r="F137" s="813" t="s">
        <v>1382</v>
      </c>
      <c r="G137" s="729" t="s">
        <v>686</v>
      </c>
      <c r="H137" s="729"/>
      <c r="I137" s="729" t="s">
        <v>8</v>
      </c>
      <c r="J137" s="729" t="s">
        <v>1390</v>
      </c>
      <c r="K137" s="729" t="s">
        <v>1533</v>
      </c>
      <c r="L137" s="729" t="s">
        <v>1534</v>
      </c>
      <c r="M137" s="729">
        <v>545525</v>
      </c>
      <c r="N137" s="729">
        <v>4810586</v>
      </c>
      <c r="O137" s="648">
        <f t="shared" si="3"/>
        <v>3.7</v>
      </c>
      <c r="P137" s="130">
        <v>3.7</v>
      </c>
      <c r="Q137" s="16"/>
      <c r="R137" s="17"/>
      <c r="S137" s="298"/>
      <c r="T137" s="18"/>
      <c r="U137" s="19"/>
      <c r="V137" s="41"/>
      <c r="W137" s="187"/>
      <c r="X137" s="76"/>
      <c r="Y137" s="264"/>
      <c r="Z137" s="306"/>
      <c r="AA137" s="358">
        <v>43371</v>
      </c>
      <c r="AB137" s="358">
        <v>43371</v>
      </c>
      <c r="AC137" s="729" t="s">
        <v>311</v>
      </c>
      <c r="AD137" s="729" t="s">
        <v>312</v>
      </c>
      <c r="AE137" s="729" t="s">
        <v>313</v>
      </c>
      <c r="AF137" s="729" t="s">
        <v>314</v>
      </c>
      <c r="AG137" s="729" t="s">
        <v>314</v>
      </c>
      <c r="AH137" s="729" t="s">
        <v>313</v>
      </c>
      <c r="AI137" s="987"/>
      <c r="AJ137" s="729" t="s">
        <v>314</v>
      </c>
      <c r="AK137" s="729" t="s">
        <v>313</v>
      </c>
      <c r="AL137" s="729" t="s">
        <v>315</v>
      </c>
      <c r="AM137" s="729" t="s">
        <v>315</v>
      </c>
      <c r="AN137" s="732" t="s">
        <v>315</v>
      </c>
      <c r="AO137" s="729" t="s">
        <v>316</v>
      </c>
      <c r="AP137" s="103"/>
    </row>
    <row r="138" spans="1:49" s="270" customFormat="1" ht="15" customHeight="1" x14ac:dyDescent="0.25">
      <c r="A138" s="862">
        <v>43373</v>
      </c>
      <c r="B138" s="862" t="s">
        <v>1396</v>
      </c>
      <c r="C138" s="89" t="s">
        <v>266</v>
      </c>
      <c r="D138" s="863">
        <v>1134</v>
      </c>
      <c r="E138" s="89"/>
      <c r="F138" s="89" t="s">
        <v>1397</v>
      </c>
      <c r="G138" s="89" t="s">
        <v>1398</v>
      </c>
      <c r="H138" s="89"/>
      <c r="I138" s="89" t="s">
        <v>63</v>
      </c>
      <c r="J138" s="89" t="s">
        <v>1399</v>
      </c>
      <c r="K138" s="89" t="s">
        <v>1537</v>
      </c>
      <c r="L138" s="89" t="s">
        <v>1538</v>
      </c>
      <c r="M138" s="89">
        <v>565268</v>
      </c>
      <c r="N138" s="89">
        <v>4835005</v>
      </c>
      <c r="O138" s="648">
        <f t="shared" si="3"/>
        <v>70</v>
      </c>
      <c r="P138" s="130"/>
      <c r="Q138" s="16"/>
      <c r="R138" s="17"/>
      <c r="S138" s="646"/>
      <c r="T138" s="18"/>
      <c r="U138" s="19"/>
      <c r="V138" s="41"/>
      <c r="W138" s="187"/>
      <c r="X138" s="76"/>
      <c r="Y138" s="647">
        <v>70</v>
      </c>
      <c r="Z138" s="306"/>
      <c r="AA138" s="817"/>
      <c r="AB138" s="817"/>
      <c r="AC138" s="987"/>
      <c r="AD138" s="987"/>
      <c r="AE138" s="987"/>
      <c r="AF138" s="987"/>
      <c r="AG138" s="987"/>
      <c r="AH138" s="987"/>
      <c r="AI138" s="987"/>
      <c r="AJ138" s="987"/>
      <c r="AK138" s="987"/>
      <c r="AL138" s="987"/>
      <c r="AM138" s="987"/>
      <c r="AN138" s="967"/>
      <c r="AO138" s="987"/>
      <c r="AP138" s="103"/>
    </row>
    <row r="139" spans="1:49" ht="15" customHeight="1" x14ac:dyDescent="0.25">
      <c r="A139" s="979">
        <v>43374</v>
      </c>
      <c r="B139" s="979" t="s">
        <v>1400</v>
      </c>
      <c r="C139" s="977" t="s">
        <v>93</v>
      </c>
      <c r="D139" s="980">
        <v>1140</v>
      </c>
      <c r="E139" s="977"/>
      <c r="F139" s="78" t="s">
        <v>1404</v>
      </c>
      <c r="G139" s="977" t="s">
        <v>1402</v>
      </c>
      <c r="H139" s="977" t="s">
        <v>1044</v>
      </c>
      <c r="I139" s="977" t="s">
        <v>172</v>
      </c>
      <c r="J139" s="977" t="s">
        <v>1403</v>
      </c>
      <c r="K139" s="977" t="s">
        <v>1463</v>
      </c>
      <c r="L139" s="977" t="s">
        <v>1464</v>
      </c>
      <c r="M139" s="977"/>
      <c r="N139" s="977"/>
      <c r="O139" s="648">
        <f t="shared" si="3"/>
        <v>0.12</v>
      </c>
      <c r="P139" s="130"/>
      <c r="Q139" s="16"/>
      <c r="R139" s="17"/>
      <c r="S139" s="646"/>
      <c r="T139" s="18"/>
      <c r="U139" s="19"/>
      <c r="V139" s="41"/>
      <c r="W139" s="187"/>
      <c r="X139" s="76"/>
      <c r="Y139" s="647"/>
      <c r="Z139" s="306">
        <v>0.12</v>
      </c>
      <c r="AA139" s="817"/>
      <c r="AB139" s="817"/>
      <c r="AC139" s="987"/>
      <c r="AD139" s="987"/>
      <c r="AE139" s="987"/>
      <c r="AF139" s="987"/>
      <c r="AG139" s="987"/>
      <c r="AH139" s="987"/>
      <c r="AI139" s="987"/>
      <c r="AJ139" s="987"/>
      <c r="AK139" s="987"/>
      <c r="AL139" s="987"/>
      <c r="AM139" s="987"/>
      <c r="AN139" s="967"/>
      <c r="AO139" s="987"/>
      <c r="AQ139" s="270"/>
      <c r="AR139" s="270"/>
      <c r="AS139" s="270"/>
      <c r="AT139" s="270"/>
      <c r="AU139" s="270"/>
    </row>
    <row r="140" spans="1:49" ht="15" customHeight="1" x14ac:dyDescent="0.25">
      <c r="A140" s="817">
        <v>43387</v>
      </c>
      <c r="B140" s="817" t="s">
        <v>1445</v>
      </c>
      <c r="C140" s="995" t="s">
        <v>269</v>
      </c>
      <c r="D140" s="819">
        <v>1191</v>
      </c>
      <c r="E140" s="995"/>
      <c r="F140" s="18" t="s">
        <v>1444</v>
      </c>
      <c r="G140" s="995"/>
      <c r="H140" s="995"/>
      <c r="I140" s="995" t="s">
        <v>367</v>
      </c>
      <c r="J140" s="995" t="s">
        <v>1446</v>
      </c>
      <c r="K140" s="995" t="s">
        <v>1447</v>
      </c>
      <c r="L140" s="995" t="s">
        <v>1448</v>
      </c>
      <c r="M140" s="995"/>
      <c r="N140" s="995"/>
      <c r="O140" s="648">
        <f t="shared" si="3"/>
        <v>0</v>
      </c>
      <c r="P140" s="130"/>
      <c r="Q140" s="16"/>
      <c r="R140" s="17"/>
      <c r="S140" s="298"/>
      <c r="T140" s="18"/>
      <c r="U140" s="19"/>
      <c r="V140" s="41"/>
      <c r="W140" s="187"/>
      <c r="X140" s="76"/>
      <c r="Y140" s="264"/>
      <c r="Z140" s="306"/>
      <c r="AA140" s="817"/>
      <c r="AB140" s="817"/>
      <c r="AC140" s="995"/>
      <c r="AD140" s="995"/>
      <c r="AE140" s="995"/>
      <c r="AF140" s="995"/>
      <c r="AG140" s="995"/>
      <c r="AH140" s="995"/>
      <c r="AI140" s="995"/>
      <c r="AJ140" s="995"/>
      <c r="AK140" s="995"/>
      <c r="AL140" s="995"/>
      <c r="AM140" s="995"/>
      <c r="AN140" s="967"/>
      <c r="AO140" s="995"/>
    </row>
    <row r="141" spans="1:49" ht="15" customHeight="1" x14ac:dyDescent="0.25">
      <c r="A141" s="358">
        <v>43389</v>
      </c>
      <c r="B141" s="358" t="s">
        <v>1459</v>
      </c>
      <c r="C141" s="729" t="s">
        <v>91</v>
      </c>
      <c r="D141" s="359">
        <v>1206</v>
      </c>
      <c r="E141" s="729" t="s">
        <v>10</v>
      </c>
      <c r="F141" s="813" t="s">
        <v>1458</v>
      </c>
      <c r="G141" s="729" t="s">
        <v>818</v>
      </c>
      <c r="H141" s="729"/>
      <c r="I141" s="729" t="s">
        <v>8</v>
      </c>
      <c r="J141" s="729" t="s">
        <v>338</v>
      </c>
      <c r="K141" s="729" t="s">
        <v>1461</v>
      </c>
      <c r="L141" s="729" t="s">
        <v>1462</v>
      </c>
      <c r="M141" s="729">
        <v>627609</v>
      </c>
      <c r="N141" s="729">
        <v>4756524</v>
      </c>
      <c r="O141" s="648">
        <f t="shared" si="3"/>
        <v>14</v>
      </c>
      <c r="P141" s="130">
        <v>14</v>
      </c>
      <c r="Q141" s="16"/>
      <c r="R141" s="17"/>
      <c r="S141" s="298"/>
      <c r="T141" s="18"/>
      <c r="U141" s="19"/>
      <c r="V141" s="41"/>
      <c r="W141" s="187"/>
      <c r="X141" s="76"/>
      <c r="Y141" s="264"/>
      <c r="Z141" s="306"/>
      <c r="AA141" s="358">
        <v>43389</v>
      </c>
      <c r="AB141" s="358">
        <v>43390</v>
      </c>
      <c r="AC141" s="729" t="s">
        <v>311</v>
      </c>
      <c r="AD141" s="729" t="s">
        <v>94</v>
      </c>
      <c r="AE141" s="729" t="s">
        <v>313</v>
      </c>
      <c r="AF141" s="729" t="s">
        <v>314</v>
      </c>
      <c r="AG141" s="729" t="s">
        <v>314</v>
      </c>
      <c r="AH141" s="729" t="s">
        <v>314</v>
      </c>
      <c r="AI141" s="993"/>
      <c r="AJ141" s="729" t="s">
        <v>314</v>
      </c>
      <c r="AK141" s="729" t="s">
        <v>313</v>
      </c>
      <c r="AL141" s="729" t="s">
        <v>315</v>
      </c>
      <c r="AM141" s="729" t="s">
        <v>315</v>
      </c>
      <c r="AN141" s="732" t="s">
        <v>315</v>
      </c>
      <c r="AO141" s="729" t="s">
        <v>321</v>
      </c>
    </row>
    <row r="142" spans="1:49" ht="15" customHeight="1" x14ac:dyDescent="0.25">
      <c r="A142" s="358">
        <v>43394</v>
      </c>
      <c r="B142" s="358" t="s">
        <v>1469</v>
      </c>
      <c r="C142" s="729" t="s">
        <v>91</v>
      </c>
      <c r="D142" s="359">
        <v>1217</v>
      </c>
      <c r="E142" s="729" t="s">
        <v>13</v>
      </c>
      <c r="F142" s="813" t="s">
        <v>1473</v>
      </c>
      <c r="G142" s="729" t="s">
        <v>390</v>
      </c>
      <c r="H142" s="729"/>
      <c r="I142" s="729" t="s">
        <v>8</v>
      </c>
      <c r="J142" s="729" t="s">
        <v>1470</v>
      </c>
      <c r="K142" s="729" t="s">
        <v>1471</v>
      </c>
      <c r="L142" s="729" t="s">
        <v>1539</v>
      </c>
      <c r="M142" s="729">
        <v>502728</v>
      </c>
      <c r="N142" s="729">
        <v>4816167</v>
      </c>
      <c r="O142" s="648">
        <f t="shared" si="3"/>
        <v>23</v>
      </c>
      <c r="P142" s="130">
        <v>23</v>
      </c>
      <c r="Q142" s="16"/>
      <c r="R142" s="17"/>
      <c r="S142" s="298"/>
      <c r="T142" s="18"/>
      <c r="U142" s="19"/>
      <c r="V142" s="41"/>
      <c r="W142" s="187"/>
      <c r="X142" s="76"/>
      <c r="Y142" s="264"/>
      <c r="Z142" s="306"/>
      <c r="AA142" s="358">
        <v>43394</v>
      </c>
      <c r="AB142" s="358">
        <v>43394</v>
      </c>
      <c r="AC142" s="729" t="s">
        <v>311</v>
      </c>
      <c r="AD142" s="729" t="s">
        <v>312</v>
      </c>
      <c r="AE142" s="729" t="s">
        <v>313</v>
      </c>
      <c r="AF142" s="729" t="s">
        <v>314</v>
      </c>
      <c r="AG142" s="729" t="s">
        <v>313</v>
      </c>
      <c r="AH142" s="729" t="s">
        <v>314</v>
      </c>
      <c r="AI142" s="996"/>
      <c r="AJ142" s="729" t="s">
        <v>314</v>
      </c>
      <c r="AK142" s="729" t="s">
        <v>313</v>
      </c>
      <c r="AL142" s="729" t="s">
        <v>315</v>
      </c>
      <c r="AM142" s="729" t="s">
        <v>315</v>
      </c>
      <c r="AN142" s="732" t="s">
        <v>315</v>
      </c>
      <c r="AO142" s="729" t="s">
        <v>321</v>
      </c>
    </row>
    <row r="143" spans="1:49" ht="15" customHeight="1" x14ac:dyDescent="0.25">
      <c r="A143" s="358">
        <v>43396</v>
      </c>
      <c r="B143" s="358" t="s">
        <v>1493</v>
      </c>
      <c r="C143" s="729" t="s">
        <v>91</v>
      </c>
      <c r="D143" s="359">
        <v>1222</v>
      </c>
      <c r="E143" s="729" t="s">
        <v>11</v>
      </c>
      <c r="F143" s="813" t="s">
        <v>1474</v>
      </c>
      <c r="G143" s="729" t="s">
        <v>332</v>
      </c>
      <c r="H143" s="729"/>
      <c r="I143" s="729" t="s">
        <v>8</v>
      </c>
      <c r="J143" s="729" t="s">
        <v>679</v>
      </c>
      <c r="K143" s="729" t="s">
        <v>1475</v>
      </c>
      <c r="L143" s="729" t="s">
        <v>1541</v>
      </c>
      <c r="M143" s="729">
        <v>554128</v>
      </c>
      <c r="N143" s="729">
        <v>4806313</v>
      </c>
      <c r="O143" s="648">
        <f t="shared" si="3"/>
        <v>1</v>
      </c>
      <c r="P143" s="130">
        <v>1</v>
      </c>
      <c r="Q143" s="16"/>
      <c r="R143" s="17"/>
      <c r="S143" s="298"/>
      <c r="T143" s="18"/>
      <c r="U143" s="19"/>
      <c r="V143" s="41"/>
      <c r="W143" s="187"/>
      <c r="X143" s="76"/>
      <c r="Y143" s="264"/>
      <c r="Z143" s="306"/>
      <c r="AA143" s="358">
        <v>43396</v>
      </c>
      <c r="AB143" s="358">
        <v>43396</v>
      </c>
      <c r="AC143" s="729" t="s">
        <v>311</v>
      </c>
      <c r="AD143" s="729" t="s">
        <v>312</v>
      </c>
      <c r="AE143" s="729" t="s">
        <v>313</v>
      </c>
      <c r="AF143" s="729" t="s">
        <v>314</v>
      </c>
      <c r="AG143" s="729" t="s">
        <v>314</v>
      </c>
      <c r="AH143" s="729" t="s">
        <v>314</v>
      </c>
      <c r="AI143" s="997"/>
      <c r="AJ143" s="729" t="s">
        <v>314</v>
      </c>
      <c r="AK143" s="729" t="s">
        <v>314</v>
      </c>
      <c r="AL143" s="729" t="s">
        <v>315</v>
      </c>
      <c r="AM143" s="729" t="s">
        <v>315</v>
      </c>
      <c r="AN143" s="732" t="s">
        <v>315</v>
      </c>
      <c r="AO143" s="729" t="s">
        <v>316</v>
      </c>
    </row>
    <row r="144" spans="1:49" ht="15" customHeight="1" x14ac:dyDescent="0.25">
      <c r="A144" s="817">
        <v>43400</v>
      </c>
      <c r="B144" s="999" t="s">
        <v>1494</v>
      </c>
      <c r="C144" s="999" t="s">
        <v>91</v>
      </c>
      <c r="D144" s="999">
        <v>1239</v>
      </c>
      <c r="E144" s="999"/>
      <c r="F144" s="18" t="s">
        <v>1492</v>
      </c>
      <c r="G144" s="999"/>
      <c r="H144" s="999"/>
      <c r="I144" s="999" t="s">
        <v>367</v>
      </c>
      <c r="J144" s="999" t="s">
        <v>1495</v>
      </c>
      <c r="K144" s="999" t="s">
        <v>1496</v>
      </c>
      <c r="L144" s="999" t="s">
        <v>1497</v>
      </c>
      <c r="M144" s="999"/>
      <c r="N144" s="999"/>
      <c r="O144" s="658">
        <f t="shared" si="3"/>
        <v>19</v>
      </c>
      <c r="P144" s="130">
        <v>19</v>
      </c>
      <c r="Q144" s="16"/>
      <c r="R144" s="17"/>
      <c r="S144" s="298"/>
      <c r="T144" s="18"/>
      <c r="U144" s="19"/>
      <c r="V144" s="41"/>
      <c r="W144" s="187"/>
      <c r="X144" s="76"/>
      <c r="Y144" s="264"/>
      <c r="Z144" s="306"/>
      <c r="AA144" s="817"/>
      <c r="AB144" s="817"/>
      <c r="AC144" s="1005"/>
      <c r="AD144" s="1005"/>
      <c r="AE144" s="1005"/>
      <c r="AF144" s="1005"/>
      <c r="AG144" s="1005"/>
      <c r="AH144" s="1005"/>
      <c r="AI144" s="1005"/>
      <c r="AJ144" s="1005"/>
      <c r="AK144" s="1005"/>
      <c r="AL144" s="1005"/>
      <c r="AM144" s="1005"/>
      <c r="AN144" s="967"/>
      <c r="AO144" s="1005"/>
      <c r="AW144" s="270"/>
    </row>
    <row r="145" spans="1:49" ht="15" customHeight="1" x14ac:dyDescent="0.25">
      <c r="A145" s="358">
        <v>43415</v>
      </c>
      <c r="B145" s="358" t="s">
        <v>1522</v>
      </c>
      <c r="C145" s="729" t="s">
        <v>256</v>
      </c>
      <c r="D145" s="359">
        <v>1248</v>
      </c>
      <c r="E145" s="729" t="s">
        <v>10</v>
      </c>
      <c r="F145" s="813" t="s">
        <v>1520</v>
      </c>
      <c r="G145" s="729" t="s">
        <v>344</v>
      </c>
      <c r="H145" s="729"/>
      <c r="I145" s="729" t="s">
        <v>8</v>
      </c>
      <c r="J145" s="729" t="s">
        <v>1527</v>
      </c>
      <c r="K145" s="729" t="s">
        <v>1528</v>
      </c>
      <c r="L145" s="729" t="s">
        <v>1529</v>
      </c>
      <c r="M145" s="729"/>
      <c r="N145" s="729"/>
      <c r="O145" s="658">
        <f t="shared" ref="O145:O154" si="4">SUM(P145:Z145)</f>
        <v>2736</v>
      </c>
      <c r="P145" s="130">
        <v>2387</v>
      </c>
      <c r="Q145" s="16"/>
      <c r="R145" s="17">
        <v>303</v>
      </c>
      <c r="S145" s="298">
        <v>46</v>
      </c>
      <c r="T145" s="18"/>
      <c r="U145" s="19"/>
      <c r="V145" s="41"/>
      <c r="W145" s="187"/>
      <c r="X145" s="76"/>
      <c r="Y145" s="264"/>
      <c r="Z145" s="306"/>
      <c r="AA145" s="358">
        <v>43416</v>
      </c>
      <c r="AB145" s="358"/>
      <c r="AC145" s="729" t="s">
        <v>311</v>
      </c>
      <c r="AD145" s="729" t="s">
        <v>312</v>
      </c>
      <c r="AE145" s="729" t="s">
        <v>314</v>
      </c>
      <c r="AF145" s="729"/>
      <c r="AG145" s="729" t="s">
        <v>313</v>
      </c>
      <c r="AH145" s="729" t="s">
        <v>314</v>
      </c>
      <c r="AI145" s="1005"/>
      <c r="AJ145" s="729" t="s">
        <v>314</v>
      </c>
      <c r="AK145" s="729" t="s">
        <v>313</v>
      </c>
      <c r="AL145" s="729" t="s">
        <v>315</v>
      </c>
      <c r="AM145" s="729" t="s">
        <v>313</v>
      </c>
      <c r="AN145" s="732" t="s">
        <v>315</v>
      </c>
      <c r="AO145" s="729" t="s">
        <v>698</v>
      </c>
    </row>
    <row r="146" spans="1:49" ht="15" customHeight="1" x14ac:dyDescent="0.25">
      <c r="A146" s="358">
        <v>43415</v>
      </c>
      <c r="B146" s="358" t="s">
        <v>1526</v>
      </c>
      <c r="C146" s="729" t="s">
        <v>91</v>
      </c>
      <c r="D146" s="359">
        <v>1249</v>
      </c>
      <c r="E146" s="729" t="s">
        <v>10</v>
      </c>
      <c r="F146" s="813" t="s">
        <v>1521</v>
      </c>
      <c r="G146" s="729" t="s">
        <v>332</v>
      </c>
      <c r="H146" s="729"/>
      <c r="I146" s="729" t="s">
        <v>8</v>
      </c>
      <c r="J146" s="729" t="s">
        <v>1523</v>
      </c>
      <c r="K146" s="729" t="s">
        <v>1524</v>
      </c>
      <c r="L146" s="729" t="s">
        <v>1525</v>
      </c>
      <c r="M146" s="729"/>
      <c r="N146" s="729"/>
      <c r="O146" s="658">
        <f t="shared" si="4"/>
        <v>60</v>
      </c>
      <c r="P146" s="130">
        <v>60</v>
      </c>
      <c r="Q146" s="16"/>
      <c r="R146" s="17"/>
      <c r="S146" s="298"/>
      <c r="T146" s="18"/>
      <c r="U146" s="19"/>
      <c r="V146" s="41"/>
      <c r="W146" s="187"/>
      <c r="X146" s="76"/>
      <c r="Y146" s="264"/>
      <c r="Z146" s="306"/>
      <c r="AA146" s="358"/>
      <c r="AB146" s="358"/>
      <c r="AC146" s="729"/>
      <c r="AD146" s="729"/>
      <c r="AE146" s="729"/>
      <c r="AF146" s="729"/>
      <c r="AG146" s="729"/>
      <c r="AH146" s="729"/>
      <c r="AI146" s="729"/>
      <c r="AJ146" s="729"/>
      <c r="AK146" s="729"/>
      <c r="AL146" s="729"/>
      <c r="AM146" s="729"/>
      <c r="AN146" s="732"/>
      <c r="AO146" s="729"/>
    </row>
    <row r="147" spans="1:49" s="270" customFormat="1" ht="15" customHeight="1" x14ac:dyDescent="0.25">
      <c r="A147" s="358"/>
      <c r="B147" s="358"/>
      <c r="C147" s="729"/>
      <c r="D147" s="359"/>
      <c r="E147" s="729"/>
      <c r="F147" s="729"/>
      <c r="G147" s="729"/>
      <c r="H147" s="729"/>
      <c r="I147" s="729"/>
      <c r="J147" s="729"/>
      <c r="K147" s="729"/>
      <c r="L147" s="729"/>
      <c r="M147" s="729"/>
      <c r="N147" s="729"/>
      <c r="O147" s="658">
        <f t="shared" si="4"/>
        <v>0</v>
      </c>
      <c r="P147" s="130"/>
      <c r="Q147" s="16"/>
      <c r="R147" s="17"/>
      <c r="S147" s="298"/>
      <c r="T147" s="18"/>
      <c r="U147" s="19"/>
      <c r="V147" s="41"/>
      <c r="W147" s="187"/>
      <c r="X147" s="76"/>
      <c r="Y147" s="294"/>
      <c r="Z147" s="306"/>
      <c r="AA147" s="358"/>
      <c r="AB147" s="358"/>
      <c r="AC147" s="729"/>
      <c r="AD147" s="729"/>
      <c r="AE147" s="729"/>
      <c r="AF147" s="729"/>
      <c r="AG147" s="729"/>
      <c r="AH147" s="729"/>
      <c r="AI147" s="729"/>
      <c r="AJ147" s="729"/>
      <c r="AK147" s="729"/>
      <c r="AL147" s="729"/>
      <c r="AM147" s="729"/>
      <c r="AN147" s="732"/>
      <c r="AO147" s="729"/>
      <c r="AP147" s="103"/>
      <c r="AQ147" s="2"/>
      <c r="AR147" s="2"/>
      <c r="AS147" s="2"/>
      <c r="AT147" s="2"/>
      <c r="AU147" s="2"/>
      <c r="AW147" s="2"/>
    </row>
    <row r="148" spans="1:49" ht="15" customHeight="1" x14ac:dyDescent="0.25">
      <c r="A148" s="720"/>
      <c r="B148" s="729"/>
      <c r="C148" s="729"/>
      <c r="D148" s="729"/>
      <c r="E148" s="729"/>
      <c r="F148" s="729"/>
      <c r="G148" s="729"/>
      <c r="H148" s="729"/>
      <c r="I148" s="729"/>
      <c r="J148" s="729"/>
      <c r="K148" s="729"/>
      <c r="L148" s="729"/>
      <c r="M148" s="729"/>
      <c r="N148" s="729"/>
      <c r="O148" s="658">
        <f t="shared" si="4"/>
        <v>0</v>
      </c>
      <c r="P148" s="15"/>
      <c r="Q148" s="16"/>
      <c r="R148" s="17"/>
      <c r="S148" s="298"/>
      <c r="T148" s="18"/>
      <c r="U148" s="19"/>
      <c r="V148" s="41"/>
      <c r="W148" s="187"/>
      <c r="X148" s="76"/>
      <c r="Y148" s="294"/>
      <c r="Z148" s="82"/>
      <c r="AA148" s="358"/>
      <c r="AB148" s="358"/>
      <c r="AC148" s="358"/>
      <c r="AD148" s="358"/>
      <c r="AE148" s="358"/>
      <c r="AF148" s="358"/>
      <c r="AG148" s="358"/>
      <c r="AH148" s="358"/>
      <c r="AI148" s="358"/>
      <c r="AJ148" s="358"/>
      <c r="AK148" s="358"/>
      <c r="AL148" s="358"/>
      <c r="AM148" s="358"/>
      <c r="AN148" s="358"/>
      <c r="AO148" s="358"/>
    </row>
    <row r="149" spans="1:49" ht="15" customHeight="1" x14ac:dyDescent="0.25">
      <c r="A149" s="358"/>
      <c r="B149" s="358"/>
      <c r="C149" s="729"/>
      <c r="D149" s="359"/>
      <c r="E149" s="729"/>
      <c r="F149" s="729"/>
      <c r="G149" s="729"/>
      <c r="H149" s="729"/>
      <c r="I149" s="729"/>
      <c r="J149" s="729"/>
      <c r="K149" s="729"/>
      <c r="L149" s="729"/>
      <c r="M149" s="729"/>
      <c r="N149" s="729"/>
      <c r="O149" s="658">
        <f t="shared" si="4"/>
        <v>0</v>
      </c>
      <c r="P149" s="15"/>
      <c r="Q149" s="16"/>
      <c r="R149" s="17"/>
      <c r="S149" s="298"/>
      <c r="T149" s="18"/>
      <c r="U149" s="19"/>
      <c r="V149" s="41"/>
      <c r="W149" s="187"/>
      <c r="X149" s="76"/>
      <c r="Y149" s="294"/>
      <c r="Z149" s="82"/>
      <c r="AA149" s="358"/>
      <c r="AB149" s="358"/>
      <c r="AC149" s="729"/>
      <c r="AD149" s="729"/>
      <c r="AE149" s="729"/>
      <c r="AF149" s="729"/>
      <c r="AG149" s="729"/>
      <c r="AH149" s="729"/>
      <c r="AI149" s="729"/>
      <c r="AJ149" s="729"/>
      <c r="AK149" s="729"/>
      <c r="AL149" s="729"/>
      <c r="AM149" s="729"/>
      <c r="AN149" s="732"/>
      <c r="AO149" s="729"/>
    </row>
    <row r="150" spans="1:49" ht="15" customHeight="1" x14ac:dyDescent="0.25">
      <c r="A150" s="358"/>
      <c r="B150" s="358"/>
      <c r="C150" s="729"/>
      <c r="D150" s="359"/>
      <c r="E150" s="729"/>
      <c r="F150" s="729"/>
      <c r="G150" s="729"/>
      <c r="H150" s="729"/>
      <c r="I150" s="729"/>
      <c r="J150" s="729"/>
      <c r="K150" s="729"/>
      <c r="L150" s="729"/>
      <c r="M150" s="729"/>
      <c r="N150" s="729"/>
      <c r="O150" s="658">
        <f t="shared" si="4"/>
        <v>0</v>
      </c>
      <c r="P150" s="15"/>
      <c r="Q150" s="16"/>
      <c r="R150" s="17"/>
      <c r="S150" s="298"/>
      <c r="T150" s="18"/>
      <c r="U150" s="19"/>
      <c r="V150" s="41"/>
      <c r="W150" s="187"/>
      <c r="X150" s="76"/>
      <c r="Y150" s="264"/>
      <c r="Z150" s="82"/>
      <c r="AA150" s="358"/>
      <c r="AB150" s="358"/>
      <c r="AC150" s="729"/>
      <c r="AD150" s="729"/>
      <c r="AE150" s="729"/>
      <c r="AF150" s="729"/>
      <c r="AG150" s="729"/>
      <c r="AH150" s="729"/>
      <c r="AI150" s="729"/>
      <c r="AJ150" s="729"/>
      <c r="AK150" s="729"/>
      <c r="AL150" s="729"/>
      <c r="AM150" s="729"/>
      <c r="AN150" s="732"/>
      <c r="AO150" s="729"/>
    </row>
    <row r="151" spans="1:49" s="270" customFormat="1" ht="15" customHeight="1" x14ac:dyDescent="0.25">
      <c r="A151" s="358"/>
      <c r="B151" s="358"/>
      <c r="C151" s="729"/>
      <c r="D151" s="359"/>
      <c r="E151" s="729"/>
      <c r="F151" s="729"/>
      <c r="G151" s="729"/>
      <c r="H151" s="729"/>
      <c r="I151" s="729"/>
      <c r="J151" s="729"/>
      <c r="K151" s="729"/>
      <c r="L151" s="729"/>
      <c r="M151" s="729"/>
      <c r="N151" s="729"/>
      <c r="O151" s="658">
        <f t="shared" si="4"/>
        <v>0</v>
      </c>
      <c r="P151" s="15"/>
      <c r="Q151" s="16"/>
      <c r="R151" s="17"/>
      <c r="S151" s="262"/>
      <c r="T151" s="18"/>
      <c r="U151" s="19"/>
      <c r="V151" s="41"/>
      <c r="W151" s="187"/>
      <c r="X151" s="76"/>
      <c r="Y151" s="264"/>
      <c r="Z151" s="82"/>
      <c r="AA151" s="358"/>
      <c r="AB151" s="358"/>
      <c r="AC151" s="729"/>
      <c r="AD151" s="729"/>
      <c r="AE151" s="729"/>
      <c r="AF151" s="729"/>
      <c r="AG151" s="729"/>
      <c r="AH151" s="729"/>
      <c r="AI151" s="729"/>
      <c r="AJ151" s="729"/>
      <c r="AK151" s="729"/>
      <c r="AL151" s="729"/>
      <c r="AM151" s="729"/>
      <c r="AN151" s="732"/>
      <c r="AO151" s="729"/>
      <c r="AP151" s="103"/>
    </row>
    <row r="152" spans="1:49" ht="15" customHeight="1" x14ac:dyDescent="0.25">
      <c r="A152" s="358"/>
      <c r="B152" s="358"/>
      <c r="C152" s="729"/>
      <c r="D152" s="359"/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661">
        <f t="shared" si="4"/>
        <v>0</v>
      </c>
      <c r="P152" s="15"/>
      <c r="Q152" s="16"/>
      <c r="R152" s="17"/>
      <c r="S152" s="659"/>
      <c r="T152" s="18"/>
      <c r="U152" s="19"/>
      <c r="V152" s="41"/>
      <c r="W152" s="187"/>
      <c r="X152" s="76"/>
      <c r="Y152" s="660"/>
      <c r="Z152" s="82"/>
      <c r="AA152" s="358"/>
      <c r="AB152" s="358"/>
      <c r="AC152" s="729"/>
      <c r="AD152" s="729"/>
      <c r="AE152" s="729"/>
      <c r="AF152" s="729"/>
      <c r="AG152" s="729"/>
      <c r="AH152" s="729"/>
      <c r="AI152" s="729"/>
      <c r="AJ152" s="729"/>
      <c r="AK152" s="729"/>
      <c r="AL152" s="729"/>
      <c r="AM152" s="729"/>
      <c r="AN152" s="732"/>
      <c r="AO152" s="729"/>
    </row>
    <row r="153" spans="1:49" ht="15" customHeight="1" x14ac:dyDescent="0.25">
      <c r="A153" s="358"/>
      <c r="B153" s="358"/>
      <c r="C153" s="729"/>
      <c r="D153" s="359"/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661">
        <f t="shared" si="4"/>
        <v>0</v>
      </c>
      <c r="P153" s="15"/>
      <c r="Q153" s="16"/>
      <c r="R153" s="17"/>
      <c r="S153" s="262"/>
      <c r="T153" s="18"/>
      <c r="U153" s="19"/>
      <c r="V153" s="41"/>
      <c r="W153" s="187"/>
      <c r="X153" s="76"/>
      <c r="Y153" s="264"/>
      <c r="Z153" s="82"/>
      <c r="AA153" s="358"/>
      <c r="AB153" s="358"/>
      <c r="AC153" s="729"/>
      <c r="AD153" s="729"/>
      <c r="AE153" s="729"/>
      <c r="AF153" s="729"/>
      <c r="AG153" s="729"/>
      <c r="AH153" s="729"/>
      <c r="AI153" s="729"/>
      <c r="AJ153" s="729"/>
      <c r="AK153" s="729"/>
      <c r="AL153" s="729"/>
      <c r="AM153" s="729"/>
      <c r="AN153" s="732"/>
      <c r="AO153" s="729"/>
    </row>
    <row r="154" spans="1:49" ht="15" customHeight="1" x14ac:dyDescent="0.25">
      <c r="A154" s="358"/>
      <c r="B154" s="358"/>
      <c r="C154" s="729"/>
      <c r="D154" s="35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661">
        <f t="shared" si="4"/>
        <v>0</v>
      </c>
      <c r="P154" s="15"/>
      <c r="Q154" s="16"/>
      <c r="R154" s="17"/>
      <c r="S154" s="262"/>
      <c r="T154" s="18"/>
      <c r="U154" s="19"/>
      <c r="V154" s="41"/>
      <c r="W154" s="187"/>
      <c r="X154" s="76"/>
      <c r="Y154" s="264"/>
      <c r="Z154" s="82"/>
      <c r="AA154" s="358"/>
      <c r="AB154" s="358"/>
      <c r="AC154" s="729"/>
      <c r="AD154" s="729"/>
      <c r="AE154" s="729"/>
      <c r="AF154" s="729"/>
      <c r="AG154" s="729"/>
      <c r="AH154" s="729"/>
      <c r="AI154" s="729"/>
      <c r="AJ154" s="729"/>
      <c r="AK154" s="729"/>
      <c r="AL154" s="729"/>
      <c r="AM154" s="729"/>
      <c r="AN154" s="732"/>
      <c r="AO154" s="729"/>
    </row>
    <row r="155" spans="1:49" ht="15" customHeight="1" x14ac:dyDescent="0.25">
      <c r="A155" s="358"/>
      <c r="B155" s="358"/>
      <c r="C155" s="729"/>
      <c r="D155" s="359"/>
      <c r="E155" s="729"/>
      <c r="F155" s="729"/>
      <c r="G155" s="729"/>
      <c r="H155" s="729"/>
      <c r="I155" s="729"/>
      <c r="J155" s="729"/>
      <c r="K155" s="729"/>
      <c r="L155" s="729"/>
      <c r="M155" s="729"/>
      <c r="N155" s="729"/>
      <c r="O155" s="523">
        <f t="shared" ref="O155:O209" si="5">SUM(P155:Z155)</f>
        <v>0</v>
      </c>
      <c r="P155" s="15"/>
      <c r="Q155" s="16"/>
      <c r="R155" s="17"/>
      <c r="S155" s="262"/>
      <c r="T155" s="18"/>
      <c r="U155" s="19"/>
      <c r="V155" s="41"/>
      <c r="W155" s="187"/>
      <c r="X155" s="76"/>
      <c r="Y155" s="264"/>
      <c r="Z155" s="82"/>
      <c r="AA155" s="358"/>
      <c r="AB155" s="358"/>
      <c r="AC155" s="729"/>
      <c r="AD155" s="729"/>
      <c r="AE155" s="729"/>
      <c r="AF155" s="729"/>
      <c r="AG155" s="729"/>
      <c r="AH155" s="729"/>
      <c r="AI155" s="729"/>
      <c r="AJ155" s="729"/>
      <c r="AK155" s="729"/>
      <c r="AL155" s="729"/>
      <c r="AM155" s="729"/>
      <c r="AN155" s="732"/>
      <c r="AO155" s="729"/>
    </row>
    <row r="156" spans="1:49" ht="15" customHeight="1" x14ac:dyDescent="0.25">
      <c r="A156" s="358"/>
      <c r="B156" s="358"/>
      <c r="C156" s="729"/>
      <c r="D156" s="359"/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523">
        <f t="shared" si="5"/>
        <v>0</v>
      </c>
      <c r="P156" s="15"/>
      <c r="Q156" s="16"/>
      <c r="R156" s="17"/>
      <c r="S156" s="262"/>
      <c r="T156" s="18"/>
      <c r="U156" s="19"/>
      <c r="V156" s="41"/>
      <c r="W156" s="187"/>
      <c r="X156" s="76"/>
      <c r="Y156" s="264"/>
      <c r="Z156" s="82"/>
      <c r="AA156" s="358"/>
      <c r="AB156" s="358"/>
      <c r="AC156" s="729"/>
      <c r="AD156" s="729"/>
      <c r="AE156" s="729"/>
      <c r="AF156" s="729"/>
      <c r="AG156" s="729"/>
      <c r="AH156" s="729"/>
      <c r="AI156" s="729"/>
      <c r="AJ156" s="729"/>
      <c r="AK156" s="729"/>
      <c r="AL156" s="729"/>
      <c r="AM156" s="729"/>
      <c r="AN156" s="732"/>
      <c r="AO156" s="729"/>
    </row>
    <row r="157" spans="1:49" ht="15" customHeight="1" x14ac:dyDescent="0.25">
      <c r="A157" s="358"/>
      <c r="B157" s="358"/>
      <c r="C157" s="729"/>
      <c r="D157" s="359"/>
      <c r="E157" s="729"/>
      <c r="F157" s="729"/>
      <c r="G157" s="729"/>
      <c r="H157" s="729"/>
      <c r="I157" s="729"/>
      <c r="J157" s="729"/>
      <c r="K157" s="729"/>
      <c r="L157" s="729"/>
      <c r="M157" s="729"/>
      <c r="N157" s="729"/>
      <c r="O157" s="523">
        <f t="shared" si="5"/>
        <v>0</v>
      </c>
      <c r="P157" s="15"/>
      <c r="Q157" s="16"/>
      <c r="R157" s="17"/>
      <c r="S157" s="262"/>
      <c r="T157" s="18"/>
      <c r="U157" s="19"/>
      <c r="V157" s="41"/>
      <c r="W157" s="187"/>
      <c r="X157" s="76"/>
      <c r="Y157" s="264"/>
      <c r="Z157" s="82"/>
      <c r="AA157" s="358"/>
      <c r="AB157" s="358"/>
      <c r="AC157" s="729"/>
      <c r="AD157" s="729"/>
      <c r="AE157" s="729"/>
      <c r="AF157" s="729"/>
      <c r="AG157" s="729"/>
      <c r="AH157" s="729"/>
      <c r="AI157" s="729"/>
      <c r="AJ157" s="729"/>
      <c r="AK157" s="729"/>
      <c r="AL157" s="729"/>
      <c r="AM157" s="729"/>
      <c r="AN157" s="732"/>
      <c r="AO157" s="729"/>
    </row>
    <row r="158" spans="1:49" ht="15" customHeight="1" x14ac:dyDescent="0.25">
      <c r="A158" s="358"/>
      <c r="B158" s="358"/>
      <c r="C158" s="729"/>
      <c r="D158" s="35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523">
        <f t="shared" si="5"/>
        <v>0</v>
      </c>
      <c r="P158" s="15"/>
      <c r="Q158" s="16"/>
      <c r="R158" s="17"/>
      <c r="S158" s="289"/>
      <c r="T158" s="18"/>
      <c r="U158" s="19"/>
      <c r="V158" s="41"/>
      <c r="W158" s="187"/>
      <c r="X158" s="76"/>
      <c r="Y158" s="291"/>
      <c r="Z158" s="82"/>
      <c r="AA158" s="358"/>
      <c r="AB158" s="358"/>
      <c r="AC158" s="729"/>
      <c r="AD158" s="729"/>
      <c r="AE158" s="729"/>
      <c r="AF158" s="729"/>
      <c r="AG158" s="729"/>
      <c r="AH158" s="729"/>
      <c r="AI158" s="729"/>
      <c r="AJ158" s="729"/>
      <c r="AK158" s="729"/>
      <c r="AL158" s="729"/>
      <c r="AM158" s="729"/>
      <c r="AN158" s="732"/>
      <c r="AO158" s="729"/>
    </row>
    <row r="159" spans="1:49" ht="15" customHeight="1" x14ac:dyDescent="0.25">
      <c r="A159" s="358"/>
      <c r="B159" s="358"/>
      <c r="C159" s="729"/>
      <c r="D159" s="359"/>
      <c r="E159" s="729"/>
      <c r="F159" s="729"/>
      <c r="G159" s="729"/>
      <c r="H159" s="729"/>
      <c r="I159" s="729"/>
      <c r="J159" s="729"/>
      <c r="K159" s="729"/>
      <c r="L159" s="729"/>
      <c r="M159" s="729"/>
      <c r="N159" s="729"/>
      <c r="O159" s="523">
        <f t="shared" si="5"/>
        <v>0</v>
      </c>
      <c r="P159" s="15"/>
      <c r="Q159" s="16"/>
      <c r="R159" s="17"/>
      <c r="S159" s="293"/>
      <c r="T159" s="18"/>
      <c r="U159" s="19"/>
      <c r="V159" s="41"/>
      <c r="W159" s="187"/>
      <c r="X159" s="76"/>
      <c r="Y159" s="294"/>
      <c r="Z159" s="82"/>
      <c r="AA159" s="358"/>
      <c r="AB159" s="358"/>
      <c r="AC159" s="729"/>
      <c r="AD159" s="729"/>
      <c r="AE159" s="729"/>
      <c r="AF159" s="729"/>
      <c r="AG159" s="729"/>
      <c r="AH159" s="729"/>
      <c r="AI159" s="729"/>
      <c r="AJ159" s="729"/>
      <c r="AK159" s="729"/>
      <c r="AL159" s="729"/>
      <c r="AM159" s="729"/>
      <c r="AN159" s="732"/>
      <c r="AO159" s="729"/>
    </row>
    <row r="160" spans="1:49" ht="15" customHeight="1" x14ac:dyDescent="0.25">
      <c r="A160" s="358"/>
      <c r="B160" s="358"/>
      <c r="C160" s="729"/>
      <c r="D160" s="359"/>
      <c r="E160" s="729"/>
      <c r="F160" s="729"/>
      <c r="G160" s="729"/>
      <c r="H160" s="729"/>
      <c r="I160" s="729"/>
      <c r="J160" s="729"/>
      <c r="K160" s="729"/>
      <c r="L160" s="729"/>
      <c r="M160" s="729"/>
      <c r="N160" s="729"/>
      <c r="O160" s="523">
        <f t="shared" si="5"/>
        <v>0</v>
      </c>
      <c r="P160" s="15"/>
      <c r="Q160" s="16"/>
      <c r="R160" s="17"/>
      <c r="S160" s="262"/>
      <c r="T160" s="18"/>
      <c r="U160" s="19"/>
      <c r="V160" s="41"/>
      <c r="W160" s="187"/>
      <c r="X160" s="76"/>
      <c r="Y160" s="264"/>
      <c r="Z160" s="82"/>
      <c r="AA160" s="358"/>
      <c r="AB160" s="358"/>
      <c r="AC160" s="729"/>
      <c r="AD160" s="729"/>
      <c r="AE160" s="729"/>
      <c r="AF160" s="729"/>
      <c r="AG160" s="729"/>
      <c r="AH160" s="729"/>
      <c r="AI160" s="729"/>
      <c r="AJ160" s="729"/>
      <c r="AK160" s="729"/>
      <c r="AL160" s="729"/>
      <c r="AM160" s="729"/>
      <c r="AN160" s="732"/>
      <c r="AO160" s="729"/>
    </row>
    <row r="161" spans="1:49" s="318" customFormat="1" ht="15" customHeight="1" x14ac:dyDescent="0.25">
      <c r="A161" s="670"/>
      <c r="B161" s="670"/>
      <c r="C161" s="368"/>
      <c r="D161" s="671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672">
        <f t="shared" si="5"/>
        <v>0</v>
      </c>
      <c r="P161" s="673"/>
      <c r="Q161" s="674"/>
      <c r="R161" s="675"/>
      <c r="S161" s="676"/>
      <c r="T161" s="677"/>
      <c r="U161" s="678"/>
      <c r="V161" s="679"/>
      <c r="W161" s="680"/>
      <c r="X161" s="914"/>
      <c r="Y161" s="681"/>
      <c r="Z161" s="818"/>
      <c r="AA161" s="670"/>
      <c r="AB161" s="670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682"/>
      <c r="AO161" s="368"/>
      <c r="AP161" s="683"/>
    </row>
    <row r="162" spans="1:49" ht="15" customHeight="1" x14ac:dyDescent="0.25">
      <c r="A162" s="358"/>
      <c r="B162" s="358"/>
      <c r="C162" s="729"/>
      <c r="D162" s="359"/>
      <c r="E162" s="729"/>
      <c r="F162" s="729"/>
      <c r="G162" s="729"/>
      <c r="H162" s="729"/>
      <c r="I162" s="729"/>
      <c r="J162" s="729"/>
      <c r="K162" s="729"/>
      <c r="L162" s="729"/>
      <c r="M162" s="729"/>
      <c r="N162" s="729"/>
      <c r="O162" s="669">
        <f t="shared" si="5"/>
        <v>0</v>
      </c>
      <c r="P162" s="15"/>
      <c r="Q162" s="16"/>
      <c r="R162" s="17"/>
      <c r="S162" s="667"/>
      <c r="T162" s="18"/>
      <c r="U162" s="19"/>
      <c r="V162" s="41"/>
      <c r="W162" s="187"/>
      <c r="X162" s="76"/>
      <c r="Y162" s="668"/>
      <c r="Z162" s="82"/>
      <c r="AA162" s="358"/>
      <c r="AB162" s="358"/>
      <c r="AC162" s="729"/>
      <c r="AD162" s="729"/>
      <c r="AE162" s="729"/>
      <c r="AF162" s="729"/>
      <c r="AG162" s="729"/>
      <c r="AH162" s="729"/>
      <c r="AI162" s="729"/>
      <c r="AJ162" s="729"/>
      <c r="AK162" s="729"/>
      <c r="AL162" s="729"/>
      <c r="AM162" s="729"/>
      <c r="AN162" s="732"/>
      <c r="AO162" s="729"/>
      <c r="AP162" s="103" t="s">
        <v>6</v>
      </c>
    </row>
    <row r="163" spans="1:49" ht="15" customHeight="1" x14ac:dyDescent="0.25">
      <c r="A163" s="358"/>
      <c r="B163" s="358"/>
      <c r="C163" s="729"/>
      <c r="D163" s="359"/>
      <c r="E163" s="729"/>
      <c r="F163" s="729"/>
      <c r="G163" s="729"/>
      <c r="H163" s="729"/>
      <c r="I163" s="729"/>
      <c r="J163" s="729"/>
      <c r="K163" s="729"/>
      <c r="L163" s="729"/>
      <c r="M163" s="729"/>
      <c r="N163" s="729"/>
      <c r="O163" s="523">
        <f t="shared" si="5"/>
        <v>0</v>
      </c>
      <c r="P163" s="15"/>
      <c r="Q163" s="16"/>
      <c r="R163" s="17"/>
      <c r="S163" s="262"/>
      <c r="T163" s="18"/>
      <c r="U163" s="19"/>
      <c r="V163" s="41"/>
      <c r="W163" s="187"/>
      <c r="X163" s="76"/>
      <c r="Y163" s="264"/>
      <c r="Z163" s="82"/>
      <c r="AA163" s="358"/>
      <c r="AB163" s="358"/>
      <c r="AC163" s="729"/>
      <c r="AD163" s="729"/>
      <c r="AE163" s="729"/>
      <c r="AF163" s="729"/>
      <c r="AG163" s="729"/>
      <c r="AH163" s="729"/>
      <c r="AI163" s="729"/>
      <c r="AJ163" s="729"/>
      <c r="AK163" s="729"/>
      <c r="AL163" s="729"/>
      <c r="AM163" s="729"/>
      <c r="AN163" s="732"/>
      <c r="AO163" s="729"/>
    </row>
    <row r="164" spans="1:49" ht="15" customHeight="1" x14ac:dyDescent="0.25">
      <c r="A164" s="358"/>
      <c r="B164" s="358"/>
      <c r="C164" s="729"/>
      <c r="D164" s="359"/>
      <c r="E164" s="729"/>
      <c r="F164" s="729"/>
      <c r="G164" s="729"/>
      <c r="H164" s="729"/>
      <c r="I164" s="729"/>
      <c r="J164" s="729"/>
      <c r="K164" s="729"/>
      <c r="L164" s="729"/>
      <c r="M164" s="729"/>
      <c r="N164" s="729"/>
      <c r="O164" s="523">
        <f t="shared" si="5"/>
        <v>0</v>
      </c>
      <c r="P164" s="15"/>
      <c r="Q164" s="16"/>
      <c r="R164" s="17"/>
      <c r="S164" s="262"/>
      <c r="T164" s="18"/>
      <c r="U164" s="19"/>
      <c r="V164" s="41"/>
      <c r="W164" s="187"/>
      <c r="X164" s="76"/>
      <c r="Y164" s="264"/>
      <c r="Z164" s="82"/>
      <c r="AA164" s="358"/>
      <c r="AB164" s="358"/>
      <c r="AC164" s="729"/>
      <c r="AD164" s="729"/>
      <c r="AE164" s="729"/>
      <c r="AF164" s="729"/>
      <c r="AG164" s="729"/>
      <c r="AH164" s="729"/>
      <c r="AI164" s="729"/>
      <c r="AJ164" s="729"/>
      <c r="AK164" s="729"/>
      <c r="AL164" s="729"/>
      <c r="AM164" s="729"/>
      <c r="AN164" s="732"/>
      <c r="AO164" s="729"/>
    </row>
    <row r="165" spans="1:49" ht="15" customHeight="1" x14ac:dyDescent="0.25">
      <c r="A165" s="358"/>
      <c r="B165" s="358"/>
      <c r="C165" s="729"/>
      <c r="D165" s="359"/>
      <c r="E165" s="729"/>
      <c r="F165" s="729"/>
      <c r="G165" s="729"/>
      <c r="H165" s="729"/>
      <c r="I165" s="729"/>
      <c r="J165" s="729"/>
      <c r="K165" s="729"/>
      <c r="L165" s="729"/>
      <c r="M165" s="729"/>
      <c r="N165" s="729"/>
      <c r="O165" s="523">
        <f t="shared" si="5"/>
        <v>0</v>
      </c>
      <c r="P165" s="15"/>
      <c r="Q165" s="16"/>
      <c r="R165" s="17"/>
      <c r="S165" s="262"/>
      <c r="T165" s="18"/>
      <c r="U165" s="19"/>
      <c r="V165" s="41"/>
      <c r="W165" s="187"/>
      <c r="X165" s="76"/>
      <c r="Y165" s="264"/>
      <c r="Z165" s="82"/>
      <c r="AA165" s="358"/>
      <c r="AB165" s="358"/>
      <c r="AC165" s="729"/>
      <c r="AD165" s="729"/>
      <c r="AE165" s="729"/>
      <c r="AF165" s="729"/>
      <c r="AG165" s="729"/>
      <c r="AH165" s="729"/>
      <c r="AI165" s="729"/>
      <c r="AJ165" s="729"/>
      <c r="AK165" s="729"/>
      <c r="AL165" s="729"/>
      <c r="AM165" s="729"/>
      <c r="AN165" s="732"/>
      <c r="AO165" s="729"/>
      <c r="AQ165" s="270"/>
      <c r="AR165" s="270"/>
      <c r="AS165" s="270"/>
      <c r="AT165" s="270"/>
      <c r="AU165" s="270"/>
    </row>
    <row r="166" spans="1:49" ht="15" customHeight="1" x14ac:dyDescent="0.25">
      <c r="A166" s="358"/>
      <c r="B166" s="358"/>
      <c r="C166" s="729"/>
      <c r="D166" s="359"/>
      <c r="E166" s="729"/>
      <c r="F166" s="729"/>
      <c r="G166" s="729"/>
      <c r="H166" s="729"/>
      <c r="I166" s="729"/>
      <c r="J166" s="729"/>
      <c r="K166" s="729"/>
      <c r="L166" s="729"/>
      <c r="M166" s="729"/>
      <c r="N166" s="729"/>
      <c r="O166" s="523">
        <f t="shared" si="5"/>
        <v>0</v>
      </c>
      <c r="P166" s="15"/>
      <c r="Q166" s="16"/>
      <c r="R166" s="17"/>
      <c r="S166" s="262"/>
      <c r="T166" s="18"/>
      <c r="U166" s="19"/>
      <c r="V166" s="41"/>
      <c r="W166" s="187"/>
      <c r="X166" s="76"/>
      <c r="Y166" s="264"/>
      <c r="Z166" s="82"/>
      <c r="AA166" s="358"/>
      <c r="AB166" s="358"/>
      <c r="AC166" s="729"/>
      <c r="AD166" s="729"/>
      <c r="AE166" s="729"/>
      <c r="AF166" s="729"/>
      <c r="AG166" s="729"/>
      <c r="AH166" s="729"/>
      <c r="AI166" s="729"/>
      <c r="AJ166" s="729"/>
      <c r="AK166" s="729"/>
      <c r="AL166" s="729"/>
      <c r="AM166" s="729"/>
      <c r="AN166" s="732"/>
      <c r="AO166" s="729"/>
      <c r="AQ166" s="270"/>
      <c r="AR166" s="270"/>
      <c r="AS166" s="270"/>
      <c r="AT166" s="270"/>
      <c r="AU166" s="270"/>
    </row>
    <row r="167" spans="1:49" ht="15" customHeight="1" x14ac:dyDescent="0.25">
      <c r="A167" s="358"/>
      <c r="B167" s="358"/>
      <c r="C167" s="729"/>
      <c r="D167" s="359"/>
      <c r="E167" s="729"/>
      <c r="F167" s="729"/>
      <c r="G167" s="729"/>
      <c r="H167" s="729"/>
      <c r="I167" s="729"/>
      <c r="J167" s="729"/>
      <c r="K167" s="729"/>
      <c r="L167" s="729"/>
      <c r="M167" s="729"/>
      <c r="N167" s="729"/>
      <c r="O167" s="523">
        <f t="shared" si="5"/>
        <v>0</v>
      </c>
      <c r="P167" s="15"/>
      <c r="Q167" s="16"/>
      <c r="R167" s="17"/>
      <c r="S167" s="262"/>
      <c r="T167" s="18"/>
      <c r="U167" s="19"/>
      <c r="V167" s="41"/>
      <c r="W167" s="187"/>
      <c r="X167" s="76"/>
      <c r="Y167" s="264"/>
      <c r="Z167" s="82"/>
      <c r="AA167" s="358"/>
      <c r="AB167" s="358"/>
      <c r="AC167" s="729"/>
      <c r="AD167" s="729"/>
      <c r="AE167" s="729"/>
      <c r="AF167" s="729"/>
      <c r="AG167" s="729"/>
      <c r="AH167" s="729"/>
      <c r="AI167" s="729"/>
      <c r="AJ167" s="729"/>
      <c r="AK167" s="729"/>
      <c r="AL167" s="729"/>
      <c r="AM167" s="729"/>
      <c r="AN167" s="732"/>
      <c r="AO167" s="729"/>
      <c r="AQ167" s="270"/>
      <c r="AR167" s="270"/>
      <c r="AS167" s="270"/>
      <c r="AT167" s="270"/>
      <c r="AU167" s="270"/>
    </row>
    <row r="168" spans="1:49" ht="15" customHeight="1" x14ac:dyDescent="0.25">
      <c r="A168" s="358"/>
      <c r="B168" s="358"/>
      <c r="C168" s="729"/>
      <c r="D168" s="359"/>
      <c r="E168" s="729"/>
      <c r="F168" s="729"/>
      <c r="G168" s="729"/>
      <c r="H168" s="729"/>
      <c r="I168" s="729"/>
      <c r="J168" s="729"/>
      <c r="K168" s="729"/>
      <c r="L168" s="729"/>
      <c r="M168" s="729"/>
      <c r="N168" s="729"/>
      <c r="O168" s="523">
        <f t="shared" si="5"/>
        <v>0</v>
      </c>
      <c r="P168" s="15"/>
      <c r="Q168" s="16"/>
      <c r="R168" s="17"/>
      <c r="S168" s="262"/>
      <c r="T168" s="18"/>
      <c r="U168" s="19"/>
      <c r="V168" s="41"/>
      <c r="W168" s="187"/>
      <c r="X168" s="76"/>
      <c r="Y168" s="264"/>
      <c r="Z168" s="82"/>
      <c r="AA168" s="358"/>
      <c r="AB168" s="358"/>
      <c r="AC168" s="729"/>
      <c r="AD168" s="729"/>
      <c r="AE168" s="729"/>
      <c r="AF168" s="729"/>
      <c r="AG168" s="729"/>
      <c r="AH168" s="729"/>
      <c r="AI168" s="729"/>
      <c r="AJ168" s="729"/>
      <c r="AK168" s="729"/>
      <c r="AL168" s="729"/>
      <c r="AM168" s="729"/>
      <c r="AN168" s="732"/>
      <c r="AO168" s="729"/>
    </row>
    <row r="169" spans="1:49" ht="15" customHeight="1" x14ac:dyDescent="0.25">
      <c r="A169" s="358"/>
      <c r="B169" s="358"/>
      <c r="C169" s="729"/>
      <c r="D169" s="359"/>
      <c r="E169" s="729"/>
      <c r="F169" s="729"/>
      <c r="G169" s="729"/>
      <c r="H169" s="451"/>
      <c r="I169" s="729"/>
      <c r="J169" s="729"/>
      <c r="K169" s="729"/>
      <c r="L169" s="729"/>
      <c r="M169" s="729"/>
      <c r="N169" s="729"/>
      <c r="O169" s="523">
        <f t="shared" si="5"/>
        <v>0</v>
      </c>
      <c r="P169" s="15"/>
      <c r="Q169" s="16"/>
      <c r="R169" s="17"/>
      <c r="S169" s="262"/>
      <c r="T169" s="18"/>
      <c r="U169" s="19"/>
      <c r="V169" s="41"/>
      <c r="W169" s="187"/>
      <c r="X169" s="76"/>
      <c r="Y169" s="264"/>
      <c r="Z169" s="82"/>
      <c r="AA169" s="358"/>
      <c r="AB169" s="358"/>
      <c r="AC169" s="729"/>
      <c r="AD169" s="729"/>
      <c r="AE169" s="729"/>
      <c r="AF169" s="729"/>
      <c r="AG169" s="729"/>
      <c r="AH169" s="729"/>
      <c r="AI169" s="729"/>
      <c r="AJ169" s="729"/>
      <c r="AK169" s="729"/>
      <c r="AL169" s="729"/>
      <c r="AM169" s="729"/>
      <c r="AN169" s="732"/>
      <c r="AO169" s="729"/>
    </row>
    <row r="170" spans="1:49" ht="15" customHeight="1" x14ac:dyDescent="0.25">
      <c r="A170" s="358"/>
      <c r="B170" s="358"/>
      <c r="C170" s="729"/>
      <c r="D170" s="359"/>
      <c r="E170" s="729"/>
      <c r="F170" s="729"/>
      <c r="G170" s="729"/>
      <c r="H170" s="451"/>
      <c r="I170" s="729"/>
      <c r="J170" s="729"/>
      <c r="K170" s="729"/>
      <c r="L170" s="729"/>
      <c r="M170" s="729"/>
      <c r="N170" s="729"/>
      <c r="O170" s="523">
        <f t="shared" si="5"/>
        <v>0</v>
      </c>
      <c r="P170" s="15"/>
      <c r="Q170" s="16"/>
      <c r="R170" s="17"/>
      <c r="S170" s="262"/>
      <c r="T170" s="18"/>
      <c r="U170" s="19"/>
      <c r="V170" s="41"/>
      <c r="W170" s="187"/>
      <c r="X170" s="76"/>
      <c r="Y170" s="264"/>
      <c r="Z170" s="82"/>
      <c r="AA170" s="358"/>
      <c r="AB170" s="358"/>
      <c r="AC170" s="729"/>
      <c r="AD170" s="729"/>
      <c r="AE170" s="729"/>
      <c r="AF170" s="729"/>
      <c r="AG170" s="729"/>
      <c r="AH170" s="729"/>
      <c r="AI170" s="729"/>
      <c r="AJ170" s="729"/>
      <c r="AK170" s="729"/>
      <c r="AL170" s="729"/>
      <c r="AM170" s="729"/>
      <c r="AN170" s="732"/>
      <c r="AO170" s="729"/>
      <c r="AW170" s="270"/>
    </row>
    <row r="171" spans="1:49" ht="15" customHeight="1" x14ac:dyDescent="0.25">
      <c r="A171" s="358"/>
      <c r="B171" s="358"/>
      <c r="C171" s="729"/>
      <c r="D171" s="359"/>
      <c r="E171" s="729"/>
      <c r="F171" s="729"/>
      <c r="G171" s="729"/>
      <c r="H171" s="451"/>
      <c r="I171" s="729"/>
      <c r="J171" s="729"/>
      <c r="K171" s="729"/>
      <c r="L171" s="729"/>
      <c r="M171" s="729"/>
      <c r="N171" s="729"/>
      <c r="O171" s="523">
        <f t="shared" si="5"/>
        <v>0</v>
      </c>
      <c r="P171" s="15"/>
      <c r="Q171" s="16"/>
      <c r="R171" s="17"/>
      <c r="S171" s="262"/>
      <c r="T171" s="18"/>
      <c r="U171" s="19"/>
      <c r="V171" s="41"/>
      <c r="W171" s="187"/>
      <c r="X171" s="76"/>
      <c r="Y171" s="264"/>
      <c r="Z171" s="82"/>
      <c r="AA171" s="358"/>
      <c r="AB171" s="358"/>
      <c r="AC171" s="729"/>
      <c r="AD171" s="729"/>
      <c r="AE171" s="729"/>
      <c r="AF171" s="729"/>
      <c r="AG171" s="729"/>
      <c r="AH171" s="729"/>
      <c r="AI171" s="729"/>
      <c r="AJ171" s="729"/>
      <c r="AK171" s="729"/>
      <c r="AL171" s="729"/>
      <c r="AM171" s="729"/>
      <c r="AN171" s="732"/>
      <c r="AO171" s="729"/>
      <c r="AW171" s="270"/>
    </row>
    <row r="172" spans="1:49" ht="15" customHeight="1" x14ac:dyDescent="0.25">
      <c r="A172" s="358"/>
      <c r="B172" s="358"/>
      <c r="C172" s="729"/>
      <c r="D172" s="359"/>
      <c r="E172" s="729"/>
      <c r="F172" s="729"/>
      <c r="G172" s="729"/>
      <c r="H172" s="729"/>
      <c r="I172" s="729"/>
      <c r="J172" s="729"/>
      <c r="K172" s="729"/>
      <c r="L172" s="729"/>
      <c r="M172" s="729"/>
      <c r="N172" s="729"/>
      <c r="O172" s="523">
        <f t="shared" si="5"/>
        <v>0</v>
      </c>
      <c r="P172" s="15"/>
      <c r="Q172" s="16"/>
      <c r="R172" s="17"/>
      <c r="S172" s="262"/>
      <c r="T172" s="18"/>
      <c r="U172" s="19"/>
      <c r="V172" s="41"/>
      <c r="W172" s="187"/>
      <c r="X172" s="76"/>
      <c r="Y172" s="264"/>
      <c r="Z172" s="82"/>
      <c r="AA172" s="358"/>
      <c r="AB172" s="358"/>
      <c r="AC172" s="729"/>
      <c r="AD172" s="729"/>
      <c r="AE172" s="729"/>
      <c r="AF172" s="729"/>
      <c r="AG172" s="729"/>
      <c r="AH172" s="729"/>
      <c r="AI172" s="729"/>
      <c r="AJ172" s="729"/>
      <c r="AK172" s="729"/>
      <c r="AL172" s="729"/>
      <c r="AM172" s="729"/>
      <c r="AN172" s="732"/>
      <c r="AO172" s="729"/>
      <c r="AW172" s="270"/>
    </row>
    <row r="173" spans="1:49" s="270" customFormat="1" ht="15" customHeight="1" x14ac:dyDescent="0.25">
      <c r="A173" s="358"/>
      <c r="B173" s="358"/>
      <c r="C173" s="729"/>
      <c r="D173" s="359"/>
      <c r="E173" s="729"/>
      <c r="F173" s="729"/>
      <c r="G173" s="729"/>
      <c r="H173" s="729"/>
      <c r="I173" s="729"/>
      <c r="J173" s="729"/>
      <c r="K173" s="729"/>
      <c r="L173" s="729"/>
      <c r="M173" s="729"/>
      <c r="N173" s="729"/>
      <c r="O173" s="523">
        <f t="shared" si="5"/>
        <v>0</v>
      </c>
      <c r="P173" s="15"/>
      <c r="Q173" s="16"/>
      <c r="R173" s="17"/>
      <c r="S173" s="262"/>
      <c r="T173" s="18"/>
      <c r="U173" s="19"/>
      <c r="V173" s="41"/>
      <c r="W173" s="187"/>
      <c r="X173" s="76"/>
      <c r="Y173" s="264"/>
      <c r="Z173" s="82"/>
      <c r="AA173" s="358"/>
      <c r="AB173" s="358"/>
      <c r="AC173" s="729"/>
      <c r="AD173" s="729"/>
      <c r="AE173" s="729"/>
      <c r="AF173" s="729"/>
      <c r="AG173" s="729"/>
      <c r="AH173" s="729"/>
      <c r="AI173" s="729"/>
      <c r="AJ173" s="729"/>
      <c r="AK173" s="729"/>
      <c r="AL173" s="729"/>
      <c r="AM173" s="729"/>
      <c r="AN173" s="732"/>
      <c r="AO173" s="729"/>
      <c r="AP173" s="103"/>
      <c r="AQ173" s="2"/>
      <c r="AR173" s="2"/>
      <c r="AS173" s="2"/>
      <c r="AT173" s="2"/>
      <c r="AU173" s="2"/>
      <c r="AW173" s="2"/>
    </row>
    <row r="174" spans="1:49" s="270" customFormat="1" ht="15" customHeight="1" x14ac:dyDescent="0.25">
      <c r="A174" s="358"/>
      <c r="B174" s="358"/>
      <c r="C174" s="729"/>
      <c r="D174" s="359"/>
      <c r="E174" s="729"/>
      <c r="F174" s="729"/>
      <c r="G174" s="729"/>
      <c r="H174" s="729"/>
      <c r="I174" s="729"/>
      <c r="J174" s="729"/>
      <c r="K174" s="729"/>
      <c r="L174" s="729"/>
      <c r="M174" s="729"/>
      <c r="N174" s="729"/>
      <c r="O174" s="523">
        <f t="shared" si="5"/>
        <v>0</v>
      </c>
      <c r="P174" s="15"/>
      <c r="Q174" s="16"/>
      <c r="R174" s="17"/>
      <c r="S174" s="262"/>
      <c r="T174" s="18"/>
      <c r="U174" s="19"/>
      <c r="V174" s="41"/>
      <c r="W174" s="187"/>
      <c r="X174" s="76"/>
      <c r="Y174" s="264"/>
      <c r="Z174" s="82"/>
      <c r="AA174" s="358"/>
      <c r="AB174" s="358"/>
      <c r="AC174" s="729"/>
      <c r="AD174" s="729"/>
      <c r="AE174" s="729"/>
      <c r="AF174" s="729"/>
      <c r="AG174" s="729"/>
      <c r="AH174" s="729"/>
      <c r="AI174" s="729"/>
      <c r="AJ174" s="729"/>
      <c r="AK174" s="729"/>
      <c r="AL174" s="729"/>
      <c r="AM174" s="729"/>
      <c r="AN174" s="732"/>
      <c r="AO174" s="729"/>
      <c r="AP174" s="103"/>
      <c r="AQ174" s="2"/>
      <c r="AR174" s="2"/>
      <c r="AS174" s="2"/>
      <c r="AT174" s="2"/>
      <c r="AU174" s="2"/>
      <c r="AW174" s="2"/>
    </row>
    <row r="175" spans="1:49" s="270" customFormat="1" ht="15" customHeight="1" x14ac:dyDescent="0.25">
      <c r="A175" s="358"/>
      <c r="B175" s="358"/>
      <c r="C175" s="729"/>
      <c r="D175" s="359"/>
      <c r="E175" s="729"/>
      <c r="F175" s="729"/>
      <c r="G175" s="729"/>
      <c r="H175" s="729"/>
      <c r="I175" s="729"/>
      <c r="J175" s="729"/>
      <c r="K175" s="729"/>
      <c r="L175" s="729"/>
      <c r="M175" s="729"/>
      <c r="N175" s="729"/>
      <c r="O175" s="523">
        <f t="shared" si="5"/>
        <v>0</v>
      </c>
      <c r="P175" s="15"/>
      <c r="Q175" s="16"/>
      <c r="R175" s="17"/>
      <c r="S175" s="262"/>
      <c r="T175" s="18"/>
      <c r="U175" s="19"/>
      <c r="V175" s="41"/>
      <c r="W175" s="187"/>
      <c r="X175" s="76"/>
      <c r="Y175" s="264"/>
      <c r="Z175" s="82"/>
      <c r="AA175" s="358"/>
      <c r="AB175" s="358"/>
      <c r="AC175" s="729"/>
      <c r="AD175" s="729"/>
      <c r="AE175" s="729"/>
      <c r="AF175" s="729"/>
      <c r="AG175" s="729"/>
      <c r="AH175" s="729"/>
      <c r="AI175" s="729"/>
      <c r="AJ175" s="729"/>
      <c r="AK175" s="729"/>
      <c r="AL175" s="729"/>
      <c r="AM175" s="729"/>
      <c r="AN175" s="732"/>
      <c r="AO175" s="729"/>
      <c r="AP175" s="103"/>
      <c r="AW175" s="2"/>
    </row>
    <row r="176" spans="1:49" ht="15" customHeight="1" x14ac:dyDescent="0.25">
      <c r="A176" s="358"/>
      <c r="B176" s="358"/>
      <c r="C176" s="91"/>
      <c r="D176" s="359"/>
      <c r="E176" s="91"/>
      <c r="F176" s="729"/>
      <c r="G176" s="729"/>
      <c r="H176" s="729"/>
      <c r="I176" s="729"/>
      <c r="J176" s="729"/>
      <c r="K176" s="729"/>
      <c r="L176" s="729"/>
      <c r="M176" s="729"/>
      <c r="N176" s="729"/>
      <c r="O176" s="523">
        <f t="shared" si="5"/>
        <v>0</v>
      </c>
      <c r="P176" s="15"/>
      <c r="Q176" s="16"/>
      <c r="R176" s="17"/>
      <c r="S176" s="262"/>
      <c r="T176" s="18"/>
      <c r="U176" s="19"/>
      <c r="V176" s="41"/>
      <c r="W176" s="187"/>
      <c r="X176" s="76"/>
      <c r="Y176" s="264"/>
      <c r="Z176" s="82"/>
      <c r="AA176" s="358"/>
      <c r="AB176" s="358"/>
      <c r="AC176" s="729"/>
      <c r="AD176" s="729"/>
      <c r="AE176" s="729"/>
      <c r="AF176" s="729"/>
      <c r="AG176" s="729"/>
      <c r="AH176" s="729"/>
      <c r="AI176" s="729"/>
      <c r="AJ176" s="729"/>
      <c r="AK176" s="729"/>
      <c r="AL176" s="729"/>
      <c r="AM176" s="729"/>
      <c r="AN176" s="732"/>
      <c r="AO176" s="729"/>
      <c r="AQ176" s="270"/>
      <c r="AR176" s="270"/>
      <c r="AS176" s="270"/>
      <c r="AT176" s="270"/>
      <c r="AU176" s="270"/>
    </row>
    <row r="177" spans="1:49" ht="15" customHeight="1" x14ac:dyDescent="0.25">
      <c r="A177" s="358"/>
      <c r="B177" s="358"/>
      <c r="C177" s="91"/>
      <c r="D177" s="359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523">
        <f t="shared" si="5"/>
        <v>0</v>
      </c>
      <c r="P177" s="15"/>
      <c r="Q177" s="16"/>
      <c r="R177" s="17"/>
      <c r="S177" s="262"/>
      <c r="T177" s="18"/>
      <c r="U177" s="19"/>
      <c r="V177" s="41"/>
      <c r="W177" s="187"/>
      <c r="X177" s="76"/>
      <c r="Y177" s="264"/>
      <c r="Z177" s="82"/>
      <c r="AA177" s="358"/>
      <c r="AB177" s="358"/>
      <c r="AC177" s="91"/>
      <c r="AD177" s="91"/>
      <c r="AE177" s="91"/>
      <c r="AF177" s="91"/>
      <c r="AG177" s="91"/>
      <c r="AH177" s="91"/>
      <c r="AI177" s="729"/>
      <c r="AJ177" s="91"/>
      <c r="AK177" s="91"/>
      <c r="AL177" s="91"/>
      <c r="AM177" s="91"/>
      <c r="AN177" s="642"/>
      <c r="AO177" s="641"/>
    </row>
    <row r="178" spans="1:49" ht="15" customHeight="1" x14ac:dyDescent="0.25">
      <c r="A178" s="358"/>
      <c r="B178" s="358"/>
      <c r="C178" s="91"/>
      <c r="D178" s="359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523">
        <f t="shared" si="5"/>
        <v>0</v>
      </c>
      <c r="P178" s="15"/>
      <c r="Q178" s="16"/>
      <c r="R178" s="17"/>
      <c r="S178" s="262"/>
      <c r="T178" s="18"/>
      <c r="U178" s="19"/>
      <c r="V178" s="41"/>
      <c r="W178" s="187"/>
      <c r="X178" s="76"/>
      <c r="Y178" s="264"/>
      <c r="Z178" s="82"/>
      <c r="AA178" s="358"/>
      <c r="AB178" s="358"/>
      <c r="AC178" s="91"/>
      <c r="AD178" s="91"/>
      <c r="AE178" s="91"/>
      <c r="AF178" s="91"/>
      <c r="AG178" s="91"/>
      <c r="AH178" s="91"/>
      <c r="AI178" s="729"/>
      <c r="AJ178" s="91"/>
      <c r="AK178" s="91"/>
      <c r="AL178" s="91"/>
      <c r="AM178" s="91"/>
      <c r="AN178" s="642"/>
      <c r="AO178" s="641"/>
    </row>
    <row r="179" spans="1:49" ht="15" customHeight="1" x14ac:dyDescent="0.25">
      <c r="A179" s="358"/>
      <c r="B179" s="358"/>
      <c r="C179" s="91"/>
      <c r="D179" s="359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523">
        <f t="shared" si="5"/>
        <v>0</v>
      </c>
      <c r="P179" s="15"/>
      <c r="Q179" s="16"/>
      <c r="R179" s="17"/>
      <c r="S179" s="262"/>
      <c r="T179" s="18"/>
      <c r="U179" s="19"/>
      <c r="V179" s="41"/>
      <c r="W179" s="187"/>
      <c r="X179" s="76"/>
      <c r="Y179" s="264"/>
      <c r="Z179" s="82"/>
      <c r="AA179" s="358"/>
      <c r="AB179" s="358"/>
      <c r="AC179" s="91"/>
      <c r="AD179" s="91"/>
      <c r="AE179" s="91"/>
      <c r="AF179" s="91"/>
      <c r="AG179" s="91"/>
      <c r="AH179" s="91"/>
      <c r="AI179" s="729"/>
      <c r="AJ179" s="91"/>
      <c r="AK179" s="91"/>
      <c r="AL179" s="91"/>
      <c r="AM179" s="91"/>
      <c r="AN179" s="642"/>
      <c r="AO179" s="641"/>
    </row>
    <row r="180" spans="1:49" ht="15" customHeight="1" x14ac:dyDescent="0.25">
      <c r="A180" s="358"/>
      <c r="B180" s="358"/>
      <c r="C180" s="91"/>
      <c r="D180" s="359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523">
        <f t="shared" si="5"/>
        <v>0</v>
      </c>
      <c r="P180" s="15"/>
      <c r="Q180" s="16"/>
      <c r="R180" s="17"/>
      <c r="S180" s="262"/>
      <c r="T180" s="18"/>
      <c r="U180" s="19"/>
      <c r="V180" s="41"/>
      <c r="W180" s="187"/>
      <c r="X180" s="76"/>
      <c r="Y180" s="264"/>
      <c r="Z180" s="82"/>
      <c r="AA180" s="358"/>
      <c r="AB180" s="358"/>
      <c r="AC180" s="91"/>
      <c r="AD180" s="91"/>
      <c r="AE180" s="91"/>
      <c r="AF180" s="91"/>
      <c r="AG180" s="91"/>
      <c r="AH180" s="91"/>
      <c r="AI180" s="729"/>
      <c r="AJ180" s="91"/>
      <c r="AK180" s="91"/>
      <c r="AL180" s="91"/>
      <c r="AM180" s="91"/>
      <c r="AN180" s="642"/>
      <c r="AO180" s="641"/>
      <c r="AW180" s="270"/>
    </row>
    <row r="181" spans="1:49" ht="15" customHeight="1" x14ac:dyDescent="0.25">
      <c r="A181" s="358"/>
      <c r="B181" s="358"/>
      <c r="C181" s="91"/>
      <c r="D181" s="359"/>
      <c r="E181" s="91"/>
      <c r="F181" s="91"/>
      <c r="G181" s="91"/>
      <c r="I181" s="91"/>
      <c r="J181" s="91"/>
      <c r="K181" s="91"/>
      <c r="L181" s="91"/>
      <c r="M181" s="91"/>
      <c r="N181" s="91"/>
      <c r="O181" s="523">
        <f t="shared" si="5"/>
        <v>0</v>
      </c>
      <c r="P181" s="15"/>
      <c r="Q181" s="16"/>
      <c r="R181" s="17"/>
      <c r="S181" s="262"/>
      <c r="T181" s="18"/>
      <c r="U181" s="19"/>
      <c r="V181" s="41"/>
      <c r="W181" s="187"/>
      <c r="X181" s="76"/>
      <c r="Y181" s="264"/>
      <c r="Z181" s="82"/>
      <c r="AA181" s="358"/>
      <c r="AB181" s="358"/>
      <c r="AC181" s="91"/>
      <c r="AD181" s="91"/>
      <c r="AE181" s="91"/>
      <c r="AF181" s="91"/>
      <c r="AG181" s="91"/>
      <c r="AH181" s="91"/>
      <c r="AI181" s="729"/>
      <c r="AJ181" s="91"/>
      <c r="AK181" s="91"/>
      <c r="AL181" s="91"/>
      <c r="AM181" s="91"/>
      <c r="AN181" s="642"/>
      <c r="AO181" s="641"/>
      <c r="AW181" s="270"/>
    </row>
    <row r="182" spans="1:49" ht="15" customHeight="1" x14ac:dyDescent="0.25">
      <c r="A182" s="358"/>
      <c r="B182" s="358"/>
      <c r="C182" s="91"/>
      <c r="D182" s="359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523">
        <f t="shared" si="5"/>
        <v>0</v>
      </c>
      <c r="P182" s="15"/>
      <c r="Q182" s="16"/>
      <c r="R182" s="17"/>
      <c r="S182" s="262"/>
      <c r="T182" s="18"/>
      <c r="U182" s="19"/>
      <c r="V182" s="41"/>
      <c r="W182" s="187"/>
      <c r="X182" s="76"/>
      <c r="Y182" s="264"/>
      <c r="Z182" s="82"/>
      <c r="AA182" s="358"/>
      <c r="AB182" s="358"/>
      <c r="AC182" s="91"/>
      <c r="AD182" s="91"/>
      <c r="AE182" s="91"/>
      <c r="AF182" s="91"/>
      <c r="AG182" s="91"/>
      <c r="AH182" s="91"/>
      <c r="AI182" s="729"/>
      <c r="AJ182" s="91"/>
      <c r="AK182" s="91"/>
      <c r="AL182" s="91"/>
      <c r="AM182" s="91"/>
      <c r="AN182" s="642"/>
      <c r="AO182" s="641"/>
    </row>
    <row r="183" spans="1:49" s="270" customFormat="1" ht="15" customHeight="1" x14ac:dyDescent="0.25">
      <c r="A183" s="358"/>
      <c r="B183" s="358"/>
      <c r="C183" s="91"/>
      <c r="D183" s="359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523">
        <f t="shared" si="5"/>
        <v>0</v>
      </c>
      <c r="P183" s="15"/>
      <c r="Q183" s="16"/>
      <c r="R183" s="17"/>
      <c r="S183" s="262"/>
      <c r="T183" s="18"/>
      <c r="U183" s="19"/>
      <c r="V183" s="41"/>
      <c r="W183" s="187"/>
      <c r="X183" s="76"/>
      <c r="Y183" s="264"/>
      <c r="Z183" s="82"/>
      <c r="AA183" s="358"/>
      <c r="AB183" s="358"/>
      <c r="AC183" s="91"/>
      <c r="AD183" s="91"/>
      <c r="AE183" s="91"/>
      <c r="AF183" s="91"/>
      <c r="AG183" s="91"/>
      <c r="AH183" s="91"/>
      <c r="AI183" s="729"/>
      <c r="AJ183" s="91"/>
      <c r="AK183" s="91"/>
      <c r="AL183" s="91"/>
      <c r="AM183" s="91"/>
      <c r="AN183" s="642"/>
      <c r="AO183" s="641"/>
      <c r="AP183" s="103"/>
      <c r="AQ183" s="2"/>
      <c r="AR183" s="2"/>
      <c r="AS183" s="2"/>
      <c r="AT183" s="2"/>
      <c r="AU183" s="2"/>
      <c r="AW183" s="2"/>
    </row>
    <row r="184" spans="1:49" s="270" customFormat="1" ht="15" customHeight="1" x14ac:dyDescent="0.25">
      <c r="A184" s="358"/>
      <c r="B184" s="358"/>
      <c r="C184" s="91"/>
      <c r="D184" s="359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523">
        <f t="shared" si="5"/>
        <v>0</v>
      </c>
      <c r="P184" s="15"/>
      <c r="Q184" s="16"/>
      <c r="R184" s="17"/>
      <c r="S184" s="262"/>
      <c r="T184" s="18"/>
      <c r="U184" s="19"/>
      <c r="V184" s="41"/>
      <c r="W184" s="187"/>
      <c r="X184" s="76"/>
      <c r="Y184" s="264"/>
      <c r="Z184" s="82"/>
      <c r="AA184" s="358"/>
      <c r="AB184" s="358"/>
      <c r="AC184" s="91"/>
      <c r="AD184" s="91"/>
      <c r="AE184" s="91"/>
      <c r="AF184" s="91"/>
      <c r="AG184" s="91"/>
      <c r="AH184" s="91"/>
      <c r="AI184" s="729"/>
      <c r="AJ184" s="91"/>
      <c r="AK184" s="91"/>
      <c r="AL184" s="91"/>
      <c r="AM184" s="91"/>
      <c r="AN184" s="642"/>
      <c r="AO184" s="641"/>
      <c r="AP184" s="103"/>
      <c r="AQ184" s="2"/>
      <c r="AR184" s="2"/>
      <c r="AS184" s="2"/>
      <c r="AT184" s="2"/>
      <c r="AU184" s="2"/>
      <c r="AW184" s="2"/>
    </row>
    <row r="185" spans="1:49" ht="15" customHeight="1" x14ac:dyDescent="0.25">
      <c r="A185" s="358"/>
      <c r="B185" s="358"/>
      <c r="C185" s="91"/>
      <c r="D185" s="359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523">
        <f t="shared" si="5"/>
        <v>0</v>
      </c>
      <c r="P185" s="15"/>
      <c r="Q185" s="16"/>
      <c r="R185" s="17"/>
      <c r="S185" s="262"/>
      <c r="T185" s="18"/>
      <c r="U185" s="19"/>
      <c r="V185" s="41"/>
      <c r="W185" s="187"/>
      <c r="X185" s="76"/>
      <c r="Y185" s="264"/>
      <c r="Z185" s="82"/>
      <c r="AA185" s="358"/>
      <c r="AB185" s="358"/>
      <c r="AC185" s="91"/>
      <c r="AD185" s="91"/>
      <c r="AE185" s="91"/>
      <c r="AF185" s="91"/>
      <c r="AG185" s="91"/>
      <c r="AH185" s="91"/>
      <c r="AI185" s="729"/>
      <c r="AJ185" s="91"/>
      <c r="AK185" s="91"/>
      <c r="AL185" s="91"/>
      <c r="AM185" s="91"/>
      <c r="AN185" s="642"/>
      <c r="AO185" s="641"/>
    </row>
    <row r="186" spans="1:49" ht="15" customHeight="1" x14ac:dyDescent="0.25">
      <c r="A186" s="358"/>
      <c r="B186" s="358"/>
      <c r="C186" s="91"/>
      <c r="D186" s="359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523">
        <f t="shared" si="5"/>
        <v>0</v>
      </c>
      <c r="P186" s="15"/>
      <c r="Q186" s="16"/>
      <c r="R186" s="17"/>
      <c r="S186" s="262"/>
      <c r="T186" s="18"/>
      <c r="U186" s="19"/>
      <c r="V186" s="41"/>
      <c r="W186" s="187"/>
      <c r="X186" s="76"/>
      <c r="Y186" s="264"/>
      <c r="Z186" s="82"/>
      <c r="AA186" s="358"/>
      <c r="AB186" s="358"/>
      <c r="AC186" s="91"/>
      <c r="AD186" s="91"/>
      <c r="AE186" s="91"/>
      <c r="AF186" s="91"/>
      <c r="AG186" s="91"/>
      <c r="AH186" s="91"/>
      <c r="AI186" s="729"/>
      <c r="AJ186" s="91"/>
      <c r="AK186" s="91"/>
      <c r="AL186" s="91"/>
      <c r="AM186" s="91"/>
      <c r="AN186" s="642"/>
      <c r="AO186" s="641"/>
    </row>
    <row r="187" spans="1:49" ht="15" customHeight="1" x14ac:dyDescent="0.25">
      <c r="A187" s="358"/>
      <c r="B187" s="358"/>
      <c r="C187" s="91"/>
      <c r="D187" s="359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523">
        <f t="shared" si="5"/>
        <v>0</v>
      </c>
      <c r="P187" s="15"/>
      <c r="Q187" s="16"/>
      <c r="R187" s="17"/>
      <c r="S187" s="262"/>
      <c r="T187" s="18"/>
      <c r="U187" s="19"/>
      <c r="V187" s="41"/>
      <c r="W187" s="187"/>
      <c r="X187" s="76"/>
      <c r="Y187" s="264"/>
      <c r="Z187" s="82"/>
      <c r="AA187" s="358"/>
      <c r="AB187" s="358"/>
      <c r="AC187" s="91"/>
      <c r="AD187" s="91"/>
      <c r="AE187" s="91"/>
      <c r="AF187" s="91"/>
      <c r="AG187" s="91"/>
      <c r="AH187" s="91"/>
      <c r="AI187" s="729"/>
      <c r="AJ187" s="91"/>
      <c r="AK187" s="91"/>
      <c r="AL187" s="91"/>
      <c r="AM187" s="91"/>
      <c r="AN187" s="642"/>
      <c r="AO187" s="641"/>
    </row>
    <row r="188" spans="1:49" ht="15" customHeight="1" x14ac:dyDescent="0.25">
      <c r="A188" s="358"/>
      <c r="B188" s="358"/>
      <c r="C188" s="91"/>
      <c r="D188" s="359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523">
        <f t="shared" si="5"/>
        <v>0</v>
      </c>
      <c r="P188" s="15"/>
      <c r="Q188" s="16"/>
      <c r="R188" s="17"/>
      <c r="S188" s="262"/>
      <c r="T188" s="18"/>
      <c r="U188" s="19"/>
      <c r="V188" s="41"/>
      <c r="W188" s="187"/>
      <c r="X188" s="76"/>
      <c r="Y188" s="264"/>
      <c r="Z188" s="82"/>
      <c r="AA188" s="358"/>
      <c r="AB188" s="358"/>
      <c r="AC188" s="91"/>
      <c r="AD188" s="91"/>
      <c r="AE188" s="91"/>
      <c r="AF188" s="91"/>
      <c r="AG188" s="91"/>
      <c r="AH188" s="91"/>
      <c r="AI188" s="729"/>
      <c r="AJ188" s="91"/>
      <c r="AK188" s="91"/>
      <c r="AL188" s="91"/>
      <c r="AM188" s="91"/>
      <c r="AN188" s="642"/>
      <c r="AO188" s="641"/>
    </row>
    <row r="189" spans="1:49" ht="15" customHeight="1" x14ac:dyDescent="0.25">
      <c r="A189" s="358"/>
      <c r="B189" s="358"/>
      <c r="C189" s="91"/>
      <c r="D189" s="359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523">
        <f t="shared" si="5"/>
        <v>0</v>
      </c>
      <c r="P189" s="15"/>
      <c r="Q189" s="16"/>
      <c r="R189" s="17"/>
      <c r="S189" s="262"/>
      <c r="T189" s="18"/>
      <c r="U189" s="19"/>
      <c r="V189" s="41"/>
      <c r="W189" s="187"/>
      <c r="X189" s="76"/>
      <c r="Y189" s="264"/>
      <c r="Z189" s="82"/>
      <c r="AA189" s="358"/>
      <c r="AB189" s="358"/>
      <c r="AC189" s="91"/>
      <c r="AD189" s="91"/>
      <c r="AE189" s="91"/>
      <c r="AF189" s="91"/>
      <c r="AG189" s="91"/>
      <c r="AH189" s="91"/>
      <c r="AI189" s="729"/>
      <c r="AJ189" s="91"/>
      <c r="AK189" s="91"/>
      <c r="AL189" s="91"/>
      <c r="AM189" s="91"/>
      <c r="AN189" s="642"/>
      <c r="AO189" s="641"/>
    </row>
    <row r="190" spans="1:49" ht="15" customHeight="1" x14ac:dyDescent="0.25">
      <c r="A190" s="358"/>
      <c r="B190" s="358"/>
      <c r="C190" s="91"/>
      <c r="D190" s="359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523">
        <f t="shared" si="5"/>
        <v>0</v>
      </c>
      <c r="P190" s="15"/>
      <c r="Q190" s="16"/>
      <c r="R190" s="17"/>
      <c r="S190" s="262"/>
      <c r="T190" s="18"/>
      <c r="U190" s="19"/>
      <c r="V190" s="41"/>
      <c r="W190" s="187"/>
      <c r="X190" s="76"/>
      <c r="Y190" s="264"/>
      <c r="Z190" s="82"/>
      <c r="AA190" s="358"/>
      <c r="AB190" s="358"/>
      <c r="AC190" s="91"/>
      <c r="AD190" s="91"/>
      <c r="AE190" s="91"/>
      <c r="AF190" s="91"/>
      <c r="AG190" s="91"/>
      <c r="AH190" s="91"/>
      <c r="AI190" s="729"/>
      <c r="AJ190" s="91"/>
      <c r="AK190" s="91"/>
      <c r="AL190" s="91"/>
      <c r="AM190" s="91"/>
      <c r="AN190" s="642"/>
      <c r="AO190" s="641"/>
    </row>
    <row r="191" spans="1:49" ht="15" customHeight="1" x14ac:dyDescent="0.25">
      <c r="A191" s="358"/>
      <c r="B191" s="358"/>
      <c r="C191" s="91"/>
      <c r="D191" s="359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523">
        <f t="shared" si="5"/>
        <v>0</v>
      </c>
      <c r="P191" s="15"/>
      <c r="Q191" s="16"/>
      <c r="R191" s="17"/>
      <c r="S191" s="262"/>
      <c r="T191" s="18"/>
      <c r="U191" s="19"/>
      <c r="V191" s="41"/>
      <c r="W191" s="187"/>
      <c r="X191" s="76"/>
      <c r="Y191" s="264"/>
      <c r="Z191" s="82"/>
      <c r="AA191" s="358"/>
      <c r="AB191" s="358"/>
      <c r="AC191" s="91"/>
      <c r="AD191" s="91"/>
      <c r="AE191" s="91"/>
      <c r="AF191" s="91"/>
      <c r="AG191" s="91"/>
      <c r="AH191" s="91"/>
      <c r="AI191" s="729"/>
      <c r="AJ191" s="91"/>
      <c r="AK191" s="91"/>
      <c r="AL191" s="91"/>
      <c r="AM191" s="91"/>
      <c r="AN191" s="642"/>
      <c r="AO191" s="641"/>
    </row>
    <row r="192" spans="1:49" ht="15" customHeight="1" x14ac:dyDescent="0.25">
      <c r="A192" s="358"/>
      <c r="B192" s="358"/>
      <c r="C192" s="91"/>
      <c r="D192" s="359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523">
        <f t="shared" si="5"/>
        <v>0</v>
      </c>
      <c r="P192" s="15"/>
      <c r="Q192" s="16"/>
      <c r="R192" s="17"/>
      <c r="S192" s="262"/>
      <c r="T192" s="18"/>
      <c r="U192" s="19"/>
      <c r="V192" s="41"/>
      <c r="W192" s="187"/>
      <c r="X192" s="76"/>
      <c r="Y192" s="264"/>
      <c r="Z192" s="82"/>
      <c r="AA192" s="358"/>
      <c r="AB192" s="358"/>
      <c r="AC192" s="91"/>
      <c r="AD192" s="91"/>
      <c r="AE192" s="91"/>
      <c r="AF192" s="91"/>
      <c r="AG192" s="91"/>
      <c r="AH192" s="91"/>
      <c r="AI192" s="729"/>
      <c r="AJ192" s="91"/>
      <c r="AK192" s="91"/>
      <c r="AL192" s="91"/>
      <c r="AM192" s="91"/>
      <c r="AN192" s="642"/>
      <c r="AO192" s="641"/>
    </row>
    <row r="193" spans="1:41" ht="15" customHeight="1" x14ac:dyDescent="0.25">
      <c r="A193" s="358"/>
      <c r="B193" s="358"/>
      <c r="C193" s="91"/>
      <c r="D193" s="359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523">
        <f t="shared" si="5"/>
        <v>0</v>
      </c>
      <c r="P193" s="15"/>
      <c r="Q193" s="16"/>
      <c r="R193" s="17"/>
      <c r="S193" s="262"/>
      <c r="T193" s="18"/>
      <c r="U193" s="19"/>
      <c r="V193" s="41"/>
      <c r="W193" s="187"/>
      <c r="X193" s="76"/>
      <c r="Y193" s="264"/>
      <c r="Z193" s="82"/>
      <c r="AA193" s="358"/>
      <c r="AB193" s="358"/>
      <c r="AC193" s="91"/>
      <c r="AD193" s="91"/>
      <c r="AE193" s="91"/>
      <c r="AF193" s="91"/>
      <c r="AG193" s="91"/>
      <c r="AH193" s="91"/>
      <c r="AI193" s="729"/>
      <c r="AJ193" s="91"/>
      <c r="AK193" s="91"/>
      <c r="AL193" s="91"/>
      <c r="AM193" s="91"/>
      <c r="AN193" s="642"/>
      <c r="AO193" s="641"/>
    </row>
    <row r="194" spans="1:41" ht="15" customHeight="1" x14ac:dyDescent="0.25">
      <c r="A194" s="358"/>
      <c r="B194" s="358"/>
      <c r="C194" s="91"/>
      <c r="D194" s="359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523">
        <f t="shared" si="5"/>
        <v>0</v>
      </c>
      <c r="P194" s="15"/>
      <c r="Q194" s="16"/>
      <c r="R194" s="17"/>
      <c r="S194" s="262"/>
      <c r="T194" s="18"/>
      <c r="U194" s="19"/>
      <c r="V194" s="41"/>
      <c r="W194" s="187"/>
      <c r="X194" s="76"/>
      <c r="Y194" s="264"/>
      <c r="Z194" s="82"/>
      <c r="AA194" s="358"/>
      <c r="AB194" s="358"/>
      <c r="AC194" s="91"/>
      <c r="AD194" s="91"/>
      <c r="AE194" s="91"/>
      <c r="AF194" s="91"/>
      <c r="AG194" s="91"/>
      <c r="AH194" s="91"/>
      <c r="AI194" s="729"/>
      <c r="AJ194" s="91"/>
      <c r="AK194" s="91"/>
      <c r="AL194" s="91"/>
      <c r="AM194" s="91"/>
      <c r="AN194" s="642"/>
      <c r="AO194" s="641"/>
    </row>
    <row r="195" spans="1:41" ht="15" customHeight="1" x14ac:dyDescent="0.25">
      <c r="A195" s="358"/>
      <c r="B195" s="358"/>
      <c r="C195" s="91"/>
      <c r="D195" s="359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523">
        <f t="shared" si="5"/>
        <v>0</v>
      </c>
      <c r="P195" s="15"/>
      <c r="Q195" s="16"/>
      <c r="R195" s="17"/>
      <c r="S195" s="262"/>
      <c r="T195" s="18"/>
      <c r="U195" s="19"/>
      <c r="V195" s="41"/>
      <c r="W195" s="187"/>
      <c r="X195" s="76"/>
      <c r="Y195" s="264"/>
      <c r="Z195" s="82"/>
      <c r="AA195" s="358"/>
      <c r="AB195" s="358"/>
      <c r="AC195" s="91"/>
      <c r="AD195" s="91"/>
      <c r="AE195" s="91"/>
      <c r="AF195" s="91"/>
      <c r="AG195" s="91"/>
      <c r="AH195" s="91"/>
      <c r="AI195" s="729"/>
      <c r="AJ195" s="91"/>
      <c r="AK195" s="91"/>
      <c r="AL195" s="91"/>
      <c r="AM195" s="91"/>
      <c r="AN195" s="642"/>
      <c r="AO195" s="641"/>
    </row>
    <row r="196" spans="1:41" ht="15" customHeight="1" x14ac:dyDescent="0.25">
      <c r="A196" s="358"/>
      <c r="B196" s="358"/>
      <c r="C196" s="91"/>
      <c r="D196" s="359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523">
        <f t="shared" si="5"/>
        <v>0</v>
      </c>
      <c r="P196" s="15"/>
      <c r="Q196" s="16"/>
      <c r="R196" s="17"/>
      <c r="S196" s="262"/>
      <c r="T196" s="18"/>
      <c r="U196" s="19"/>
      <c r="V196" s="41"/>
      <c r="W196" s="187"/>
      <c r="X196" s="76"/>
      <c r="Y196" s="264"/>
      <c r="Z196" s="82"/>
      <c r="AA196" s="358"/>
      <c r="AB196" s="358"/>
      <c r="AC196" s="91"/>
      <c r="AD196" s="91"/>
      <c r="AE196" s="91"/>
      <c r="AF196" s="91"/>
      <c r="AG196" s="91"/>
      <c r="AH196" s="91"/>
      <c r="AI196" s="729"/>
      <c r="AJ196" s="91"/>
      <c r="AK196" s="91"/>
      <c r="AL196" s="91"/>
      <c r="AM196" s="91"/>
      <c r="AN196" s="642"/>
      <c r="AO196" s="641"/>
    </row>
    <row r="197" spans="1:41" ht="15" customHeight="1" x14ac:dyDescent="0.25">
      <c r="A197" s="358"/>
      <c r="B197" s="358"/>
      <c r="C197" s="91"/>
      <c r="D197" s="359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523">
        <f t="shared" si="5"/>
        <v>0</v>
      </c>
      <c r="P197" s="15"/>
      <c r="Q197" s="16"/>
      <c r="R197" s="17"/>
      <c r="S197" s="262"/>
      <c r="T197" s="18"/>
      <c r="U197" s="19"/>
      <c r="V197" s="41"/>
      <c r="W197" s="187"/>
      <c r="X197" s="76"/>
      <c r="Y197" s="264"/>
      <c r="Z197" s="82"/>
      <c r="AA197" s="358"/>
      <c r="AB197" s="358"/>
      <c r="AC197" s="91"/>
      <c r="AD197" s="91"/>
      <c r="AE197" s="91"/>
      <c r="AF197" s="91"/>
      <c r="AG197" s="91"/>
      <c r="AH197" s="91"/>
      <c r="AI197" s="729"/>
      <c r="AJ197" s="91"/>
      <c r="AK197" s="91"/>
      <c r="AL197" s="91"/>
      <c r="AM197" s="91"/>
      <c r="AN197" s="642"/>
      <c r="AO197" s="641"/>
    </row>
    <row r="198" spans="1:41" ht="15" customHeight="1" x14ac:dyDescent="0.25">
      <c r="A198" s="358"/>
      <c r="B198" s="358"/>
      <c r="C198" s="91"/>
      <c r="D198" s="359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523">
        <f t="shared" si="5"/>
        <v>0</v>
      </c>
      <c r="P198" s="15"/>
      <c r="Q198" s="16"/>
      <c r="R198" s="17"/>
      <c r="S198" s="262"/>
      <c r="T198" s="18"/>
      <c r="U198" s="19"/>
      <c r="V198" s="41"/>
      <c r="W198" s="187"/>
      <c r="X198" s="76"/>
      <c r="Y198" s="264"/>
      <c r="Z198" s="82"/>
      <c r="AA198" s="358"/>
      <c r="AB198" s="358"/>
      <c r="AC198" s="91"/>
      <c r="AD198" s="91"/>
      <c r="AE198" s="91"/>
      <c r="AF198" s="91"/>
      <c r="AG198" s="91"/>
      <c r="AH198" s="91"/>
      <c r="AI198" s="729"/>
      <c r="AJ198" s="91"/>
      <c r="AK198" s="91"/>
      <c r="AL198" s="91"/>
      <c r="AM198" s="91"/>
      <c r="AN198" s="642"/>
      <c r="AO198" s="641"/>
    </row>
    <row r="199" spans="1:41" ht="15" customHeight="1" x14ac:dyDescent="0.25">
      <c r="A199" s="358"/>
      <c r="B199" s="358"/>
      <c r="C199" s="91"/>
      <c r="D199" s="359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523">
        <f t="shared" si="5"/>
        <v>0</v>
      </c>
      <c r="P199" s="15"/>
      <c r="Q199" s="16"/>
      <c r="R199" s="17"/>
      <c r="S199" s="262"/>
      <c r="T199" s="18"/>
      <c r="U199" s="19"/>
      <c r="V199" s="41"/>
      <c r="W199" s="187"/>
      <c r="X199" s="76"/>
      <c r="Y199" s="264"/>
      <c r="Z199" s="82"/>
      <c r="AA199" s="358"/>
      <c r="AB199" s="358"/>
      <c r="AC199" s="91"/>
      <c r="AD199" s="91"/>
      <c r="AE199" s="91"/>
      <c r="AF199" s="91"/>
      <c r="AG199" s="91"/>
      <c r="AH199" s="91"/>
      <c r="AI199" s="729"/>
      <c r="AJ199" s="91"/>
      <c r="AK199" s="91"/>
      <c r="AL199" s="91"/>
      <c r="AM199" s="91"/>
      <c r="AN199" s="642"/>
      <c r="AO199" s="641"/>
    </row>
    <row r="200" spans="1:41" ht="15" customHeight="1" x14ac:dyDescent="0.25">
      <c r="A200" s="358"/>
      <c r="B200" s="358"/>
      <c r="C200" s="91"/>
      <c r="D200" s="359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523">
        <f t="shared" si="5"/>
        <v>0</v>
      </c>
      <c r="P200" s="15"/>
      <c r="Q200" s="16"/>
      <c r="R200" s="17"/>
      <c r="S200" s="262"/>
      <c r="T200" s="18"/>
      <c r="U200" s="19"/>
      <c r="V200" s="41"/>
      <c r="W200" s="187"/>
      <c r="X200" s="76"/>
      <c r="Y200" s="264"/>
      <c r="Z200" s="82"/>
      <c r="AA200" s="358"/>
      <c r="AB200" s="358"/>
      <c r="AC200" s="91"/>
      <c r="AD200" s="91"/>
      <c r="AE200" s="91"/>
      <c r="AF200" s="91"/>
      <c r="AG200" s="91"/>
      <c r="AH200" s="91"/>
      <c r="AI200" s="729"/>
      <c r="AJ200" s="91"/>
      <c r="AK200" s="91"/>
      <c r="AL200" s="91"/>
      <c r="AM200" s="91"/>
      <c r="AN200" s="642"/>
      <c r="AO200" s="641"/>
    </row>
    <row r="201" spans="1:41" ht="15" customHeight="1" x14ac:dyDescent="0.25">
      <c r="A201" s="358"/>
      <c r="B201" s="358"/>
      <c r="C201" s="91"/>
      <c r="D201" s="359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523">
        <f t="shared" si="5"/>
        <v>0</v>
      </c>
      <c r="P201" s="15"/>
      <c r="Q201" s="16"/>
      <c r="R201" s="17"/>
      <c r="S201" s="262"/>
      <c r="T201" s="18"/>
      <c r="U201" s="19"/>
      <c r="V201" s="41"/>
      <c r="W201" s="187"/>
      <c r="X201" s="76"/>
      <c r="Y201" s="264"/>
      <c r="Z201" s="82"/>
      <c r="AA201" s="358"/>
      <c r="AB201" s="358"/>
      <c r="AC201" s="91"/>
      <c r="AD201" s="91"/>
      <c r="AE201" s="91"/>
      <c r="AF201" s="91"/>
      <c r="AG201" s="91"/>
      <c r="AH201" s="91"/>
      <c r="AI201" s="729"/>
      <c r="AJ201" s="91"/>
      <c r="AK201" s="91"/>
      <c r="AL201" s="91"/>
      <c r="AM201" s="91"/>
      <c r="AN201" s="642"/>
      <c r="AO201" s="641"/>
    </row>
    <row r="202" spans="1:41" ht="15" customHeight="1" x14ac:dyDescent="0.25">
      <c r="A202" s="358"/>
      <c r="B202" s="358"/>
      <c r="C202" s="91"/>
      <c r="D202" s="359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523">
        <f t="shared" si="5"/>
        <v>0</v>
      </c>
      <c r="P202" s="15"/>
      <c r="Q202" s="16"/>
      <c r="R202" s="17"/>
      <c r="S202" s="262"/>
      <c r="T202" s="18"/>
      <c r="U202" s="19"/>
      <c r="V202" s="41"/>
      <c r="W202" s="187"/>
      <c r="X202" s="76"/>
      <c r="Y202" s="264"/>
      <c r="Z202" s="82"/>
      <c r="AA202" s="358"/>
      <c r="AB202" s="358"/>
      <c r="AC202" s="91"/>
      <c r="AD202" s="91"/>
      <c r="AE202" s="91"/>
      <c r="AF202" s="91"/>
      <c r="AG202" s="91"/>
      <c r="AH202" s="91"/>
      <c r="AI202" s="729"/>
      <c r="AJ202" s="91"/>
      <c r="AK202" s="91"/>
      <c r="AL202" s="91"/>
      <c r="AM202" s="91"/>
      <c r="AN202" s="642"/>
      <c r="AO202" s="641"/>
    </row>
    <row r="203" spans="1:41" ht="15" customHeight="1" x14ac:dyDescent="0.25">
      <c r="A203" s="358"/>
      <c r="B203" s="358"/>
      <c r="C203" s="91"/>
      <c r="D203" s="359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523">
        <f t="shared" si="5"/>
        <v>0</v>
      </c>
      <c r="P203" s="15"/>
      <c r="Q203" s="16"/>
      <c r="R203" s="17"/>
      <c r="S203" s="262"/>
      <c r="T203" s="18"/>
      <c r="U203" s="19"/>
      <c r="V203" s="41"/>
      <c r="W203" s="187"/>
      <c r="X203" s="76"/>
      <c r="Y203" s="264"/>
      <c r="Z203" s="82"/>
      <c r="AA203" s="358"/>
      <c r="AB203" s="358"/>
      <c r="AC203" s="91"/>
      <c r="AD203" s="91"/>
      <c r="AE203" s="91"/>
      <c r="AF203" s="91"/>
      <c r="AG203" s="91"/>
      <c r="AH203" s="91"/>
      <c r="AI203" s="729"/>
      <c r="AJ203" s="91"/>
      <c r="AK203" s="91"/>
      <c r="AL203" s="91"/>
      <c r="AM203" s="91"/>
      <c r="AN203" s="642"/>
      <c r="AO203" s="641"/>
    </row>
    <row r="204" spans="1:41" ht="15" customHeight="1" x14ac:dyDescent="0.25">
      <c r="A204" s="358"/>
      <c r="B204" s="358"/>
      <c r="C204" s="91"/>
      <c r="D204" s="359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523">
        <f t="shared" si="5"/>
        <v>0</v>
      </c>
      <c r="P204" s="15"/>
      <c r="Q204" s="16"/>
      <c r="R204" s="17"/>
      <c r="S204" s="262"/>
      <c r="T204" s="18"/>
      <c r="U204" s="19"/>
      <c r="V204" s="41"/>
      <c r="W204" s="187"/>
      <c r="X204" s="76"/>
      <c r="Y204" s="264"/>
      <c r="Z204" s="82"/>
      <c r="AA204" s="358"/>
      <c r="AB204" s="358"/>
      <c r="AC204" s="91"/>
      <c r="AD204" s="91"/>
      <c r="AE204" s="91"/>
      <c r="AF204" s="91"/>
      <c r="AG204" s="91"/>
      <c r="AH204" s="91"/>
      <c r="AI204" s="729"/>
      <c r="AJ204" s="91"/>
      <c r="AK204" s="91"/>
      <c r="AL204" s="91"/>
      <c r="AM204" s="91"/>
      <c r="AN204" s="642"/>
      <c r="AO204" s="641"/>
    </row>
    <row r="205" spans="1:41" ht="15" customHeight="1" x14ac:dyDescent="0.25">
      <c r="A205" s="358"/>
      <c r="B205" s="358"/>
      <c r="C205" s="91"/>
      <c r="D205" s="359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523">
        <f t="shared" si="5"/>
        <v>0</v>
      </c>
      <c r="P205" s="15"/>
      <c r="Q205" s="16"/>
      <c r="R205" s="17"/>
      <c r="S205" s="262"/>
      <c r="T205" s="18"/>
      <c r="U205" s="19"/>
      <c r="V205" s="41"/>
      <c r="W205" s="187"/>
      <c r="X205" s="76"/>
      <c r="Y205" s="264"/>
      <c r="Z205" s="82"/>
      <c r="AA205" s="358"/>
      <c r="AB205" s="358"/>
      <c r="AC205" s="91"/>
      <c r="AD205" s="91"/>
      <c r="AE205" s="91"/>
      <c r="AF205" s="91"/>
      <c r="AG205" s="91"/>
      <c r="AH205" s="91"/>
      <c r="AI205" s="729"/>
      <c r="AJ205" s="91"/>
      <c r="AK205" s="91"/>
      <c r="AL205" s="91"/>
      <c r="AM205" s="91"/>
      <c r="AN205" s="642"/>
      <c r="AO205" s="641"/>
    </row>
    <row r="206" spans="1:41" ht="15" customHeight="1" x14ac:dyDescent="0.25">
      <c r="A206" s="358"/>
      <c r="B206" s="358"/>
      <c r="C206" s="91"/>
      <c r="D206" s="359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523">
        <f t="shared" si="5"/>
        <v>0</v>
      </c>
      <c r="P206" s="15"/>
      <c r="Q206" s="16"/>
      <c r="R206" s="17"/>
      <c r="S206" s="262"/>
      <c r="T206" s="18"/>
      <c r="U206" s="19"/>
      <c r="V206" s="41"/>
      <c r="W206" s="187"/>
      <c r="X206" s="76"/>
      <c r="Y206" s="264"/>
      <c r="Z206" s="82"/>
      <c r="AA206" s="358"/>
      <c r="AB206" s="358"/>
      <c r="AC206" s="91"/>
      <c r="AD206" s="91"/>
      <c r="AE206" s="91"/>
      <c r="AF206" s="91"/>
      <c r="AG206" s="91"/>
      <c r="AH206" s="91"/>
      <c r="AI206" s="729"/>
      <c r="AJ206" s="91"/>
      <c r="AK206" s="91"/>
      <c r="AL206" s="91"/>
      <c r="AM206" s="91"/>
      <c r="AN206" s="642"/>
      <c r="AO206" s="641"/>
    </row>
    <row r="207" spans="1:41" ht="15" customHeight="1" x14ac:dyDescent="0.25">
      <c r="A207" s="358"/>
      <c r="B207" s="358"/>
      <c r="C207" s="91"/>
      <c r="D207" s="359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523">
        <f t="shared" si="5"/>
        <v>0</v>
      </c>
      <c r="P207" s="15"/>
      <c r="Q207" s="16"/>
      <c r="R207" s="17"/>
      <c r="S207" s="262"/>
      <c r="T207" s="18"/>
      <c r="U207" s="19"/>
      <c r="V207" s="41"/>
      <c r="W207" s="187"/>
      <c r="X207" s="76"/>
      <c r="Y207" s="264"/>
      <c r="Z207" s="82"/>
      <c r="AA207" s="358"/>
      <c r="AB207" s="358"/>
      <c r="AC207" s="91"/>
      <c r="AD207" s="91"/>
      <c r="AE207" s="91"/>
      <c r="AF207" s="91"/>
      <c r="AG207" s="91"/>
      <c r="AH207" s="91"/>
      <c r="AI207" s="729"/>
      <c r="AJ207" s="91"/>
      <c r="AK207" s="91"/>
      <c r="AL207" s="91"/>
      <c r="AM207" s="91"/>
      <c r="AN207" s="642"/>
      <c r="AO207" s="641"/>
    </row>
    <row r="208" spans="1:41" ht="15" customHeight="1" x14ac:dyDescent="0.25">
      <c r="A208" s="358"/>
      <c r="B208" s="358"/>
      <c r="C208" s="91"/>
      <c r="D208" s="359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523">
        <f t="shared" si="5"/>
        <v>0</v>
      </c>
      <c r="P208" s="15"/>
      <c r="Q208" s="16"/>
      <c r="R208" s="17"/>
      <c r="S208" s="262"/>
      <c r="T208" s="18"/>
      <c r="U208" s="19"/>
      <c r="V208" s="41"/>
      <c r="W208" s="187"/>
      <c r="X208" s="76"/>
      <c r="Y208" s="264"/>
      <c r="Z208" s="82"/>
      <c r="AA208" s="358"/>
      <c r="AB208" s="358"/>
      <c r="AC208" s="91"/>
      <c r="AD208" s="91"/>
      <c r="AE208" s="91"/>
      <c r="AF208" s="91"/>
      <c r="AG208" s="91"/>
      <c r="AH208" s="91"/>
      <c r="AI208" s="729"/>
      <c r="AJ208" s="91"/>
      <c r="AK208" s="91"/>
      <c r="AL208" s="91"/>
      <c r="AM208" s="91"/>
      <c r="AN208" s="642"/>
      <c r="AO208" s="641"/>
    </row>
    <row r="209" spans="1:41" ht="15" customHeight="1" x14ac:dyDescent="0.25">
      <c r="A209" s="358"/>
      <c r="B209" s="358"/>
      <c r="C209" s="91"/>
      <c r="D209" s="359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523">
        <f t="shared" si="5"/>
        <v>0</v>
      </c>
      <c r="P209" s="15"/>
      <c r="Q209" s="16"/>
      <c r="R209" s="17"/>
      <c r="S209" s="262"/>
      <c r="T209" s="18"/>
      <c r="U209" s="19"/>
      <c r="V209" s="41"/>
      <c r="W209" s="187"/>
      <c r="X209" s="76"/>
      <c r="Y209" s="264"/>
      <c r="Z209" s="82"/>
      <c r="AA209" s="358"/>
      <c r="AB209" s="358"/>
      <c r="AC209" s="91"/>
      <c r="AD209" s="91"/>
      <c r="AE209" s="91"/>
      <c r="AF209" s="91"/>
      <c r="AG209" s="91"/>
      <c r="AH209" s="91"/>
      <c r="AI209" s="729"/>
      <c r="AJ209" s="91"/>
      <c r="AK209" s="91"/>
      <c r="AL209" s="91"/>
      <c r="AM209" s="91"/>
      <c r="AN209" s="642"/>
      <c r="AO209" s="641"/>
    </row>
    <row r="210" spans="1:41" ht="15" customHeight="1" x14ac:dyDescent="0.25">
      <c r="A210" s="358"/>
      <c r="B210" s="358"/>
      <c r="C210" s="91"/>
      <c r="D210" s="359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523">
        <f t="shared" ref="O210:O269" si="6">SUM(P210:Z210)</f>
        <v>0</v>
      </c>
      <c r="P210" s="15"/>
      <c r="Q210" s="16"/>
      <c r="R210" s="17"/>
      <c r="S210" s="262"/>
      <c r="T210" s="18"/>
      <c r="U210" s="19"/>
      <c r="V210" s="41"/>
      <c r="W210" s="187"/>
      <c r="X210" s="76"/>
      <c r="Y210" s="264"/>
      <c r="Z210" s="82"/>
      <c r="AA210" s="358"/>
      <c r="AB210" s="358"/>
      <c r="AC210" s="91"/>
      <c r="AD210" s="91"/>
      <c r="AE210" s="91"/>
      <c r="AF210" s="91"/>
      <c r="AG210" s="91"/>
      <c r="AH210" s="91"/>
      <c r="AI210" s="729"/>
      <c r="AJ210" s="91"/>
      <c r="AK210" s="91"/>
      <c r="AL210" s="91"/>
      <c r="AM210" s="91"/>
      <c r="AN210" s="642"/>
      <c r="AO210" s="641"/>
    </row>
    <row r="211" spans="1:41" ht="15" customHeight="1" x14ac:dyDescent="0.25">
      <c r="A211" s="358"/>
      <c r="B211" s="358"/>
      <c r="C211" s="91"/>
      <c r="D211" s="359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523">
        <f t="shared" si="6"/>
        <v>0</v>
      </c>
      <c r="P211" s="15"/>
      <c r="Q211" s="16"/>
      <c r="R211" s="17"/>
      <c r="S211" s="262"/>
      <c r="T211" s="18"/>
      <c r="U211" s="19"/>
      <c r="V211" s="41"/>
      <c r="W211" s="187"/>
      <c r="X211" s="76"/>
      <c r="Y211" s="264"/>
      <c r="Z211" s="82"/>
      <c r="AA211" s="358"/>
      <c r="AB211" s="358"/>
      <c r="AC211" s="91"/>
      <c r="AD211" s="91"/>
      <c r="AE211" s="91"/>
      <c r="AF211" s="91"/>
      <c r="AG211" s="91"/>
      <c r="AH211" s="91"/>
      <c r="AI211" s="729"/>
      <c r="AJ211" s="91"/>
      <c r="AK211" s="91"/>
      <c r="AL211" s="91"/>
      <c r="AM211" s="91"/>
      <c r="AN211" s="642"/>
      <c r="AO211" s="641"/>
    </row>
    <row r="212" spans="1:41" ht="15" customHeight="1" x14ac:dyDescent="0.25">
      <c r="A212" s="358"/>
      <c r="B212" s="358"/>
      <c r="C212" s="91"/>
      <c r="D212" s="359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523">
        <f t="shared" si="6"/>
        <v>0</v>
      </c>
      <c r="P212" s="15"/>
      <c r="Q212" s="16"/>
      <c r="R212" s="17"/>
      <c r="S212" s="262"/>
      <c r="T212" s="18"/>
      <c r="U212" s="19"/>
      <c r="V212" s="41"/>
      <c r="W212" s="187"/>
      <c r="X212" s="76"/>
      <c r="Y212" s="264"/>
      <c r="Z212" s="82"/>
      <c r="AA212" s="358"/>
      <c r="AB212" s="358"/>
      <c r="AC212" s="91"/>
      <c r="AD212" s="91"/>
      <c r="AE212" s="91"/>
      <c r="AF212" s="91"/>
      <c r="AG212" s="91"/>
      <c r="AH212" s="91"/>
      <c r="AI212" s="729"/>
      <c r="AJ212" s="91"/>
      <c r="AK212" s="91"/>
      <c r="AL212" s="91"/>
      <c r="AM212" s="91"/>
      <c r="AN212" s="642"/>
      <c r="AO212" s="641"/>
    </row>
    <row r="213" spans="1:41" ht="15" customHeight="1" x14ac:dyDescent="0.25">
      <c r="A213" s="358"/>
      <c r="B213" s="358"/>
      <c r="C213" s="91"/>
      <c r="D213" s="359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523">
        <f t="shared" si="6"/>
        <v>0</v>
      </c>
      <c r="P213" s="15"/>
      <c r="Q213" s="16"/>
      <c r="R213" s="17"/>
      <c r="S213" s="262"/>
      <c r="T213" s="18"/>
      <c r="U213" s="19"/>
      <c r="V213" s="41"/>
      <c r="W213" s="187"/>
      <c r="X213" s="76"/>
      <c r="Y213" s="264"/>
      <c r="Z213" s="82"/>
      <c r="AA213" s="358"/>
      <c r="AB213" s="358"/>
      <c r="AC213" s="91"/>
      <c r="AD213" s="91"/>
      <c r="AE213" s="91"/>
      <c r="AF213" s="91"/>
      <c r="AG213" s="91"/>
      <c r="AH213" s="91"/>
      <c r="AI213" s="729"/>
      <c r="AJ213" s="91"/>
      <c r="AK213" s="91"/>
      <c r="AL213" s="91"/>
      <c r="AM213" s="91"/>
      <c r="AN213" s="642"/>
      <c r="AO213" s="641"/>
    </row>
    <row r="214" spans="1:41" ht="15" customHeight="1" x14ac:dyDescent="0.25">
      <c r="A214" s="358"/>
      <c r="B214" s="358"/>
      <c r="C214" s="91"/>
      <c r="D214" s="359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523">
        <f t="shared" si="6"/>
        <v>0</v>
      </c>
      <c r="P214" s="15"/>
      <c r="Q214" s="16"/>
      <c r="R214" s="17"/>
      <c r="S214" s="262"/>
      <c r="T214" s="18"/>
      <c r="U214" s="19"/>
      <c r="V214" s="41"/>
      <c r="W214" s="187"/>
      <c r="X214" s="76"/>
      <c r="Y214" s="264"/>
      <c r="Z214" s="82"/>
      <c r="AA214" s="358"/>
      <c r="AB214" s="358"/>
      <c r="AC214" s="91"/>
      <c r="AD214" s="91"/>
      <c r="AE214" s="91"/>
      <c r="AF214" s="91"/>
      <c r="AG214" s="91"/>
      <c r="AH214" s="91"/>
      <c r="AI214" s="729"/>
      <c r="AJ214" s="91"/>
      <c r="AK214" s="91"/>
      <c r="AL214" s="91"/>
      <c r="AM214" s="91"/>
      <c r="AN214" s="642"/>
      <c r="AO214" s="641"/>
    </row>
    <row r="215" spans="1:41" ht="15" customHeight="1" x14ac:dyDescent="0.25">
      <c r="A215" s="358"/>
      <c r="B215" s="358"/>
      <c r="C215" s="91"/>
      <c r="D215" s="359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523">
        <f t="shared" si="6"/>
        <v>0</v>
      </c>
      <c r="P215" s="15"/>
      <c r="Q215" s="16"/>
      <c r="R215" s="17"/>
      <c r="S215" s="262"/>
      <c r="T215" s="18"/>
      <c r="U215" s="19"/>
      <c r="V215" s="41"/>
      <c r="W215" s="187"/>
      <c r="X215" s="76"/>
      <c r="Y215" s="264"/>
      <c r="Z215" s="82"/>
      <c r="AA215" s="358"/>
      <c r="AB215" s="358"/>
      <c r="AC215" s="91"/>
      <c r="AD215" s="91"/>
      <c r="AE215" s="91"/>
      <c r="AF215" s="91"/>
      <c r="AG215" s="91"/>
      <c r="AH215" s="91"/>
      <c r="AI215" s="729"/>
      <c r="AJ215" s="91"/>
      <c r="AK215" s="91"/>
      <c r="AL215" s="91"/>
      <c r="AM215" s="91"/>
      <c r="AN215" s="642"/>
      <c r="AO215" s="641"/>
    </row>
    <row r="216" spans="1:41" ht="15" customHeight="1" x14ac:dyDescent="0.25">
      <c r="A216" s="358"/>
      <c r="B216" s="358"/>
      <c r="C216" s="91"/>
      <c r="D216" s="359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523">
        <f t="shared" si="6"/>
        <v>0</v>
      </c>
      <c r="P216" s="15"/>
      <c r="Q216" s="16"/>
      <c r="R216" s="17"/>
      <c r="S216" s="262"/>
      <c r="T216" s="18"/>
      <c r="U216" s="19"/>
      <c r="V216" s="41"/>
      <c r="W216" s="187"/>
      <c r="X216" s="76"/>
      <c r="Y216" s="264"/>
      <c r="Z216" s="82"/>
      <c r="AA216" s="358"/>
      <c r="AB216" s="358"/>
      <c r="AC216" s="91"/>
      <c r="AD216" s="91"/>
      <c r="AE216" s="91"/>
      <c r="AF216" s="91"/>
      <c r="AG216" s="91"/>
      <c r="AH216" s="91"/>
      <c r="AI216" s="729"/>
      <c r="AJ216" s="91"/>
      <c r="AK216" s="91"/>
      <c r="AL216" s="91"/>
      <c r="AM216" s="91"/>
      <c r="AN216" s="642"/>
      <c r="AO216" s="641"/>
    </row>
    <row r="217" spans="1:41" ht="15" customHeight="1" x14ac:dyDescent="0.25">
      <c r="A217" s="358"/>
      <c r="B217" s="358"/>
      <c r="C217" s="91"/>
      <c r="D217" s="359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523">
        <f t="shared" si="6"/>
        <v>0</v>
      </c>
      <c r="P217" s="15"/>
      <c r="Q217" s="16"/>
      <c r="R217" s="17"/>
      <c r="S217" s="262"/>
      <c r="T217" s="18"/>
      <c r="U217" s="19"/>
      <c r="V217" s="41"/>
      <c r="W217" s="187"/>
      <c r="X217" s="76"/>
      <c r="Y217" s="264"/>
      <c r="Z217" s="82"/>
      <c r="AA217" s="358"/>
      <c r="AB217" s="358"/>
      <c r="AC217" s="91"/>
      <c r="AD217" s="91"/>
      <c r="AE217" s="91"/>
      <c r="AF217" s="91"/>
      <c r="AG217" s="91"/>
      <c r="AH217" s="91"/>
      <c r="AI217" s="729"/>
      <c r="AJ217" s="91"/>
      <c r="AK217" s="91"/>
      <c r="AL217" s="91"/>
      <c r="AM217" s="91"/>
      <c r="AN217" s="642"/>
      <c r="AO217" s="641"/>
    </row>
    <row r="218" spans="1:41" ht="15" customHeight="1" x14ac:dyDescent="0.25">
      <c r="A218" s="358"/>
      <c r="B218" s="358"/>
      <c r="C218" s="91"/>
      <c r="D218" s="359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523">
        <f t="shared" si="6"/>
        <v>0</v>
      </c>
      <c r="P218" s="15"/>
      <c r="Q218" s="16"/>
      <c r="R218" s="17"/>
      <c r="S218" s="262"/>
      <c r="T218" s="18"/>
      <c r="U218" s="19"/>
      <c r="V218" s="41"/>
      <c r="W218" s="187"/>
      <c r="X218" s="76"/>
      <c r="Y218" s="264"/>
      <c r="Z218" s="82"/>
      <c r="AA218" s="358"/>
      <c r="AB218" s="358"/>
      <c r="AC218" s="91"/>
      <c r="AD218" s="91"/>
      <c r="AE218" s="91"/>
      <c r="AF218" s="91"/>
      <c r="AG218" s="91"/>
      <c r="AH218" s="91"/>
      <c r="AI218" s="729"/>
      <c r="AJ218" s="91"/>
      <c r="AK218" s="91"/>
      <c r="AL218" s="91"/>
      <c r="AM218" s="91"/>
      <c r="AN218" s="642"/>
      <c r="AO218" s="641"/>
    </row>
    <row r="219" spans="1:41" ht="15" customHeight="1" x14ac:dyDescent="0.25">
      <c r="A219" s="358"/>
      <c r="B219" s="358"/>
      <c r="C219" s="91"/>
      <c r="D219" s="359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523">
        <f t="shared" si="6"/>
        <v>0</v>
      </c>
      <c r="P219" s="15"/>
      <c r="Q219" s="16"/>
      <c r="R219" s="17"/>
      <c r="S219" s="262"/>
      <c r="T219" s="18"/>
      <c r="U219" s="19"/>
      <c r="V219" s="41"/>
      <c r="W219" s="187"/>
      <c r="X219" s="76"/>
      <c r="Y219" s="264"/>
      <c r="Z219" s="82"/>
      <c r="AA219" s="358"/>
      <c r="AB219" s="358"/>
      <c r="AC219" s="91"/>
      <c r="AD219" s="91"/>
      <c r="AE219" s="91"/>
      <c r="AF219" s="91"/>
      <c r="AG219" s="91"/>
      <c r="AH219" s="91"/>
      <c r="AI219" s="729"/>
      <c r="AJ219" s="91"/>
      <c r="AK219" s="91"/>
      <c r="AL219" s="91"/>
      <c r="AM219" s="91"/>
      <c r="AN219" s="642"/>
      <c r="AO219" s="641"/>
    </row>
    <row r="220" spans="1:41" ht="15" customHeight="1" x14ac:dyDescent="0.25">
      <c r="A220" s="358"/>
      <c r="B220" s="358"/>
      <c r="C220" s="91"/>
      <c r="D220" s="359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523">
        <f t="shared" si="6"/>
        <v>0</v>
      </c>
      <c r="P220" s="15"/>
      <c r="Q220" s="16"/>
      <c r="R220" s="17"/>
      <c r="S220" s="262"/>
      <c r="T220" s="18"/>
      <c r="U220" s="19"/>
      <c r="V220" s="41"/>
      <c r="W220" s="187"/>
      <c r="X220" s="76"/>
      <c r="Y220" s="264"/>
      <c r="Z220" s="82"/>
      <c r="AA220" s="358"/>
      <c r="AB220" s="358"/>
      <c r="AC220" s="91"/>
      <c r="AD220" s="91"/>
      <c r="AE220" s="91"/>
      <c r="AF220" s="91"/>
      <c r="AG220" s="91"/>
      <c r="AH220" s="91"/>
      <c r="AI220" s="729"/>
      <c r="AJ220" s="91"/>
      <c r="AK220" s="91"/>
      <c r="AL220" s="91"/>
      <c r="AM220" s="91"/>
      <c r="AN220" s="642"/>
      <c r="AO220" s="641"/>
    </row>
    <row r="221" spans="1:41" ht="15" customHeight="1" x14ac:dyDescent="0.25">
      <c r="A221" s="358"/>
      <c r="B221" s="358"/>
      <c r="C221" s="91"/>
      <c r="D221" s="359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523">
        <f t="shared" si="6"/>
        <v>0</v>
      </c>
      <c r="P221" s="15"/>
      <c r="Q221" s="16"/>
      <c r="R221" s="17"/>
      <c r="S221" s="262"/>
      <c r="T221" s="18"/>
      <c r="U221" s="19"/>
      <c r="V221" s="41"/>
      <c r="W221" s="187"/>
      <c r="X221" s="76"/>
      <c r="Y221" s="264"/>
      <c r="Z221" s="82"/>
      <c r="AA221" s="358"/>
      <c r="AB221" s="358"/>
      <c r="AC221" s="91"/>
      <c r="AD221" s="91"/>
      <c r="AE221" s="91"/>
      <c r="AF221" s="91"/>
      <c r="AG221" s="91"/>
      <c r="AH221" s="91"/>
      <c r="AI221" s="729"/>
      <c r="AJ221" s="91"/>
      <c r="AK221" s="91"/>
      <c r="AL221" s="91"/>
      <c r="AM221" s="91"/>
      <c r="AN221" s="642"/>
      <c r="AO221" s="641"/>
    </row>
    <row r="222" spans="1:41" ht="15" customHeight="1" x14ac:dyDescent="0.25">
      <c r="A222" s="358"/>
      <c r="B222" s="358"/>
      <c r="C222" s="91"/>
      <c r="D222" s="359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523">
        <f t="shared" si="6"/>
        <v>0</v>
      </c>
      <c r="P222" s="15"/>
      <c r="Q222" s="16"/>
      <c r="R222" s="17"/>
      <c r="S222" s="262"/>
      <c r="T222" s="18"/>
      <c r="U222" s="19"/>
      <c r="V222" s="41"/>
      <c r="W222" s="187"/>
      <c r="X222" s="76"/>
      <c r="Y222" s="264"/>
      <c r="Z222" s="82"/>
      <c r="AA222" s="358"/>
      <c r="AB222" s="358"/>
      <c r="AC222" s="91"/>
      <c r="AD222" s="91"/>
      <c r="AE222" s="91"/>
      <c r="AF222" s="91"/>
      <c r="AG222" s="91"/>
      <c r="AH222" s="91"/>
      <c r="AI222" s="729"/>
      <c r="AJ222" s="91"/>
      <c r="AK222" s="91"/>
      <c r="AL222" s="91"/>
      <c r="AM222" s="91"/>
      <c r="AN222" s="642"/>
      <c r="AO222" s="641"/>
    </row>
    <row r="223" spans="1:41" ht="15" customHeight="1" x14ac:dyDescent="0.25">
      <c r="A223" s="358"/>
      <c r="B223" s="358"/>
      <c r="C223" s="91"/>
      <c r="D223" s="359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523">
        <f t="shared" si="6"/>
        <v>0</v>
      </c>
      <c r="P223" s="15"/>
      <c r="Q223" s="16"/>
      <c r="R223" s="17"/>
      <c r="S223" s="262"/>
      <c r="T223" s="18"/>
      <c r="U223" s="19"/>
      <c r="V223" s="41"/>
      <c r="W223" s="187"/>
      <c r="X223" s="76"/>
      <c r="Y223" s="264"/>
      <c r="Z223" s="82"/>
      <c r="AA223" s="358"/>
      <c r="AB223" s="358"/>
      <c r="AC223" s="91"/>
      <c r="AD223" s="91"/>
      <c r="AE223" s="91"/>
      <c r="AF223" s="91"/>
      <c r="AG223" s="91"/>
      <c r="AH223" s="91"/>
      <c r="AI223" s="729"/>
      <c r="AJ223" s="91"/>
      <c r="AK223" s="91"/>
      <c r="AL223" s="91"/>
      <c r="AM223" s="91"/>
      <c r="AN223" s="642"/>
      <c r="AO223" s="641"/>
    </row>
    <row r="224" spans="1:41" ht="15" customHeight="1" x14ac:dyDescent="0.25">
      <c r="A224" s="358"/>
      <c r="B224" s="358"/>
      <c r="C224" s="91"/>
      <c r="D224" s="359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523">
        <f t="shared" si="6"/>
        <v>0</v>
      </c>
      <c r="P224" s="15"/>
      <c r="Q224" s="16"/>
      <c r="R224" s="17"/>
      <c r="S224" s="262"/>
      <c r="T224" s="18"/>
      <c r="U224" s="19"/>
      <c r="V224" s="41"/>
      <c r="W224" s="187"/>
      <c r="X224" s="76"/>
      <c r="Y224" s="264"/>
      <c r="Z224" s="82"/>
      <c r="AA224" s="358"/>
      <c r="AB224" s="358"/>
      <c r="AC224" s="91"/>
      <c r="AD224" s="91"/>
      <c r="AE224" s="91"/>
      <c r="AF224" s="91"/>
      <c r="AG224" s="91"/>
      <c r="AH224" s="91"/>
      <c r="AI224" s="729"/>
      <c r="AJ224" s="91"/>
      <c r="AK224" s="91"/>
      <c r="AL224" s="91"/>
      <c r="AM224" s="91"/>
      <c r="AN224" s="642"/>
      <c r="AO224" s="641"/>
    </row>
    <row r="225" spans="1:41" ht="15" customHeight="1" x14ac:dyDescent="0.25">
      <c r="A225" s="358"/>
      <c r="B225" s="358"/>
      <c r="C225" s="91"/>
      <c r="D225" s="359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523">
        <f t="shared" si="6"/>
        <v>0</v>
      </c>
      <c r="P225" s="15"/>
      <c r="Q225" s="16"/>
      <c r="R225" s="17"/>
      <c r="S225" s="262"/>
      <c r="T225" s="18"/>
      <c r="U225" s="19"/>
      <c r="V225" s="41"/>
      <c r="W225" s="187"/>
      <c r="X225" s="76"/>
      <c r="Y225" s="264"/>
      <c r="Z225" s="82"/>
      <c r="AA225" s="358"/>
      <c r="AB225" s="358"/>
      <c r="AC225" s="91"/>
      <c r="AD225" s="91"/>
      <c r="AE225" s="91"/>
      <c r="AF225" s="91"/>
      <c r="AG225" s="91"/>
      <c r="AH225" s="91"/>
      <c r="AI225" s="729"/>
      <c r="AJ225" s="91"/>
      <c r="AK225" s="91"/>
      <c r="AL225" s="91"/>
      <c r="AM225" s="91"/>
      <c r="AN225" s="642"/>
      <c r="AO225" s="641"/>
    </row>
    <row r="226" spans="1:41" ht="15" customHeight="1" x14ac:dyDescent="0.25">
      <c r="A226" s="358"/>
      <c r="B226" s="358"/>
      <c r="C226" s="91"/>
      <c r="D226" s="359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523">
        <f t="shared" si="6"/>
        <v>0</v>
      </c>
      <c r="P226" s="15"/>
      <c r="Q226" s="16"/>
      <c r="R226" s="17"/>
      <c r="S226" s="262"/>
      <c r="T226" s="18"/>
      <c r="U226" s="19"/>
      <c r="V226" s="41"/>
      <c r="W226" s="187"/>
      <c r="X226" s="76"/>
      <c r="Y226" s="264"/>
      <c r="Z226" s="82"/>
      <c r="AA226" s="358"/>
      <c r="AB226" s="358"/>
      <c r="AC226" s="91"/>
      <c r="AD226" s="91"/>
      <c r="AE226" s="91"/>
      <c r="AF226" s="91"/>
      <c r="AG226" s="91"/>
      <c r="AH226" s="91"/>
      <c r="AI226" s="729"/>
      <c r="AJ226" s="91"/>
      <c r="AK226" s="91"/>
      <c r="AL226" s="91"/>
      <c r="AM226" s="91"/>
      <c r="AN226" s="642"/>
      <c r="AO226" s="641"/>
    </row>
    <row r="227" spans="1:41" ht="15" customHeight="1" x14ac:dyDescent="0.25">
      <c r="A227" s="358"/>
      <c r="B227" s="358"/>
      <c r="C227" s="91"/>
      <c r="D227" s="359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523">
        <f t="shared" si="6"/>
        <v>0</v>
      </c>
      <c r="P227" s="15"/>
      <c r="Q227" s="16"/>
      <c r="R227" s="17"/>
      <c r="S227" s="262"/>
      <c r="T227" s="18"/>
      <c r="U227" s="19"/>
      <c r="V227" s="41"/>
      <c r="W227" s="187"/>
      <c r="X227" s="76"/>
      <c r="Y227" s="264"/>
      <c r="Z227" s="82"/>
      <c r="AA227" s="358"/>
      <c r="AB227" s="358"/>
      <c r="AC227" s="91"/>
      <c r="AD227" s="91"/>
      <c r="AE227" s="91"/>
      <c r="AF227" s="91"/>
      <c r="AG227" s="91"/>
      <c r="AH227" s="91"/>
      <c r="AI227" s="729"/>
      <c r="AJ227" s="91"/>
      <c r="AK227" s="91"/>
      <c r="AL227" s="91"/>
      <c r="AM227" s="91"/>
      <c r="AN227" s="642"/>
      <c r="AO227" s="641"/>
    </row>
    <row r="228" spans="1:41" ht="15" customHeight="1" x14ac:dyDescent="0.25">
      <c r="A228" s="358"/>
      <c r="B228" s="358"/>
      <c r="C228" s="91"/>
      <c r="D228" s="359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523">
        <f t="shared" si="6"/>
        <v>0</v>
      </c>
      <c r="P228" s="15"/>
      <c r="Q228" s="16"/>
      <c r="R228" s="17"/>
      <c r="S228" s="262"/>
      <c r="T228" s="18"/>
      <c r="U228" s="19"/>
      <c r="V228" s="41"/>
      <c r="W228" s="187"/>
      <c r="X228" s="76"/>
      <c r="Y228" s="264"/>
      <c r="Z228" s="82"/>
      <c r="AA228" s="358"/>
      <c r="AB228" s="358"/>
      <c r="AC228" s="91"/>
      <c r="AD228" s="91"/>
      <c r="AE228" s="91"/>
      <c r="AF228" s="91"/>
      <c r="AG228" s="91"/>
      <c r="AH228" s="91"/>
      <c r="AI228" s="729"/>
      <c r="AJ228" s="91"/>
      <c r="AK228" s="91"/>
      <c r="AL228" s="91"/>
      <c r="AM228" s="91"/>
      <c r="AN228" s="642"/>
      <c r="AO228" s="641"/>
    </row>
    <row r="229" spans="1:41" ht="15" customHeight="1" x14ac:dyDescent="0.25">
      <c r="A229" s="358"/>
      <c r="B229" s="358"/>
      <c r="C229" s="91"/>
      <c r="D229" s="359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523">
        <f t="shared" si="6"/>
        <v>0</v>
      </c>
      <c r="P229" s="15"/>
      <c r="Q229" s="16"/>
      <c r="R229" s="17"/>
      <c r="S229" s="262"/>
      <c r="T229" s="18"/>
      <c r="U229" s="19"/>
      <c r="V229" s="41"/>
      <c r="W229" s="187"/>
      <c r="X229" s="76"/>
      <c r="Y229" s="264"/>
      <c r="Z229" s="82"/>
      <c r="AA229" s="358"/>
      <c r="AB229" s="358"/>
      <c r="AC229" s="91"/>
      <c r="AD229" s="91"/>
      <c r="AE229" s="91"/>
      <c r="AF229" s="91"/>
      <c r="AG229" s="91"/>
      <c r="AH229" s="91"/>
      <c r="AI229" s="729"/>
      <c r="AJ229" s="91"/>
      <c r="AK229" s="91"/>
      <c r="AL229" s="91"/>
      <c r="AM229" s="91"/>
      <c r="AN229" s="642"/>
      <c r="AO229" s="641"/>
    </row>
    <row r="230" spans="1:41" ht="15" customHeight="1" x14ac:dyDescent="0.25">
      <c r="A230" s="358"/>
      <c r="B230" s="358"/>
      <c r="C230" s="91"/>
      <c r="D230" s="359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523">
        <f t="shared" si="6"/>
        <v>0</v>
      </c>
      <c r="P230" s="15"/>
      <c r="Q230" s="16"/>
      <c r="R230" s="17"/>
      <c r="S230" s="262"/>
      <c r="T230" s="18"/>
      <c r="U230" s="19"/>
      <c r="V230" s="41"/>
      <c r="W230" s="187"/>
      <c r="X230" s="76"/>
      <c r="Y230" s="264"/>
      <c r="Z230" s="82"/>
      <c r="AA230" s="358"/>
      <c r="AB230" s="358"/>
      <c r="AC230" s="91"/>
      <c r="AD230" s="91"/>
      <c r="AE230" s="91"/>
      <c r="AF230" s="91"/>
      <c r="AG230" s="91"/>
      <c r="AH230" s="91"/>
      <c r="AI230" s="729"/>
      <c r="AJ230" s="91"/>
      <c r="AK230" s="91"/>
      <c r="AL230" s="91"/>
      <c r="AM230" s="91"/>
      <c r="AN230" s="642"/>
      <c r="AO230" s="641"/>
    </row>
    <row r="231" spans="1:41" ht="15" customHeight="1" x14ac:dyDescent="0.25">
      <c r="A231" s="358"/>
      <c r="B231" s="358"/>
      <c r="C231" s="91"/>
      <c r="D231" s="359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523">
        <f t="shared" si="6"/>
        <v>0</v>
      </c>
      <c r="P231" s="15"/>
      <c r="Q231" s="16"/>
      <c r="R231" s="17"/>
      <c r="S231" s="262"/>
      <c r="T231" s="18"/>
      <c r="U231" s="19"/>
      <c r="V231" s="41"/>
      <c r="W231" s="187"/>
      <c r="X231" s="76"/>
      <c r="Y231" s="264"/>
      <c r="Z231" s="82"/>
      <c r="AA231" s="358"/>
      <c r="AB231" s="358"/>
      <c r="AC231" s="91"/>
      <c r="AD231" s="91"/>
      <c r="AE231" s="91"/>
      <c r="AF231" s="91"/>
      <c r="AG231" s="91"/>
      <c r="AH231" s="91"/>
      <c r="AI231" s="729"/>
      <c r="AJ231" s="91"/>
      <c r="AK231" s="91"/>
      <c r="AL231" s="91"/>
      <c r="AM231" s="91"/>
      <c r="AN231" s="642"/>
      <c r="AO231" s="641"/>
    </row>
    <row r="232" spans="1:41" ht="15" customHeight="1" x14ac:dyDescent="0.25">
      <c r="A232" s="358"/>
      <c r="B232" s="358"/>
      <c r="C232" s="91"/>
      <c r="D232" s="359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523">
        <f t="shared" si="6"/>
        <v>0</v>
      </c>
      <c r="P232" s="15"/>
      <c r="Q232" s="16"/>
      <c r="R232" s="17"/>
      <c r="S232" s="262"/>
      <c r="T232" s="18"/>
      <c r="U232" s="19"/>
      <c r="V232" s="41"/>
      <c r="W232" s="187"/>
      <c r="X232" s="76"/>
      <c r="Y232" s="264"/>
      <c r="Z232" s="82"/>
      <c r="AA232" s="358"/>
      <c r="AB232" s="358"/>
      <c r="AC232" s="91"/>
      <c r="AD232" s="91"/>
      <c r="AE232" s="91"/>
      <c r="AF232" s="91"/>
      <c r="AG232" s="91"/>
      <c r="AH232" s="91"/>
      <c r="AI232" s="729"/>
      <c r="AJ232" s="91"/>
      <c r="AK232" s="91"/>
      <c r="AL232" s="91"/>
      <c r="AM232" s="91"/>
      <c r="AN232" s="642"/>
      <c r="AO232" s="641"/>
    </row>
    <row r="233" spans="1:41" ht="15" customHeight="1" x14ac:dyDescent="0.25">
      <c r="A233" s="358"/>
      <c r="B233" s="358"/>
      <c r="C233" s="91"/>
      <c r="D233" s="359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523">
        <f t="shared" si="6"/>
        <v>0</v>
      </c>
      <c r="P233" s="15"/>
      <c r="Q233" s="16"/>
      <c r="R233" s="17"/>
      <c r="S233" s="262"/>
      <c r="T233" s="18"/>
      <c r="U233" s="19"/>
      <c r="V233" s="41"/>
      <c r="W233" s="187"/>
      <c r="X233" s="76"/>
      <c r="Y233" s="264"/>
      <c r="Z233" s="82"/>
      <c r="AA233" s="358"/>
      <c r="AB233" s="358"/>
      <c r="AC233" s="91"/>
      <c r="AD233" s="91"/>
      <c r="AE233" s="91"/>
      <c r="AF233" s="91"/>
      <c r="AG233" s="91"/>
      <c r="AH233" s="91"/>
      <c r="AI233" s="729"/>
      <c r="AJ233" s="91"/>
      <c r="AK233" s="91"/>
      <c r="AL233" s="91"/>
      <c r="AM233" s="91"/>
      <c r="AN233" s="642"/>
      <c r="AO233" s="641"/>
    </row>
    <row r="234" spans="1:41" ht="15" customHeight="1" x14ac:dyDescent="0.25">
      <c r="A234" s="358"/>
      <c r="B234" s="358"/>
      <c r="C234" s="91"/>
      <c r="D234" s="359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523">
        <f t="shared" si="6"/>
        <v>0</v>
      </c>
      <c r="P234" s="15"/>
      <c r="Q234" s="16"/>
      <c r="R234" s="17"/>
      <c r="S234" s="262"/>
      <c r="T234" s="18"/>
      <c r="U234" s="19"/>
      <c r="V234" s="41"/>
      <c r="W234" s="187"/>
      <c r="X234" s="76"/>
      <c r="Y234" s="264"/>
      <c r="Z234" s="82"/>
      <c r="AA234" s="358"/>
      <c r="AB234" s="358"/>
      <c r="AC234" s="91"/>
      <c r="AD234" s="91"/>
      <c r="AE234" s="91"/>
      <c r="AF234" s="91"/>
      <c r="AG234" s="91"/>
      <c r="AH234" s="91"/>
      <c r="AI234" s="729"/>
      <c r="AJ234" s="91"/>
      <c r="AK234" s="91"/>
      <c r="AL234" s="91"/>
      <c r="AM234" s="91"/>
      <c r="AN234" s="642"/>
      <c r="AO234" s="641"/>
    </row>
    <row r="235" spans="1:41" ht="15" customHeight="1" x14ac:dyDescent="0.25">
      <c r="A235" s="358"/>
      <c r="B235" s="358"/>
      <c r="C235" s="91"/>
      <c r="D235" s="359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523">
        <f t="shared" si="6"/>
        <v>0</v>
      </c>
      <c r="P235" s="15"/>
      <c r="Q235" s="16"/>
      <c r="R235" s="17"/>
      <c r="S235" s="262"/>
      <c r="T235" s="18"/>
      <c r="U235" s="19"/>
      <c r="V235" s="41"/>
      <c r="W235" s="187"/>
      <c r="X235" s="76"/>
      <c r="Y235" s="264"/>
      <c r="Z235" s="82"/>
      <c r="AA235" s="358"/>
      <c r="AB235" s="358"/>
      <c r="AC235" s="91"/>
      <c r="AD235" s="91"/>
      <c r="AE235" s="91"/>
      <c r="AF235" s="91"/>
      <c r="AG235" s="91"/>
      <c r="AH235" s="91"/>
      <c r="AI235" s="729"/>
      <c r="AJ235" s="91"/>
      <c r="AK235" s="91"/>
      <c r="AL235" s="91"/>
      <c r="AM235" s="91"/>
      <c r="AN235" s="642"/>
      <c r="AO235" s="641"/>
    </row>
    <row r="236" spans="1:41" ht="15" customHeight="1" x14ac:dyDescent="0.25">
      <c r="A236" s="358"/>
      <c r="B236" s="358"/>
      <c r="C236" s="91"/>
      <c r="D236" s="359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523">
        <f t="shared" si="6"/>
        <v>0</v>
      </c>
      <c r="P236" s="15"/>
      <c r="Q236" s="16"/>
      <c r="R236" s="17"/>
      <c r="S236" s="262"/>
      <c r="T236" s="18"/>
      <c r="U236" s="19"/>
      <c r="V236" s="41"/>
      <c r="W236" s="187"/>
      <c r="X236" s="76"/>
      <c r="Y236" s="264"/>
      <c r="Z236" s="82"/>
      <c r="AA236" s="358"/>
      <c r="AB236" s="358"/>
      <c r="AC236" s="91"/>
      <c r="AD236" s="91"/>
      <c r="AE236" s="91"/>
      <c r="AF236" s="91"/>
      <c r="AG236" s="91"/>
      <c r="AH236" s="91"/>
      <c r="AI236" s="729"/>
      <c r="AJ236" s="91"/>
      <c r="AK236" s="91"/>
      <c r="AL236" s="91"/>
      <c r="AM236" s="91"/>
      <c r="AN236" s="642"/>
      <c r="AO236" s="641"/>
    </row>
    <row r="237" spans="1:41" ht="15" customHeight="1" x14ac:dyDescent="0.25">
      <c r="A237" s="358"/>
      <c r="B237" s="358"/>
      <c r="C237" s="91"/>
      <c r="D237" s="359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523">
        <f t="shared" si="6"/>
        <v>0</v>
      </c>
      <c r="P237" s="15"/>
      <c r="Q237" s="16"/>
      <c r="R237" s="17"/>
      <c r="S237" s="262"/>
      <c r="T237" s="18"/>
      <c r="U237" s="19"/>
      <c r="V237" s="41"/>
      <c r="W237" s="187"/>
      <c r="X237" s="76"/>
      <c r="Y237" s="264"/>
      <c r="Z237" s="82"/>
      <c r="AA237" s="358"/>
      <c r="AB237" s="358"/>
      <c r="AC237" s="91"/>
      <c r="AD237" s="91"/>
      <c r="AE237" s="91"/>
      <c r="AF237" s="91"/>
      <c r="AG237" s="91"/>
      <c r="AH237" s="91"/>
      <c r="AI237" s="729"/>
      <c r="AJ237" s="91"/>
      <c r="AK237" s="91"/>
      <c r="AL237" s="91"/>
      <c r="AM237" s="91"/>
      <c r="AN237" s="642"/>
      <c r="AO237" s="641"/>
    </row>
    <row r="238" spans="1:41" ht="15" customHeight="1" x14ac:dyDescent="0.25">
      <c r="A238" s="358"/>
      <c r="B238" s="358"/>
      <c r="C238" s="91"/>
      <c r="D238" s="359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523">
        <f t="shared" si="6"/>
        <v>0</v>
      </c>
      <c r="P238" s="15"/>
      <c r="Q238" s="16"/>
      <c r="R238" s="17"/>
      <c r="S238" s="117"/>
      <c r="T238" s="18"/>
      <c r="U238" s="19"/>
      <c r="V238" s="41"/>
      <c r="W238" s="187"/>
      <c r="X238" s="76"/>
      <c r="Y238" s="118"/>
      <c r="Z238" s="82"/>
      <c r="AA238" s="358"/>
      <c r="AB238" s="358"/>
      <c r="AC238" s="91"/>
      <c r="AD238" s="91"/>
      <c r="AE238" s="91"/>
      <c r="AF238" s="91"/>
      <c r="AG238" s="91"/>
      <c r="AH238" s="91"/>
      <c r="AI238" s="729"/>
      <c r="AJ238" s="91"/>
      <c r="AK238" s="91"/>
      <c r="AL238" s="91"/>
      <c r="AM238" s="91"/>
      <c r="AN238" s="642"/>
      <c r="AO238" s="641"/>
    </row>
    <row r="239" spans="1:41" ht="15" customHeight="1" x14ac:dyDescent="0.25">
      <c r="A239" s="358"/>
      <c r="B239" s="358"/>
      <c r="C239" s="91"/>
      <c r="D239" s="359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523">
        <f t="shared" si="6"/>
        <v>0</v>
      </c>
      <c r="P239" s="15"/>
      <c r="Q239" s="16"/>
      <c r="R239" s="17"/>
      <c r="S239" s="117"/>
      <c r="T239" s="18"/>
      <c r="U239" s="19"/>
      <c r="V239" s="41"/>
      <c r="W239" s="187"/>
      <c r="X239" s="76"/>
      <c r="Y239" s="118"/>
      <c r="Z239" s="82"/>
      <c r="AA239" s="358"/>
      <c r="AB239" s="358"/>
      <c r="AC239" s="91"/>
      <c r="AD239" s="91"/>
      <c r="AE239" s="91"/>
      <c r="AF239" s="91"/>
      <c r="AG239" s="91"/>
      <c r="AH239" s="91"/>
      <c r="AI239" s="729"/>
      <c r="AJ239" s="91"/>
      <c r="AK239" s="91"/>
      <c r="AL239" s="91"/>
      <c r="AM239" s="91"/>
      <c r="AN239" s="642"/>
      <c r="AO239" s="641"/>
    </row>
    <row r="240" spans="1:41" ht="15" customHeight="1" x14ac:dyDescent="0.25">
      <c r="A240" s="358"/>
      <c r="B240" s="358"/>
      <c r="C240" s="91"/>
      <c r="D240" s="359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523">
        <f t="shared" si="6"/>
        <v>0</v>
      </c>
      <c r="P240" s="15"/>
      <c r="Q240" s="16"/>
      <c r="R240" s="17"/>
      <c r="S240" s="117"/>
      <c r="T240" s="18"/>
      <c r="U240" s="19"/>
      <c r="V240" s="41"/>
      <c r="W240" s="187"/>
      <c r="X240" s="76"/>
      <c r="Y240" s="118"/>
      <c r="Z240" s="82"/>
      <c r="AA240" s="358"/>
      <c r="AB240" s="358"/>
      <c r="AC240" s="91"/>
      <c r="AD240" s="91"/>
      <c r="AE240" s="91"/>
      <c r="AF240" s="91"/>
      <c r="AG240" s="91"/>
      <c r="AH240" s="91"/>
      <c r="AI240" s="729"/>
      <c r="AJ240" s="91"/>
      <c r="AK240" s="91"/>
      <c r="AL240" s="91"/>
      <c r="AM240" s="91"/>
      <c r="AN240" s="642"/>
      <c r="AO240" s="641"/>
    </row>
    <row r="241" spans="1:41" ht="15" customHeight="1" x14ac:dyDescent="0.25">
      <c r="A241" s="358"/>
      <c r="B241" s="358"/>
      <c r="C241" s="91"/>
      <c r="D241" s="359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523">
        <f t="shared" si="6"/>
        <v>0</v>
      </c>
      <c r="P241" s="15"/>
      <c r="Q241" s="16"/>
      <c r="R241" s="17"/>
      <c r="S241" s="117"/>
      <c r="T241" s="18"/>
      <c r="U241" s="19"/>
      <c r="V241" s="41"/>
      <c r="W241" s="187"/>
      <c r="X241" s="76"/>
      <c r="Y241" s="118"/>
      <c r="Z241" s="82"/>
      <c r="AA241" s="358"/>
      <c r="AB241" s="358"/>
      <c r="AC241" s="91"/>
      <c r="AD241" s="91"/>
      <c r="AE241" s="91"/>
      <c r="AF241" s="91"/>
      <c r="AG241" s="91"/>
      <c r="AH241" s="91"/>
      <c r="AI241" s="729"/>
      <c r="AJ241" s="91"/>
      <c r="AK241" s="91"/>
      <c r="AL241" s="91"/>
      <c r="AM241" s="91"/>
      <c r="AN241" s="642"/>
      <c r="AO241" s="641"/>
    </row>
    <row r="242" spans="1:41" ht="15" customHeight="1" x14ac:dyDescent="0.25">
      <c r="A242" s="358"/>
      <c r="B242" s="358"/>
      <c r="C242" s="91"/>
      <c r="D242" s="359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523">
        <f t="shared" si="6"/>
        <v>0</v>
      </c>
      <c r="P242" s="15"/>
      <c r="Q242" s="16"/>
      <c r="R242" s="17"/>
      <c r="S242" s="117"/>
      <c r="T242" s="18"/>
      <c r="U242" s="19"/>
      <c r="V242" s="41"/>
      <c r="W242" s="187"/>
      <c r="X242" s="76"/>
      <c r="Y242" s="118"/>
      <c r="Z242" s="82"/>
      <c r="AA242" s="358"/>
      <c r="AB242" s="358"/>
      <c r="AC242" s="91"/>
      <c r="AD242" s="91"/>
      <c r="AE242" s="91"/>
      <c r="AF242" s="91"/>
      <c r="AG242" s="91"/>
      <c r="AH242" s="91"/>
      <c r="AI242" s="729"/>
      <c r="AJ242" s="91"/>
      <c r="AK242" s="91"/>
      <c r="AL242" s="91"/>
      <c r="AM242" s="91"/>
      <c r="AN242" s="642"/>
      <c r="AO242" s="641"/>
    </row>
    <row r="243" spans="1:41" ht="15" customHeight="1" x14ac:dyDescent="0.25">
      <c r="A243" s="358"/>
      <c r="B243" s="358"/>
      <c r="C243" s="91"/>
      <c r="D243" s="359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523">
        <f t="shared" si="6"/>
        <v>0</v>
      </c>
      <c r="P243" s="15"/>
      <c r="Q243" s="16"/>
      <c r="R243" s="17"/>
      <c r="S243" s="117"/>
      <c r="T243" s="18"/>
      <c r="U243" s="19"/>
      <c r="V243" s="41"/>
      <c r="W243" s="187"/>
      <c r="X243" s="76"/>
      <c r="Y243" s="118"/>
      <c r="Z243" s="82"/>
      <c r="AA243" s="358"/>
      <c r="AB243" s="358"/>
      <c r="AC243" s="91"/>
      <c r="AD243" s="91"/>
      <c r="AE243" s="91"/>
      <c r="AF243" s="91"/>
      <c r="AG243" s="91"/>
      <c r="AH243" s="91"/>
      <c r="AI243" s="729"/>
      <c r="AJ243" s="91"/>
      <c r="AK243" s="91"/>
      <c r="AL243" s="91"/>
      <c r="AM243" s="91"/>
      <c r="AN243" s="642"/>
      <c r="AO243" s="641"/>
    </row>
    <row r="244" spans="1:41" ht="15" customHeight="1" x14ac:dyDescent="0.25">
      <c r="A244" s="358"/>
      <c r="B244" s="358"/>
      <c r="C244" s="91"/>
      <c r="D244" s="359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523">
        <f t="shared" si="6"/>
        <v>0</v>
      </c>
      <c r="P244" s="15"/>
      <c r="Q244" s="16"/>
      <c r="R244" s="17"/>
      <c r="S244" s="117"/>
      <c r="T244" s="18"/>
      <c r="U244" s="19"/>
      <c r="V244" s="41"/>
      <c r="W244" s="187"/>
      <c r="X244" s="76"/>
      <c r="Y244" s="118"/>
      <c r="Z244" s="82"/>
      <c r="AA244" s="358"/>
      <c r="AB244" s="358"/>
      <c r="AC244" s="91"/>
      <c r="AD244" s="91"/>
      <c r="AE244" s="91"/>
      <c r="AF244" s="91"/>
      <c r="AG244" s="91"/>
      <c r="AH244" s="91"/>
      <c r="AI244" s="729"/>
      <c r="AJ244" s="91"/>
      <c r="AK244" s="91"/>
      <c r="AL244" s="91"/>
      <c r="AM244" s="91"/>
      <c r="AN244" s="642"/>
      <c r="AO244" s="641"/>
    </row>
    <row r="245" spans="1:41" ht="15" customHeight="1" x14ac:dyDescent="0.25">
      <c r="A245" s="358"/>
      <c r="B245" s="358"/>
      <c r="C245" s="91"/>
      <c r="D245" s="359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523">
        <f t="shared" si="6"/>
        <v>0</v>
      </c>
      <c r="P245" s="15"/>
      <c r="Q245" s="16"/>
      <c r="R245" s="17"/>
      <c r="S245" s="117"/>
      <c r="T245" s="18"/>
      <c r="U245" s="19"/>
      <c r="V245" s="41"/>
      <c r="W245" s="187"/>
      <c r="X245" s="76"/>
      <c r="Y245" s="118"/>
      <c r="Z245" s="82"/>
      <c r="AA245" s="358"/>
      <c r="AB245" s="358"/>
      <c r="AC245" s="91"/>
      <c r="AD245" s="91"/>
      <c r="AE245" s="91"/>
      <c r="AF245" s="91"/>
      <c r="AG245" s="91"/>
      <c r="AH245" s="91"/>
      <c r="AI245" s="729"/>
      <c r="AJ245" s="91"/>
      <c r="AK245" s="91"/>
      <c r="AL245" s="91"/>
      <c r="AM245" s="91"/>
      <c r="AN245" s="642"/>
      <c r="AO245" s="641"/>
    </row>
    <row r="246" spans="1:41" ht="15" customHeight="1" x14ac:dyDescent="0.25">
      <c r="A246" s="358"/>
      <c r="B246" s="358"/>
      <c r="C246" s="91"/>
      <c r="D246" s="359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523">
        <f t="shared" si="6"/>
        <v>0</v>
      </c>
      <c r="P246" s="15"/>
      <c r="Q246" s="16"/>
      <c r="R246" s="17"/>
      <c r="S246" s="117"/>
      <c r="T246" s="18"/>
      <c r="U246" s="19"/>
      <c r="V246" s="41"/>
      <c r="W246" s="187"/>
      <c r="X246" s="76"/>
      <c r="Y246" s="118"/>
      <c r="Z246" s="82"/>
      <c r="AA246" s="358"/>
      <c r="AB246" s="358"/>
      <c r="AC246" s="91"/>
      <c r="AD246" s="91"/>
      <c r="AE246" s="91"/>
      <c r="AF246" s="91"/>
      <c r="AG246" s="91"/>
      <c r="AH246" s="91"/>
      <c r="AI246" s="729"/>
      <c r="AJ246" s="91"/>
      <c r="AK246" s="91"/>
      <c r="AL246" s="91"/>
      <c r="AM246" s="91"/>
      <c r="AN246" s="642"/>
      <c r="AO246" s="641"/>
    </row>
    <row r="247" spans="1:41" ht="15" customHeight="1" x14ac:dyDescent="0.25">
      <c r="A247" s="358"/>
      <c r="B247" s="358"/>
      <c r="C247" s="91"/>
      <c r="D247" s="359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523">
        <f t="shared" si="6"/>
        <v>0</v>
      </c>
      <c r="P247" s="15"/>
      <c r="Q247" s="16"/>
      <c r="R247" s="17"/>
      <c r="S247" s="117"/>
      <c r="T247" s="18"/>
      <c r="U247" s="19"/>
      <c r="V247" s="41"/>
      <c r="W247" s="187"/>
      <c r="X247" s="76"/>
      <c r="Y247" s="118"/>
      <c r="Z247" s="82"/>
      <c r="AA247" s="358"/>
      <c r="AB247" s="358"/>
      <c r="AC247" s="91"/>
      <c r="AD247" s="91"/>
      <c r="AE247" s="91"/>
      <c r="AF247" s="91"/>
      <c r="AG247" s="91"/>
      <c r="AH247" s="91"/>
      <c r="AI247" s="729"/>
      <c r="AJ247" s="91"/>
      <c r="AK247" s="91"/>
      <c r="AL247" s="91"/>
      <c r="AM247" s="91"/>
      <c r="AN247" s="642"/>
      <c r="AO247" s="641"/>
    </row>
    <row r="248" spans="1:41" ht="15" customHeight="1" x14ac:dyDescent="0.25">
      <c r="A248" s="358"/>
      <c r="B248" s="358"/>
      <c r="C248" s="91"/>
      <c r="D248" s="359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523">
        <f t="shared" si="6"/>
        <v>0</v>
      </c>
      <c r="P248" s="15"/>
      <c r="Q248" s="16"/>
      <c r="R248" s="17"/>
      <c r="S248" s="117"/>
      <c r="T248" s="18"/>
      <c r="U248" s="19"/>
      <c r="V248" s="41"/>
      <c r="W248" s="187"/>
      <c r="X248" s="76"/>
      <c r="Y248" s="118"/>
      <c r="Z248" s="82"/>
      <c r="AA248" s="358"/>
      <c r="AB248" s="358"/>
      <c r="AC248" s="91"/>
      <c r="AD248" s="91"/>
      <c r="AE248" s="91"/>
      <c r="AF248" s="91"/>
      <c r="AG248" s="91"/>
      <c r="AH248" s="91"/>
      <c r="AI248" s="729"/>
      <c r="AJ248" s="91"/>
      <c r="AK248" s="91"/>
      <c r="AL248" s="91"/>
      <c r="AM248" s="91"/>
      <c r="AN248" s="642"/>
      <c r="AO248" s="641"/>
    </row>
    <row r="249" spans="1:41" ht="15" customHeight="1" x14ac:dyDescent="0.25">
      <c r="A249" s="358"/>
      <c r="B249" s="358"/>
      <c r="C249" s="91"/>
      <c r="D249" s="359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523">
        <f t="shared" si="6"/>
        <v>0</v>
      </c>
      <c r="P249" s="15"/>
      <c r="Q249" s="16"/>
      <c r="R249" s="17"/>
      <c r="S249" s="117"/>
      <c r="T249" s="18"/>
      <c r="U249" s="19"/>
      <c r="V249" s="41"/>
      <c r="W249" s="187"/>
      <c r="X249" s="76"/>
      <c r="Y249" s="118"/>
      <c r="Z249" s="82"/>
      <c r="AA249" s="358"/>
      <c r="AB249" s="358"/>
      <c r="AC249" s="91"/>
      <c r="AD249" s="91"/>
      <c r="AE249" s="91"/>
      <c r="AF249" s="91"/>
      <c r="AG249" s="91"/>
      <c r="AH249" s="91"/>
      <c r="AI249" s="729"/>
      <c r="AJ249" s="91"/>
      <c r="AK249" s="91"/>
      <c r="AL249" s="91"/>
      <c r="AM249" s="91"/>
      <c r="AN249" s="642"/>
      <c r="AO249" s="641"/>
    </row>
    <row r="250" spans="1:41" ht="15" customHeight="1" x14ac:dyDescent="0.25">
      <c r="A250" s="358"/>
      <c r="B250" s="358"/>
      <c r="C250" s="91"/>
      <c r="D250" s="359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523">
        <f t="shared" si="6"/>
        <v>0</v>
      </c>
      <c r="P250" s="15"/>
      <c r="Q250" s="16"/>
      <c r="R250" s="17"/>
      <c r="S250" s="117"/>
      <c r="T250" s="18"/>
      <c r="U250" s="19"/>
      <c r="V250" s="41"/>
      <c r="W250" s="187"/>
      <c r="X250" s="76"/>
      <c r="Y250" s="118"/>
      <c r="Z250" s="82"/>
      <c r="AA250" s="358"/>
      <c r="AB250" s="358"/>
      <c r="AC250" s="91"/>
      <c r="AD250" s="91"/>
      <c r="AE250" s="91"/>
      <c r="AF250" s="91"/>
      <c r="AG250" s="91"/>
      <c r="AH250" s="91"/>
      <c r="AI250" s="729"/>
      <c r="AJ250" s="91"/>
      <c r="AK250" s="91"/>
      <c r="AL250" s="91"/>
      <c r="AM250" s="91"/>
      <c r="AN250" s="642"/>
      <c r="AO250" s="641"/>
    </row>
    <row r="251" spans="1:41" ht="15" customHeight="1" x14ac:dyDescent="0.25">
      <c r="A251" s="358"/>
      <c r="B251" s="358"/>
      <c r="C251" s="91"/>
      <c r="D251" s="359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523">
        <f t="shared" si="6"/>
        <v>0</v>
      </c>
      <c r="P251" s="15"/>
      <c r="Q251" s="16"/>
      <c r="R251" s="17"/>
      <c r="S251" s="117"/>
      <c r="T251" s="18"/>
      <c r="U251" s="19"/>
      <c r="V251" s="41"/>
      <c r="W251" s="187"/>
      <c r="X251" s="76"/>
      <c r="Y251" s="118"/>
      <c r="Z251" s="82"/>
      <c r="AA251" s="358"/>
      <c r="AB251" s="358"/>
      <c r="AC251" s="91"/>
      <c r="AD251" s="91"/>
      <c r="AE251" s="91"/>
      <c r="AF251" s="91"/>
      <c r="AG251" s="91"/>
      <c r="AH251" s="91"/>
      <c r="AI251" s="729"/>
      <c r="AJ251" s="91"/>
      <c r="AK251" s="91"/>
      <c r="AL251" s="91"/>
      <c r="AM251" s="91"/>
      <c r="AN251" s="642"/>
      <c r="AO251" s="641"/>
    </row>
    <row r="252" spans="1:41" ht="15" customHeight="1" x14ac:dyDescent="0.25">
      <c r="A252" s="358"/>
      <c r="B252" s="358"/>
      <c r="C252" s="91"/>
      <c r="D252" s="359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523">
        <f t="shared" si="6"/>
        <v>0</v>
      </c>
      <c r="P252" s="15"/>
      <c r="Q252" s="16"/>
      <c r="R252" s="17"/>
      <c r="S252" s="117"/>
      <c r="T252" s="18"/>
      <c r="U252" s="19"/>
      <c r="V252" s="41"/>
      <c r="W252" s="187"/>
      <c r="X252" s="76"/>
      <c r="Y252" s="118"/>
      <c r="Z252" s="82"/>
      <c r="AA252" s="358"/>
      <c r="AB252" s="358"/>
      <c r="AC252" s="91"/>
      <c r="AD252" s="91"/>
      <c r="AE252" s="91"/>
      <c r="AF252" s="91"/>
      <c r="AG252" s="91"/>
      <c r="AH252" s="91"/>
      <c r="AI252" s="729"/>
      <c r="AJ252" s="91"/>
      <c r="AK252" s="91"/>
      <c r="AL252" s="91"/>
      <c r="AM252" s="91"/>
      <c r="AN252" s="642"/>
      <c r="AO252" s="641"/>
    </row>
    <row r="253" spans="1:41" ht="15" customHeight="1" x14ac:dyDescent="0.25">
      <c r="A253" s="358"/>
      <c r="B253" s="358"/>
      <c r="C253" s="91"/>
      <c r="D253" s="359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523">
        <f t="shared" si="6"/>
        <v>0</v>
      </c>
      <c r="P253" s="15"/>
      <c r="Q253" s="16"/>
      <c r="R253" s="17"/>
      <c r="S253" s="117"/>
      <c r="T253" s="18"/>
      <c r="U253" s="19"/>
      <c r="V253" s="41"/>
      <c r="W253" s="187"/>
      <c r="X253" s="76"/>
      <c r="Y253" s="118"/>
      <c r="Z253" s="82"/>
      <c r="AA253" s="358"/>
      <c r="AB253" s="358"/>
      <c r="AC253" s="91"/>
      <c r="AD253" s="91"/>
      <c r="AE253" s="91"/>
      <c r="AF253" s="91"/>
      <c r="AG253" s="91"/>
      <c r="AH253" s="91"/>
      <c r="AI253" s="729"/>
      <c r="AJ253" s="91"/>
      <c r="AK253" s="91"/>
      <c r="AL253" s="91"/>
      <c r="AM253" s="91"/>
      <c r="AN253" s="642"/>
      <c r="AO253" s="641"/>
    </row>
    <row r="254" spans="1:41" ht="15" customHeight="1" x14ac:dyDescent="0.25">
      <c r="A254" s="358"/>
      <c r="B254" s="358"/>
      <c r="C254" s="91"/>
      <c r="D254" s="359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523">
        <f t="shared" si="6"/>
        <v>0</v>
      </c>
      <c r="P254" s="15"/>
      <c r="Q254" s="16"/>
      <c r="R254" s="17"/>
      <c r="S254" s="117"/>
      <c r="T254" s="18"/>
      <c r="U254" s="19"/>
      <c r="V254" s="41"/>
      <c r="W254" s="187"/>
      <c r="X254" s="76"/>
      <c r="Y254" s="118"/>
      <c r="Z254" s="82"/>
      <c r="AA254" s="358"/>
      <c r="AB254" s="358"/>
      <c r="AC254" s="91"/>
      <c r="AD254" s="91"/>
      <c r="AE254" s="91"/>
      <c r="AF254" s="91"/>
      <c r="AG254" s="91"/>
      <c r="AH254" s="91"/>
      <c r="AI254" s="729"/>
      <c r="AJ254" s="91"/>
      <c r="AK254" s="91"/>
      <c r="AL254" s="91"/>
      <c r="AM254" s="91"/>
      <c r="AN254" s="642"/>
      <c r="AO254" s="641"/>
    </row>
    <row r="255" spans="1:41" ht="15" customHeight="1" x14ac:dyDescent="0.25">
      <c r="A255" s="358"/>
      <c r="B255" s="358"/>
      <c r="C255" s="91"/>
      <c r="D255" s="359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523">
        <f t="shared" si="6"/>
        <v>0</v>
      </c>
      <c r="P255" s="15"/>
      <c r="Q255" s="16"/>
      <c r="R255" s="17"/>
      <c r="S255" s="117"/>
      <c r="T255" s="18"/>
      <c r="U255" s="19"/>
      <c r="V255" s="41"/>
      <c r="W255" s="187"/>
      <c r="X255" s="76"/>
      <c r="Y255" s="118"/>
      <c r="Z255" s="82"/>
      <c r="AA255" s="358"/>
      <c r="AB255" s="358"/>
      <c r="AC255" s="91"/>
      <c r="AD255" s="91"/>
      <c r="AE255" s="91"/>
      <c r="AF255" s="91"/>
      <c r="AG255" s="91"/>
      <c r="AH255" s="91"/>
      <c r="AI255" s="729"/>
      <c r="AJ255" s="91"/>
      <c r="AK255" s="91"/>
      <c r="AL255" s="91"/>
      <c r="AM255" s="91"/>
      <c r="AN255" s="642"/>
      <c r="AO255" s="641"/>
    </row>
    <row r="256" spans="1:41" ht="15" customHeight="1" x14ac:dyDescent="0.25">
      <c r="A256" s="358"/>
      <c r="B256" s="358"/>
      <c r="C256" s="91"/>
      <c r="D256" s="359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523">
        <f t="shared" si="6"/>
        <v>0</v>
      </c>
      <c r="P256" s="15"/>
      <c r="Q256" s="16"/>
      <c r="R256" s="17"/>
      <c r="S256" s="117"/>
      <c r="T256" s="18"/>
      <c r="U256" s="19"/>
      <c r="V256" s="41"/>
      <c r="W256" s="187"/>
      <c r="X256" s="76"/>
      <c r="Y256" s="118"/>
      <c r="Z256" s="82"/>
      <c r="AA256" s="358"/>
      <c r="AB256" s="358"/>
      <c r="AC256" s="91"/>
      <c r="AD256" s="91"/>
      <c r="AE256" s="91"/>
      <c r="AF256" s="91"/>
      <c r="AG256" s="91"/>
      <c r="AH256" s="91"/>
      <c r="AI256" s="729"/>
      <c r="AJ256" s="91"/>
      <c r="AK256" s="91"/>
      <c r="AL256" s="91"/>
      <c r="AM256" s="91"/>
      <c r="AN256" s="642"/>
      <c r="AO256" s="641"/>
    </row>
    <row r="257" spans="1:41" ht="15" customHeight="1" x14ac:dyDescent="0.25">
      <c r="A257" s="358"/>
      <c r="B257" s="358"/>
      <c r="C257" s="91"/>
      <c r="D257" s="359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523">
        <f t="shared" si="6"/>
        <v>0</v>
      </c>
      <c r="P257" s="15"/>
      <c r="Q257" s="16"/>
      <c r="R257" s="17"/>
      <c r="S257" s="117"/>
      <c r="T257" s="18"/>
      <c r="U257" s="19"/>
      <c r="V257" s="41"/>
      <c r="W257" s="187"/>
      <c r="X257" s="76"/>
      <c r="Y257" s="118"/>
      <c r="Z257" s="82"/>
      <c r="AA257" s="358"/>
      <c r="AB257" s="358"/>
      <c r="AC257" s="91"/>
      <c r="AD257" s="91"/>
      <c r="AE257" s="91"/>
      <c r="AF257" s="91"/>
      <c r="AG257" s="91"/>
      <c r="AH257" s="91"/>
      <c r="AI257" s="729"/>
      <c r="AJ257" s="91"/>
      <c r="AK257" s="91"/>
      <c r="AL257" s="91"/>
      <c r="AM257" s="91"/>
      <c r="AN257" s="642"/>
      <c r="AO257" s="641"/>
    </row>
    <row r="258" spans="1:41" ht="15" customHeight="1" x14ac:dyDescent="0.25">
      <c r="A258" s="358"/>
      <c r="B258" s="358"/>
      <c r="C258" s="91"/>
      <c r="D258" s="359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523">
        <f t="shared" si="6"/>
        <v>0</v>
      </c>
      <c r="P258" s="15"/>
      <c r="Q258" s="16"/>
      <c r="R258" s="17"/>
      <c r="S258" s="117"/>
      <c r="T258" s="18"/>
      <c r="U258" s="19"/>
      <c r="V258" s="41"/>
      <c r="W258" s="187"/>
      <c r="X258" s="76"/>
      <c r="Y258" s="118"/>
      <c r="Z258" s="82"/>
      <c r="AA258" s="358"/>
      <c r="AB258" s="358"/>
      <c r="AC258" s="91"/>
      <c r="AD258" s="91"/>
      <c r="AE258" s="91"/>
      <c r="AF258" s="91"/>
      <c r="AG258" s="91"/>
      <c r="AH258" s="91"/>
      <c r="AI258" s="729"/>
      <c r="AJ258" s="91"/>
      <c r="AK258" s="91"/>
      <c r="AL258" s="91"/>
      <c r="AM258" s="91"/>
      <c r="AN258" s="642"/>
      <c r="AO258" s="641"/>
    </row>
    <row r="259" spans="1:41" ht="15" customHeight="1" x14ac:dyDescent="0.25">
      <c r="A259" s="358"/>
      <c r="B259" s="358"/>
      <c r="C259" s="91"/>
      <c r="D259" s="359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523">
        <f t="shared" si="6"/>
        <v>0</v>
      </c>
      <c r="P259" s="15"/>
      <c r="Q259" s="16"/>
      <c r="R259" s="17"/>
      <c r="S259" s="117"/>
      <c r="T259" s="18"/>
      <c r="U259" s="19"/>
      <c r="V259" s="41"/>
      <c r="W259" s="187"/>
      <c r="X259" s="76"/>
      <c r="Y259" s="118"/>
      <c r="Z259" s="82"/>
      <c r="AA259" s="358"/>
      <c r="AB259" s="358"/>
      <c r="AC259" s="91"/>
      <c r="AD259" s="91"/>
      <c r="AE259" s="91"/>
      <c r="AF259" s="91"/>
      <c r="AG259" s="91"/>
      <c r="AH259" s="91"/>
      <c r="AI259" s="729"/>
      <c r="AJ259" s="91"/>
      <c r="AK259" s="91"/>
      <c r="AL259" s="91"/>
      <c r="AM259" s="91"/>
      <c r="AN259" s="642"/>
      <c r="AO259" s="641"/>
    </row>
    <row r="260" spans="1:41" ht="15" customHeight="1" x14ac:dyDescent="0.25">
      <c r="A260" s="358"/>
      <c r="B260" s="358"/>
      <c r="C260" s="91"/>
      <c r="D260" s="359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523">
        <f t="shared" si="6"/>
        <v>0</v>
      </c>
      <c r="P260" s="15"/>
      <c r="Q260" s="16"/>
      <c r="R260" s="17"/>
      <c r="S260" s="117"/>
      <c r="T260" s="18"/>
      <c r="U260" s="19"/>
      <c r="V260" s="41"/>
      <c r="W260" s="187"/>
      <c r="X260" s="76"/>
      <c r="Y260" s="118"/>
      <c r="Z260" s="82"/>
      <c r="AA260" s="358"/>
      <c r="AB260" s="358"/>
      <c r="AC260" s="91"/>
      <c r="AD260" s="91"/>
      <c r="AE260" s="91"/>
      <c r="AF260" s="91"/>
      <c r="AG260" s="91"/>
      <c r="AH260" s="91"/>
      <c r="AI260" s="729"/>
      <c r="AJ260" s="91"/>
      <c r="AK260" s="91"/>
      <c r="AL260" s="91"/>
      <c r="AM260" s="91"/>
      <c r="AN260" s="642"/>
      <c r="AO260" s="641"/>
    </row>
    <row r="261" spans="1:41" ht="15" customHeight="1" x14ac:dyDescent="0.25">
      <c r="A261" s="358"/>
      <c r="B261" s="358"/>
      <c r="C261" s="91"/>
      <c r="D261" s="359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523">
        <f t="shared" si="6"/>
        <v>0</v>
      </c>
      <c r="P261" s="15"/>
      <c r="Q261" s="16"/>
      <c r="R261" s="17"/>
      <c r="S261" s="117"/>
      <c r="T261" s="18"/>
      <c r="U261" s="19"/>
      <c r="V261" s="41"/>
      <c r="W261" s="187"/>
      <c r="X261" s="76"/>
      <c r="Y261" s="118"/>
      <c r="Z261" s="82"/>
      <c r="AA261" s="358"/>
      <c r="AB261" s="358"/>
      <c r="AC261" s="91"/>
      <c r="AD261" s="91"/>
      <c r="AE261" s="91"/>
      <c r="AF261" s="91"/>
      <c r="AG261" s="91"/>
      <c r="AH261" s="91"/>
      <c r="AI261" s="729"/>
      <c r="AJ261" s="91"/>
      <c r="AK261" s="91"/>
      <c r="AL261" s="91"/>
      <c r="AM261" s="91"/>
      <c r="AN261" s="642"/>
      <c r="AO261" s="641"/>
    </row>
    <row r="262" spans="1:41" ht="15" customHeight="1" x14ac:dyDescent="0.25">
      <c r="A262" s="358"/>
      <c r="B262" s="358"/>
      <c r="C262" s="91"/>
      <c r="D262" s="359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523">
        <f t="shared" si="6"/>
        <v>0</v>
      </c>
      <c r="P262" s="15"/>
      <c r="Q262" s="16"/>
      <c r="R262" s="17"/>
      <c r="S262" s="117"/>
      <c r="T262" s="18"/>
      <c r="U262" s="19"/>
      <c r="V262" s="41"/>
      <c r="W262" s="187"/>
      <c r="X262" s="76"/>
      <c r="Y262" s="118"/>
      <c r="Z262" s="82"/>
      <c r="AA262" s="358"/>
      <c r="AB262" s="358"/>
      <c r="AC262" s="91"/>
      <c r="AD262" s="91"/>
      <c r="AE262" s="91"/>
      <c r="AF262" s="91"/>
      <c r="AG262" s="91"/>
      <c r="AH262" s="91"/>
      <c r="AI262" s="729"/>
      <c r="AJ262" s="91"/>
      <c r="AK262" s="91"/>
      <c r="AL262" s="91"/>
      <c r="AM262" s="91"/>
      <c r="AN262" s="642"/>
      <c r="AO262" s="641"/>
    </row>
    <row r="263" spans="1:41" ht="15" customHeight="1" x14ac:dyDescent="0.25">
      <c r="A263" s="358"/>
      <c r="B263" s="358"/>
      <c r="C263" s="91"/>
      <c r="D263" s="359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523">
        <f t="shared" si="6"/>
        <v>0</v>
      </c>
      <c r="P263" s="15"/>
      <c r="Q263" s="16"/>
      <c r="R263" s="17"/>
      <c r="S263" s="117"/>
      <c r="T263" s="18"/>
      <c r="U263" s="19"/>
      <c r="V263" s="41"/>
      <c r="W263" s="187"/>
      <c r="X263" s="76"/>
      <c r="Y263" s="118"/>
      <c r="Z263" s="82"/>
      <c r="AA263" s="358"/>
      <c r="AB263" s="358"/>
      <c r="AC263" s="91"/>
      <c r="AD263" s="91"/>
      <c r="AE263" s="91"/>
      <c r="AF263" s="91"/>
      <c r="AG263" s="91"/>
      <c r="AH263" s="91"/>
      <c r="AI263" s="729"/>
      <c r="AJ263" s="91"/>
      <c r="AK263" s="91"/>
      <c r="AL263" s="91"/>
      <c r="AM263" s="91"/>
      <c r="AN263" s="642"/>
      <c r="AO263" s="641"/>
    </row>
    <row r="264" spans="1:41" ht="15" customHeight="1" x14ac:dyDescent="0.25">
      <c r="A264" s="358"/>
      <c r="B264" s="358"/>
      <c r="C264" s="91"/>
      <c r="D264" s="359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523">
        <f t="shared" si="6"/>
        <v>0</v>
      </c>
      <c r="P264" s="15"/>
      <c r="Q264" s="16"/>
      <c r="R264" s="17"/>
      <c r="S264" s="117"/>
      <c r="T264" s="18"/>
      <c r="U264" s="19"/>
      <c r="V264" s="41"/>
      <c r="W264" s="187"/>
      <c r="X264" s="76"/>
      <c r="Y264" s="118"/>
      <c r="Z264" s="82"/>
      <c r="AA264" s="358"/>
      <c r="AB264" s="358"/>
      <c r="AC264" s="91"/>
      <c r="AD264" s="91"/>
      <c r="AE264" s="91"/>
      <c r="AF264" s="91"/>
      <c r="AG264" s="91"/>
      <c r="AH264" s="91"/>
      <c r="AI264" s="729"/>
      <c r="AJ264" s="91"/>
      <c r="AK264" s="91"/>
      <c r="AL264" s="91"/>
      <c r="AM264" s="91"/>
      <c r="AN264" s="642"/>
      <c r="AO264" s="641"/>
    </row>
    <row r="265" spans="1:41" ht="15" customHeight="1" x14ac:dyDescent="0.25">
      <c r="A265" s="358"/>
      <c r="B265" s="358"/>
      <c r="C265" s="91"/>
      <c r="D265" s="359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523">
        <f t="shared" si="6"/>
        <v>0</v>
      </c>
      <c r="P265" s="15"/>
      <c r="Q265" s="16"/>
      <c r="R265" s="17"/>
      <c r="S265" s="117"/>
      <c r="T265" s="18"/>
      <c r="U265" s="19"/>
      <c r="V265" s="41"/>
      <c r="W265" s="187"/>
      <c r="X265" s="76"/>
      <c r="Y265" s="118"/>
      <c r="Z265" s="82"/>
      <c r="AA265" s="358"/>
      <c r="AB265" s="358"/>
      <c r="AC265" s="91"/>
      <c r="AD265" s="91"/>
      <c r="AE265" s="91"/>
      <c r="AF265" s="91"/>
      <c r="AG265" s="91"/>
      <c r="AH265" s="91"/>
      <c r="AI265" s="729"/>
      <c r="AJ265" s="91"/>
      <c r="AK265" s="91"/>
      <c r="AL265" s="91"/>
      <c r="AM265" s="91"/>
      <c r="AN265" s="642"/>
      <c r="AO265" s="641"/>
    </row>
    <row r="266" spans="1:41" ht="15" customHeight="1" x14ac:dyDescent="0.25">
      <c r="A266" s="358"/>
      <c r="B266" s="358"/>
      <c r="C266" s="91"/>
      <c r="D266" s="359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523">
        <f t="shared" si="6"/>
        <v>0</v>
      </c>
      <c r="P266" s="15"/>
      <c r="Q266" s="16"/>
      <c r="R266" s="17"/>
      <c r="S266" s="117"/>
      <c r="T266" s="18"/>
      <c r="U266" s="19"/>
      <c r="V266" s="41"/>
      <c r="W266" s="187"/>
      <c r="X266" s="76"/>
      <c r="Y266" s="118"/>
      <c r="Z266" s="82"/>
      <c r="AA266" s="358"/>
      <c r="AB266" s="358"/>
      <c r="AC266" s="91"/>
      <c r="AD266" s="91"/>
      <c r="AE266" s="91"/>
      <c r="AF266" s="91"/>
      <c r="AG266" s="91"/>
      <c r="AH266" s="91"/>
      <c r="AI266" s="729"/>
      <c r="AJ266" s="91"/>
      <c r="AK266" s="91"/>
      <c r="AL266" s="91"/>
      <c r="AM266" s="91"/>
      <c r="AN266" s="642"/>
      <c r="AO266" s="641"/>
    </row>
    <row r="267" spans="1:41" ht="15" customHeight="1" x14ac:dyDescent="0.25">
      <c r="A267" s="358"/>
      <c r="B267" s="358"/>
      <c r="C267" s="91"/>
      <c r="D267" s="359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523">
        <f t="shared" si="6"/>
        <v>0</v>
      </c>
      <c r="P267" s="15"/>
      <c r="Q267" s="16"/>
      <c r="R267" s="17"/>
      <c r="S267" s="117"/>
      <c r="T267" s="18"/>
      <c r="U267" s="19"/>
      <c r="V267" s="41"/>
      <c r="W267" s="187"/>
      <c r="X267" s="76"/>
      <c r="Y267" s="118"/>
      <c r="Z267" s="82"/>
      <c r="AA267" s="358"/>
      <c r="AB267" s="358"/>
      <c r="AC267" s="91"/>
      <c r="AD267" s="91"/>
      <c r="AE267" s="91"/>
      <c r="AF267" s="91"/>
      <c r="AG267" s="91"/>
      <c r="AH267" s="91"/>
      <c r="AI267" s="729"/>
      <c r="AJ267" s="91"/>
      <c r="AK267" s="91"/>
      <c r="AL267" s="91"/>
      <c r="AM267" s="91"/>
      <c r="AN267" s="642"/>
      <c r="AO267" s="641"/>
    </row>
    <row r="268" spans="1:41" ht="15" customHeight="1" x14ac:dyDescent="0.25">
      <c r="A268" s="358"/>
      <c r="B268" s="358"/>
      <c r="C268" s="91"/>
      <c r="D268" s="359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523">
        <f t="shared" si="6"/>
        <v>0</v>
      </c>
      <c r="P268" s="15"/>
      <c r="Q268" s="16"/>
      <c r="R268" s="17"/>
      <c r="S268" s="117"/>
      <c r="T268" s="18"/>
      <c r="U268" s="19"/>
      <c r="V268" s="41"/>
      <c r="W268" s="187"/>
      <c r="X268" s="76"/>
      <c r="Y268" s="118"/>
      <c r="Z268" s="82"/>
      <c r="AA268" s="358"/>
      <c r="AB268" s="358"/>
      <c r="AC268" s="91"/>
      <c r="AD268" s="91"/>
      <c r="AE268" s="91"/>
      <c r="AF268" s="91"/>
      <c r="AG268" s="91"/>
      <c r="AH268" s="91"/>
      <c r="AI268" s="729"/>
      <c r="AJ268" s="91"/>
      <c r="AK268" s="91"/>
      <c r="AL268" s="91"/>
      <c r="AM268" s="91"/>
      <c r="AN268" s="642"/>
      <c r="AO268" s="641"/>
    </row>
    <row r="269" spans="1:41" ht="15" customHeight="1" x14ac:dyDescent="0.25">
      <c r="A269" s="358"/>
      <c r="B269" s="358"/>
      <c r="C269" s="91"/>
      <c r="D269" s="359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523">
        <f t="shared" si="6"/>
        <v>0</v>
      </c>
      <c r="P269" s="15"/>
      <c r="Q269" s="16"/>
      <c r="R269" s="17"/>
      <c r="S269" s="14"/>
      <c r="T269" s="18"/>
      <c r="U269" s="19"/>
      <c r="V269" s="41"/>
      <c r="W269" s="187"/>
      <c r="X269" s="76"/>
      <c r="Y269" s="20"/>
      <c r="Z269" s="82"/>
      <c r="AA269" s="358"/>
      <c r="AB269" s="358"/>
      <c r="AC269" s="91"/>
      <c r="AD269" s="91"/>
      <c r="AE269" s="91"/>
      <c r="AF269" s="91"/>
      <c r="AG269" s="91"/>
      <c r="AH269" s="91"/>
      <c r="AI269" s="729"/>
      <c r="AJ269" s="91"/>
      <c r="AK269" s="91"/>
      <c r="AL269" s="91"/>
      <c r="AM269" s="91"/>
      <c r="AN269" s="642"/>
      <c r="AO269" s="641"/>
    </row>
    <row r="270" spans="1:41" ht="15" customHeight="1" x14ac:dyDescent="0.25">
      <c r="A270" s="452" t="s">
        <v>6</v>
      </c>
      <c r="B270" s="452"/>
      <c r="C270" s="452"/>
      <c r="F270" s="363" t="s">
        <v>6</v>
      </c>
      <c r="I270" s="363" t="s">
        <v>6</v>
      </c>
    </row>
    <row r="271" spans="1:41" ht="15" customHeight="1" x14ac:dyDescent="0.25">
      <c r="A271" s="452"/>
      <c r="B271" s="452"/>
      <c r="C271" s="452"/>
    </row>
    <row r="272" spans="1:41" ht="15" customHeight="1" x14ac:dyDescent="0.25">
      <c r="A272" s="452"/>
      <c r="B272" s="452"/>
      <c r="C272" s="452"/>
    </row>
    <row r="273" spans="1:3" ht="15" customHeight="1" x14ac:dyDescent="0.25">
      <c r="A273" s="452"/>
      <c r="B273" s="452"/>
      <c r="C273" s="452"/>
    </row>
    <row r="274" spans="1:3" ht="15" customHeight="1" x14ac:dyDescent="0.25">
      <c r="A274" s="452"/>
      <c r="B274" s="452"/>
      <c r="C274" s="452"/>
    </row>
    <row r="275" spans="1:3" ht="15" customHeight="1" x14ac:dyDescent="0.25">
      <c r="A275" s="452"/>
      <c r="B275" s="452"/>
      <c r="C275" s="452"/>
    </row>
    <row r="276" spans="1:3" ht="15" customHeight="1" x14ac:dyDescent="0.25">
      <c r="A276" s="452"/>
      <c r="B276" s="452"/>
      <c r="C276" s="452"/>
    </row>
    <row r="277" spans="1:3" ht="15" customHeight="1" x14ac:dyDescent="0.25">
      <c r="A277" s="452"/>
      <c r="B277" s="452"/>
      <c r="C277" s="452"/>
    </row>
    <row r="278" spans="1:3" ht="15" customHeight="1" x14ac:dyDescent="0.25">
      <c r="A278" s="452"/>
      <c r="B278" s="452"/>
      <c r="C278" s="452"/>
    </row>
    <row r="279" spans="1:3" ht="15" customHeight="1" x14ac:dyDescent="0.25">
      <c r="A279" s="452"/>
      <c r="B279" s="452"/>
      <c r="C279" s="452"/>
    </row>
    <row r="280" spans="1:3" ht="15" customHeight="1" x14ac:dyDescent="0.25">
      <c r="A280" s="452"/>
      <c r="B280" s="452"/>
      <c r="C280" s="452"/>
    </row>
    <row r="281" spans="1:3" ht="15" customHeight="1" x14ac:dyDescent="0.25">
      <c r="A281" s="452"/>
      <c r="B281" s="452"/>
      <c r="C281" s="452"/>
    </row>
    <row r="282" spans="1:3" ht="15" customHeight="1" x14ac:dyDescent="0.25">
      <c r="A282" s="452"/>
      <c r="B282" s="452"/>
      <c r="C282" s="452"/>
    </row>
    <row r="283" spans="1:3" ht="15" customHeight="1" x14ac:dyDescent="0.25">
      <c r="A283" s="452"/>
      <c r="B283" s="452"/>
      <c r="C283" s="452"/>
    </row>
    <row r="284" spans="1:3" ht="15" customHeight="1" x14ac:dyDescent="0.25">
      <c r="A284" s="452"/>
      <c r="B284" s="452"/>
      <c r="C284" s="452"/>
    </row>
    <row r="285" spans="1:3" ht="15" customHeight="1" x14ac:dyDescent="0.25">
      <c r="A285" s="452"/>
      <c r="B285" s="452"/>
      <c r="C285" s="452"/>
    </row>
    <row r="286" spans="1:3" ht="15" customHeight="1" x14ac:dyDescent="0.25">
      <c r="A286" s="452"/>
      <c r="B286" s="452"/>
      <c r="C286" s="452"/>
    </row>
    <row r="287" spans="1:3" ht="15" customHeight="1" x14ac:dyDescent="0.25">
      <c r="A287" s="452"/>
      <c r="B287" s="452"/>
      <c r="C287" s="452"/>
    </row>
    <row r="288" spans="1:3" ht="15" customHeight="1" x14ac:dyDescent="0.25">
      <c r="A288" s="452"/>
      <c r="B288" s="452"/>
      <c r="C288" s="452"/>
    </row>
    <row r="289" spans="1:3" ht="15" customHeight="1" x14ac:dyDescent="0.25">
      <c r="A289" s="452"/>
      <c r="B289" s="452"/>
      <c r="C289" s="452"/>
    </row>
    <row r="290" spans="1:3" ht="15" customHeight="1" x14ac:dyDescent="0.25">
      <c r="A290" s="452"/>
      <c r="B290" s="452"/>
      <c r="C290" s="452"/>
    </row>
    <row r="291" spans="1:3" ht="15" customHeight="1" x14ac:dyDescent="0.25">
      <c r="A291" s="452"/>
      <c r="B291" s="452"/>
      <c r="C291" s="452"/>
    </row>
    <row r="292" spans="1:3" ht="15" customHeight="1" x14ac:dyDescent="0.25">
      <c r="A292" s="452"/>
      <c r="B292" s="452"/>
      <c r="C292" s="452"/>
    </row>
    <row r="293" spans="1:3" ht="15" customHeight="1" x14ac:dyDescent="0.25">
      <c r="A293" s="452"/>
      <c r="B293" s="452"/>
      <c r="C293" s="452"/>
    </row>
    <row r="294" spans="1:3" ht="15" customHeight="1" x14ac:dyDescent="0.25">
      <c r="A294" s="452"/>
      <c r="B294" s="452"/>
      <c r="C294" s="452"/>
    </row>
    <row r="295" spans="1:3" ht="15" customHeight="1" x14ac:dyDescent="0.25">
      <c r="A295" s="452"/>
      <c r="B295" s="452"/>
      <c r="C295" s="452"/>
    </row>
    <row r="296" spans="1:3" ht="15" customHeight="1" x14ac:dyDescent="0.25">
      <c r="A296" s="452"/>
      <c r="B296" s="452"/>
      <c r="C296" s="452"/>
    </row>
    <row r="297" spans="1:3" ht="15" customHeight="1" x14ac:dyDescent="0.25">
      <c r="A297" s="452"/>
      <c r="B297" s="452"/>
      <c r="C297" s="452"/>
    </row>
    <row r="298" spans="1:3" ht="15" customHeight="1" x14ac:dyDescent="0.25">
      <c r="A298" s="452"/>
      <c r="B298" s="452"/>
      <c r="C298" s="452"/>
    </row>
    <row r="299" spans="1:3" ht="15" customHeight="1" x14ac:dyDescent="0.25">
      <c r="A299" s="452"/>
      <c r="B299" s="452"/>
      <c r="C299" s="452"/>
    </row>
    <row r="300" spans="1:3" ht="15" customHeight="1" x14ac:dyDescent="0.25">
      <c r="A300" s="452"/>
      <c r="B300" s="452"/>
      <c r="C300" s="452"/>
    </row>
    <row r="301" spans="1:3" ht="15" customHeight="1" x14ac:dyDescent="0.25">
      <c r="A301" s="452"/>
      <c r="B301" s="452"/>
      <c r="C301" s="452"/>
    </row>
    <row r="302" spans="1:3" ht="15" customHeight="1" x14ac:dyDescent="0.25">
      <c r="A302" s="452"/>
      <c r="B302" s="452"/>
      <c r="C302" s="452"/>
    </row>
    <row r="303" spans="1:3" ht="15" customHeight="1" x14ac:dyDescent="0.25">
      <c r="A303" s="452"/>
      <c r="B303" s="452"/>
      <c r="C303" s="452"/>
    </row>
    <row r="304" spans="1:3" ht="15" customHeight="1" x14ac:dyDescent="0.25">
      <c r="A304" s="452"/>
      <c r="B304" s="452"/>
      <c r="C304" s="452"/>
    </row>
    <row r="305" spans="1:3" ht="15" customHeight="1" x14ac:dyDescent="0.25">
      <c r="A305" s="452"/>
      <c r="B305" s="452"/>
      <c r="C305" s="452"/>
    </row>
    <row r="306" spans="1:3" ht="15" customHeight="1" x14ac:dyDescent="0.25">
      <c r="A306" s="452"/>
      <c r="B306" s="452"/>
      <c r="C306" s="452"/>
    </row>
    <row r="307" spans="1:3" ht="15" customHeight="1" x14ac:dyDescent="0.25">
      <c r="A307" s="452"/>
      <c r="B307" s="452"/>
      <c r="C307" s="452"/>
    </row>
    <row r="308" spans="1:3" ht="15" customHeight="1" x14ac:dyDescent="0.25">
      <c r="A308" s="452"/>
      <c r="B308" s="452"/>
      <c r="C308" s="452"/>
    </row>
    <row r="309" spans="1:3" ht="15" customHeight="1" x14ac:dyDescent="0.25">
      <c r="A309" s="452"/>
      <c r="B309" s="452"/>
      <c r="C309" s="452"/>
    </row>
    <row r="310" spans="1:3" ht="15" customHeight="1" x14ac:dyDescent="0.25">
      <c r="A310" s="452"/>
      <c r="B310" s="452"/>
      <c r="C310" s="452"/>
    </row>
    <row r="311" spans="1:3" ht="15" customHeight="1" x14ac:dyDescent="0.25">
      <c r="A311" s="452"/>
      <c r="B311" s="452"/>
      <c r="C311" s="452"/>
    </row>
    <row r="312" spans="1:3" ht="15" customHeight="1" x14ac:dyDescent="0.25">
      <c r="A312" s="452"/>
      <c r="B312" s="452"/>
      <c r="C312" s="452"/>
    </row>
    <row r="313" spans="1:3" ht="15" customHeight="1" x14ac:dyDescent="0.25">
      <c r="A313" s="452"/>
      <c r="B313" s="452"/>
      <c r="C313" s="452"/>
    </row>
    <row r="314" spans="1:3" ht="15" customHeight="1" x14ac:dyDescent="0.25">
      <c r="A314" s="452"/>
      <c r="B314" s="452"/>
      <c r="C314" s="452"/>
    </row>
    <row r="315" spans="1:3" ht="15" customHeight="1" x14ac:dyDescent="0.25">
      <c r="A315" s="452"/>
      <c r="B315" s="452"/>
      <c r="C315" s="452"/>
    </row>
    <row r="316" spans="1:3" ht="15" customHeight="1" x14ac:dyDescent="0.25">
      <c r="A316" s="452"/>
      <c r="B316" s="452"/>
      <c r="C316" s="452"/>
    </row>
    <row r="317" spans="1:3" ht="15" customHeight="1" x14ac:dyDescent="0.25">
      <c r="A317" s="452"/>
      <c r="B317" s="452"/>
      <c r="C317" s="452"/>
    </row>
    <row r="318" spans="1:3" ht="15" customHeight="1" x14ac:dyDescent="0.25">
      <c r="A318" s="452"/>
      <c r="B318" s="452"/>
      <c r="C318" s="452"/>
    </row>
    <row r="319" spans="1:3" ht="15" customHeight="1" x14ac:dyDescent="0.25">
      <c r="A319" s="452"/>
      <c r="B319" s="452"/>
      <c r="C319" s="452"/>
    </row>
    <row r="320" spans="1:3" ht="15" customHeight="1" x14ac:dyDescent="0.25">
      <c r="A320" s="452"/>
      <c r="B320" s="452"/>
      <c r="C320" s="452"/>
    </row>
    <row r="321" spans="1:3" ht="15" customHeight="1" x14ac:dyDescent="0.25">
      <c r="A321" s="452"/>
      <c r="B321" s="452"/>
      <c r="C321" s="452"/>
    </row>
    <row r="322" spans="1:3" ht="15" customHeight="1" x14ac:dyDescent="0.25">
      <c r="A322" s="452"/>
      <c r="B322" s="452"/>
      <c r="C322" s="452"/>
    </row>
    <row r="323" spans="1:3" ht="15" customHeight="1" x14ac:dyDescent="0.25">
      <c r="A323" s="452"/>
      <c r="B323" s="452"/>
      <c r="C323" s="452"/>
    </row>
    <row r="324" spans="1:3" ht="15" customHeight="1" x14ac:dyDescent="0.25">
      <c r="A324" s="452"/>
      <c r="B324" s="452"/>
      <c r="C324" s="452"/>
    </row>
    <row r="325" spans="1:3" ht="15" customHeight="1" x14ac:dyDescent="0.25">
      <c r="A325" s="452"/>
      <c r="B325" s="452"/>
      <c r="C325" s="452"/>
    </row>
    <row r="326" spans="1:3" ht="15" customHeight="1" x14ac:dyDescent="0.25">
      <c r="A326" s="452"/>
      <c r="B326" s="452"/>
      <c r="C326" s="452"/>
    </row>
    <row r="327" spans="1:3" ht="15" customHeight="1" x14ac:dyDescent="0.25">
      <c r="A327" s="452"/>
      <c r="B327" s="452"/>
      <c r="C327" s="452"/>
    </row>
    <row r="328" spans="1:3" ht="15" customHeight="1" x14ac:dyDescent="0.25">
      <c r="A328" s="452"/>
      <c r="B328" s="452"/>
      <c r="C328" s="452"/>
    </row>
    <row r="329" spans="1:3" ht="15" customHeight="1" x14ac:dyDescent="0.25">
      <c r="A329" s="452"/>
      <c r="B329" s="452"/>
      <c r="C329" s="452"/>
    </row>
    <row r="330" spans="1:3" ht="15" customHeight="1" x14ac:dyDescent="0.25">
      <c r="A330" s="452"/>
      <c r="B330" s="452"/>
      <c r="C330" s="452"/>
    </row>
    <row r="331" spans="1:3" ht="15" customHeight="1" x14ac:dyDescent="0.25">
      <c r="A331" s="452"/>
      <c r="B331" s="452"/>
      <c r="C331" s="452"/>
    </row>
    <row r="332" spans="1:3" ht="15" customHeight="1" x14ac:dyDescent="0.25">
      <c r="A332" s="452"/>
      <c r="B332" s="452"/>
      <c r="C332" s="452"/>
    </row>
    <row r="333" spans="1:3" ht="15" customHeight="1" x14ac:dyDescent="0.25">
      <c r="A333" s="452"/>
      <c r="B333" s="452"/>
      <c r="C333" s="452"/>
    </row>
    <row r="334" spans="1:3" ht="15" customHeight="1" x14ac:dyDescent="0.25">
      <c r="A334" s="452"/>
      <c r="B334" s="452"/>
      <c r="C334" s="452"/>
    </row>
    <row r="335" spans="1:3" ht="15" customHeight="1" x14ac:dyDescent="0.25">
      <c r="A335" s="452"/>
      <c r="B335" s="452"/>
      <c r="C335" s="452"/>
    </row>
    <row r="336" spans="1:3" ht="15" customHeight="1" x14ac:dyDescent="0.25">
      <c r="A336" s="452"/>
      <c r="B336" s="452"/>
      <c r="C336" s="452"/>
    </row>
    <row r="337" spans="1:3" ht="15" customHeight="1" x14ac:dyDescent="0.25">
      <c r="A337" s="452"/>
      <c r="B337" s="452"/>
      <c r="C337" s="452"/>
    </row>
    <row r="338" spans="1:3" ht="15" customHeight="1" x14ac:dyDescent="0.25">
      <c r="A338" s="452"/>
      <c r="B338" s="452"/>
      <c r="C338" s="452"/>
    </row>
    <row r="339" spans="1:3" ht="15" customHeight="1" x14ac:dyDescent="0.25">
      <c r="A339" s="452"/>
      <c r="B339" s="452"/>
      <c r="C339" s="452"/>
    </row>
    <row r="340" spans="1:3" ht="15" customHeight="1" x14ac:dyDescent="0.25">
      <c r="A340" s="452"/>
      <c r="B340" s="452"/>
      <c r="C340" s="452"/>
    </row>
    <row r="341" spans="1:3" ht="15" customHeight="1" x14ac:dyDescent="0.25">
      <c r="A341" s="452"/>
      <c r="B341" s="452"/>
      <c r="C341" s="452"/>
    </row>
    <row r="342" spans="1:3" ht="15" customHeight="1" x14ac:dyDescent="0.25">
      <c r="A342" s="452"/>
      <c r="B342" s="452"/>
      <c r="C342" s="452"/>
    </row>
    <row r="343" spans="1:3" ht="15" customHeight="1" x14ac:dyDescent="0.25">
      <c r="A343" s="452"/>
      <c r="B343" s="452"/>
      <c r="C343" s="452"/>
    </row>
    <row r="344" spans="1:3" ht="15" customHeight="1" x14ac:dyDescent="0.25">
      <c r="A344" s="452"/>
      <c r="B344" s="452"/>
      <c r="C344" s="452"/>
    </row>
    <row r="345" spans="1:3" ht="15" customHeight="1" x14ac:dyDescent="0.25">
      <c r="A345" s="452"/>
      <c r="B345" s="452"/>
      <c r="C345" s="452"/>
    </row>
    <row r="346" spans="1:3" ht="15" customHeight="1" x14ac:dyDescent="0.25">
      <c r="A346" s="452"/>
      <c r="B346" s="452"/>
      <c r="C346" s="452"/>
    </row>
    <row r="347" spans="1:3" ht="15" customHeight="1" x14ac:dyDescent="0.25">
      <c r="A347" s="452"/>
      <c r="B347" s="452"/>
      <c r="C347" s="452"/>
    </row>
    <row r="348" spans="1:3" ht="15" customHeight="1" x14ac:dyDescent="0.25">
      <c r="A348" s="452"/>
      <c r="B348" s="452"/>
      <c r="C348" s="452"/>
    </row>
    <row r="349" spans="1:3" ht="15" customHeight="1" x14ac:dyDescent="0.25">
      <c r="A349" s="452"/>
      <c r="B349" s="452"/>
      <c r="C349" s="452"/>
    </row>
    <row r="350" spans="1:3" ht="15" customHeight="1" x14ac:dyDescent="0.25">
      <c r="A350" s="452"/>
      <c r="B350" s="452"/>
      <c r="C350" s="452"/>
    </row>
    <row r="351" spans="1:3" ht="15" customHeight="1" x14ac:dyDescent="0.25">
      <c r="A351" s="452"/>
      <c r="B351" s="452"/>
      <c r="C351" s="452"/>
    </row>
    <row r="352" spans="1:3" ht="15" customHeight="1" x14ac:dyDescent="0.25">
      <c r="A352" s="452"/>
      <c r="B352" s="452"/>
      <c r="C352" s="452"/>
    </row>
    <row r="353" spans="1:3" ht="15" customHeight="1" x14ac:dyDescent="0.25">
      <c r="A353" s="452"/>
      <c r="B353" s="452"/>
      <c r="C353" s="452"/>
    </row>
    <row r="354" spans="1:3" ht="15" customHeight="1" x14ac:dyDescent="0.25">
      <c r="A354" s="452"/>
      <c r="B354" s="452"/>
      <c r="C354" s="452"/>
    </row>
    <row r="355" spans="1:3" ht="15" customHeight="1" x14ac:dyDescent="0.25">
      <c r="A355" s="452"/>
      <c r="B355" s="452"/>
      <c r="C355" s="452"/>
    </row>
    <row r="356" spans="1:3" ht="15" customHeight="1" x14ac:dyDescent="0.25">
      <c r="A356" s="452"/>
      <c r="B356" s="452"/>
      <c r="C356" s="452"/>
    </row>
    <row r="357" spans="1:3" ht="15" customHeight="1" x14ac:dyDescent="0.25">
      <c r="A357" s="452"/>
      <c r="B357" s="452"/>
      <c r="C357" s="452"/>
    </row>
    <row r="358" spans="1:3" ht="15" customHeight="1" x14ac:dyDescent="0.25">
      <c r="A358" s="452"/>
      <c r="B358" s="452"/>
      <c r="C358" s="452"/>
    </row>
    <row r="359" spans="1:3" ht="15" customHeight="1" x14ac:dyDescent="0.25">
      <c r="A359" s="452"/>
      <c r="B359" s="452"/>
      <c r="C359" s="452"/>
    </row>
    <row r="360" spans="1:3" ht="15" customHeight="1" x14ac:dyDescent="0.25">
      <c r="A360" s="452"/>
      <c r="B360" s="452"/>
      <c r="C360" s="452"/>
    </row>
    <row r="361" spans="1:3" ht="15" customHeight="1" x14ac:dyDescent="0.25">
      <c r="A361" s="452"/>
      <c r="B361" s="452"/>
      <c r="C361" s="452"/>
    </row>
    <row r="362" spans="1:3" ht="15" customHeight="1" x14ac:dyDescent="0.25">
      <c r="A362" s="452"/>
      <c r="B362" s="452"/>
      <c r="C362" s="452"/>
    </row>
    <row r="363" spans="1:3" ht="15" customHeight="1" x14ac:dyDescent="0.25">
      <c r="A363" s="452"/>
      <c r="B363" s="452"/>
      <c r="C363" s="452"/>
    </row>
    <row r="364" spans="1:3" ht="15" customHeight="1" x14ac:dyDescent="0.25">
      <c r="A364" s="452"/>
      <c r="B364" s="452"/>
      <c r="C364" s="452"/>
    </row>
    <row r="365" spans="1:3" ht="15" customHeight="1" x14ac:dyDescent="0.25">
      <c r="A365" s="452"/>
      <c r="B365" s="452"/>
      <c r="C365" s="452"/>
    </row>
    <row r="366" spans="1:3" ht="15" customHeight="1" x14ac:dyDescent="0.25">
      <c r="A366" s="452"/>
      <c r="B366" s="452"/>
      <c r="C366" s="452"/>
    </row>
    <row r="367" spans="1:3" ht="15" customHeight="1" x14ac:dyDescent="0.25">
      <c r="A367" s="452"/>
      <c r="B367" s="452"/>
      <c r="C367" s="452"/>
    </row>
    <row r="368" spans="1:3" ht="15" customHeight="1" x14ac:dyDescent="0.25">
      <c r="A368" s="452"/>
      <c r="B368" s="452"/>
      <c r="C368" s="452"/>
    </row>
    <row r="369" spans="1:3" ht="15" customHeight="1" x14ac:dyDescent="0.25">
      <c r="A369" s="452"/>
      <c r="B369" s="452"/>
      <c r="C369" s="452"/>
    </row>
    <row r="370" spans="1:3" ht="15" customHeight="1" x14ac:dyDescent="0.25">
      <c r="A370" s="452"/>
      <c r="B370" s="452"/>
      <c r="C370" s="452"/>
    </row>
    <row r="371" spans="1:3" ht="15" customHeight="1" x14ac:dyDescent="0.25">
      <c r="A371" s="452"/>
      <c r="B371" s="452"/>
      <c r="C371" s="452"/>
    </row>
    <row r="372" spans="1:3" ht="15" customHeight="1" x14ac:dyDescent="0.25">
      <c r="A372" s="452"/>
      <c r="B372" s="452"/>
      <c r="C372" s="452"/>
    </row>
    <row r="373" spans="1:3" ht="15" customHeight="1" x14ac:dyDescent="0.25">
      <c r="A373" s="452"/>
      <c r="B373" s="452"/>
      <c r="C373" s="452"/>
    </row>
    <row r="374" spans="1:3" ht="15" customHeight="1" x14ac:dyDescent="0.25">
      <c r="A374" s="452"/>
      <c r="B374" s="452"/>
      <c r="C374" s="452"/>
    </row>
    <row r="375" spans="1:3" ht="15" customHeight="1" x14ac:dyDescent="0.25">
      <c r="A375" s="452"/>
      <c r="B375" s="452"/>
      <c r="C375" s="452"/>
    </row>
    <row r="376" spans="1:3" ht="15" customHeight="1" x14ac:dyDescent="0.25">
      <c r="A376" s="452"/>
      <c r="B376" s="452"/>
      <c r="C376" s="452"/>
    </row>
    <row r="377" spans="1:3" ht="15" customHeight="1" x14ac:dyDescent="0.25">
      <c r="A377" s="452"/>
      <c r="B377" s="452"/>
      <c r="C377" s="452"/>
    </row>
    <row r="378" spans="1:3" ht="15" customHeight="1" x14ac:dyDescent="0.25">
      <c r="A378" s="452"/>
      <c r="B378" s="452"/>
      <c r="C378" s="452"/>
    </row>
    <row r="379" spans="1:3" ht="15" customHeight="1" x14ac:dyDescent="0.25">
      <c r="A379" s="452"/>
      <c r="B379" s="452"/>
      <c r="C379" s="452"/>
    </row>
    <row r="380" spans="1:3" ht="15" customHeight="1" x14ac:dyDescent="0.25">
      <c r="A380" s="452"/>
      <c r="B380" s="452"/>
      <c r="C380" s="452"/>
    </row>
    <row r="381" spans="1:3" ht="15" customHeight="1" x14ac:dyDescent="0.25">
      <c r="A381" s="452"/>
      <c r="B381" s="452"/>
      <c r="C381" s="452"/>
    </row>
    <row r="382" spans="1:3" ht="15" customHeight="1" x14ac:dyDescent="0.25">
      <c r="A382" s="452"/>
      <c r="B382" s="452"/>
      <c r="C382" s="452"/>
    </row>
    <row r="383" spans="1:3" ht="15" customHeight="1" x14ac:dyDescent="0.25">
      <c r="A383" s="452"/>
      <c r="B383" s="452"/>
      <c r="C383" s="452"/>
    </row>
    <row r="384" spans="1:3" ht="15" customHeight="1" x14ac:dyDescent="0.25">
      <c r="A384" s="452"/>
      <c r="B384" s="452"/>
      <c r="C384" s="452"/>
    </row>
    <row r="385" spans="1:3" ht="15" customHeight="1" x14ac:dyDescent="0.25">
      <c r="A385" s="452"/>
      <c r="B385" s="452"/>
      <c r="C385" s="452"/>
    </row>
    <row r="386" spans="1:3" ht="15" customHeight="1" x14ac:dyDescent="0.25">
      <c r="A386" s="452"/>
      <c r="B386" s="452"/>
      <c r="C386" s="452"/>
    </row>
    <row r="387" spans="1:3" ht="15" customHeight="1" x14ac:dyDescent="0.25">
      <c r="A387" s="452"/>
      <c r="B387" s="452"/>
      <c r="C387" s="452"/>
    </row>
    <row r="388" spans="1:3" ht="15" customHeight="1" x14ac:dyDescent="0.25">
      <c r="A388" s="452"/>
      <c r="B388" s="452"/>
      <c r="C388" s="452"/>
    </row>
    <row r="389" spans="1:3" ht="15" customHeight="1" x14ac:dyDescent="0.25">
      <c r="A389" s="452"/>
      <c r="B389" s="452"/>
      <c r="C389" s="452"/>
    </row>
    <row r="390" spans="1:3" ht="15" customHeight="1" x14ac:dyDescent="0.25">
      <c r="A390" s="452"/>
      <c r="B390" s="452"/>
      <c r="C390" s="452"/>
    </row>
    <row r="391" spans="1:3" ht="15" customHeight="1" x14ac:dyDescent="0.25">
      <c r="A391" s="452"/>
      <c r="B391" s="452"/>
      <c r="C391" s="452"/>
    </row>
    <row r="392" spans="1:3" ht="15" customHeight="1" x14ac:dyDescent="0.25">
      <c r="A392" s="452"/>
      <c r="B392" s="452"/>
      <c r="C392" s="452"/>
    </row>
    <row r="393" spans="1:3" ht="15" customHeight="1" x14ac:dyDescent="0.25">
      <c r="A393" s="452"/>
      <c r="B393" s="452"/>
      <c r="C393" s="452"/>
    </row>
    <row r="394" spans="1:3" ht="15" customHeight="1" x14ac:dyDescent="0.25">
      <c r="A394" s="452"/>
      <c r="B394" s="452"/>
      <c r="C394" s="452"/>
    </row>
    <row r="395" spans="1:3" ht="15" customHeight="1" x14ac:dyDescent="0.25">
      <c r="A395" s="452"/>
      <c r="B395" s="452"/>
      <c r="C395" s="452"/>
    </row>
    <row r="396" spans="1:3" ht="15" customHeight="1" x14ac:dyDescent="0.25">
      <c r="A396" s="452"/>
      <c r="B396" s="452"/>
      <c r="C396" s="452"/>
    </row>
    <row r="397" spans="1:3" ht="15" customHeight="1" x14ac:dyDescent="0.25">
      <c r="A397" s="452"/>
      <c r="B397" s="452"/>
      <c r="C397" s="452"/>
    </row>
    <row r="398" spans="1:3" ht="15" customHeight="1" x14ac:dyDescent="0.25">
      <c r="A398" s="452"/>
      <c r="B398" s="452"/>
      <c r="C398" s="452"/>
    </row>
    <row r="399" spans="1:3" ht="15" customHeight="1" x14ac:dyDescent="0.25">
      <c r="A399" s="452"/>
      <c r="B399" s="452"/>
      <c r="C399" s="452"/>
    </row>
    <row r="400" spans="1:3" ht="15" customHeight="1" x14ac:dyDescent="0.25">
      <c r="A400" s="452"/>
      <c r="B400" s="452"/>
      <c r="C400" s="452"/>
    </row>
    <row r="401" spans="1:3" ht="15" customHeight="1" x14ac:dyDescent="0.25">
      <c r="A401" s="452"/>
      <c r="B401" s="452"/>
      <c r="C401" s="452"/>
    </row>
    <row r="402" spans="1:3" ht="15" customHeight="1" x14ac:dyDescent="0.25">
      <c r="A402" s="452"/>
      <c r="B402" s="452"/>
      <c r="C402" s="452"/>
    </row>
    <row r="403" spans="1:3" ht="15" customHeight="1" x14ac:dyDescent="0.25">
      <c r="A403" s="452"/>
      <c r="B403" s="452"/>
      <c r="C403" s="452"/>
    </row>
    <row r="404" spans="1:3" ht="15" customHeight="1" x14ac:dyDescent="0.25">
      <c r="A404" s="452"/>
      <c r="B404" s="452"/>
      <c r="C404" s="452"/>
    </row>
    <row r="405" spans="1:3" ht="15" customHeight="1" x14ac:dyDescent="0.25">
      <c r="A405" s="452"/>
      <c r="B405" s="452"/>
      <c r="C405" s="452"/>
    </row>
    <row r="406" spans="1:3" ht="15" customHeight="1" x14ac:dyDescent="0.25">
      <c r="A406" s="452"/>
      <c r="B406" s="452"/>
      <c r="C406" s="452"/>
    </row>
    <row r="407" spans="1:3" ht="15" customHeight="1" x14ac:dyDescent="0.25">
      <c r="A407" s="452"/>
      <c r="B407" s="452"/>
      <c r="C407" s="452"/>
    </row>
    <row r="408" spans="1:3" ht="15" customHeight="1" x14ac:dyDescent="0.25">
      <c r="A408" s="452"/>
      <c r="B408" s="452"/>
      <c r="C408" s="452"/>
    </row>
    <row r="409" spans="1:3" ht="15" customHeight="1" x14ac:dyDescent="0.25">
      <c r="A409" s="452"/>
      <c r="B409" s="452"/>
      <c r="C409" s="452"/>
    </row>
    <row r="410" spans="1:3" ht="15" customHeight="1" x14ac:dyDescent="0.25">
      <c r="A410" s="452"/>
      <c r="B410" s="452"/>
      <c r="C410" s="452"/>
    </row>
    <row r="411" spans="1:3" ht="15" customHeight="1" x14ac:dyDescent="0.25">
      <c r="A411" s="452"/>
      <c r="B411" s="452"/>
      <c r="C411" s="452"/>
    </row>
    <row r="412" spans="1:3" ht="15" customHeight="1" x14ac:dyDescent="0.25">
      <c r="A412" s="452"/>
      <c r="B412" s="452"/>
      <c r="C412" s="452"/>
    </row>
    <row r="413" spans="1:3" ht="15" customHeight="1" x14ac:dyDescent="0.25">
      <c r="A413" s="452"/>
      <c r="B413" s="452"/>
      <c r="C413" s="452"/>
    </row>
    <row r="414" spans="1:3" ht="15" customHeight="1" x14ac:dyDescent="0.25">
      <c r="A414" s="452"/>
      <c r="B414" s="452"/>
      <c r="C414" s="452"/>
    </row>
    <row r="415" spans="1:3" ht="15" customHeight="1" x14ac:dyDescent="0.25">
      <c r="A415" s="452"/>
      <c r="B415" s="452"/>
      <c r="C415" s="452"/>
    </row>
    <row r="416" spans="1:3" ht="15" customHeight="1" x14ac:dyDescent="0.25">
      <c r="A416" s="452"/>
      <c r="B416" s="452"/>
      <c r="C416" s="452"/>
    </row>
    <row r="417" spans="1:3" ht="15" customHeight="1" x14ac:dyDescent="0.25">
      <c r="A417" s="452"/>
      <c r="B417" s="452"/>
      <c r="C417" s="452"/>
    </row>
    <row r="418" spans="1:3" ht="15" customHeight="1" x14ac:dyDescent="0.25">
      <c r="A418" s="452"/>
      <c r="B418" s="452"/>
      <c r="C418" s="452"/>
    </row>
    <row r="419" spans="1:3" ht="15" customHeight="1" x14ac:dyDescent="0.25">
      <c r="A419" s="452"/>
      <c r="B419" s="452"/>
      <c r="C419" s="452"/>
    </row>
    <row r="420" spans="1:3" ht="15" customHeight="1" x14ac:dyDescent="0.25">
      <c r="A420" s="452"/>
      <c r="B420" s="452"/>
      <c r="C420" s="452"/>
    </row>
    <row r="421" spans="1:3" ht="15" customHeight="1" x14ac:dyDescent="0.25">
      <c r="A421" s="452"/>
      <c r="B421" s="452"/>
      <c r="C421" s="452"/>
    </row>
    <row r="422" spans="1:3" ht="15" customHeight="1" x14ac:dyDescent="0.25">
      <c r="A422" s="452"/>
      <c r="B422" s="452"/>
      <c r="C422" s="452"/>
    </row>
    <row r="423" spans="1:3" ht="15" customHeight="1" x14ac:dyDescent="0.25">
      <c r="A423" s="452"/>
      <c r="B423" s="452"/>
      <c r="C423" s="452"/>
    </row>
    <row r="424" spans="1:3" ht="15" customHeight="1" x14ac:dyDescent="0.25">
      <c r="A424" s="452"/>
      <c r="B424" s="452"/>
      <c r="C424" s="452"/>
    </row>
    <row r="425" spans="1:3" ht="15" customHeight="1" x14ac:dyDescent="0.25">
      <c r="A425" s="452"/>
      <c r="B425" s="452"/>
      <c r="C425" s="452"/>
    </row>
    <row r="426" spans="1:3" ht="15" customHeight="1" x14ac:dyDescent="0.25">
      <c r="A426" s="452"/>
      <c r="B426" s="452"/>
      <c r="C426" s="452"/>
    </row>
    <row r="427" spans="1:3" ht="15" customHeight="1" x14ac:dyDescent="0.25">
      <c r="A427" s="452"/>
      <c r="B427" s="452"/>
      <c r="C427" s="452"/>
    </row>
    <row r="428" spans="1:3" ht="15" customHeight="1" x14ac:dyDescent="0.25">
      <c r="A428" s="452"/>
      <c r="B428" s="452"/>
      <c r="C428" s="452"/>
    </row>
    <row r="429" spans="1:3" ht="15" customHeight="1" x14ac:dyDescent="0.25">
      <c r="A429" s="452"/>
      <c r="B429" s="452"/>
      <c r="C429" s="452"/>
    </row>
    <row r="430" spans="1:3" ht="15" customHeight="1" x14ac:dyDescent="0.25">
      <c r="A430" s="452"/>
      <c r="B430" s="452"/>
      <c r="C430" s="452"/>
    </row>
    <row r="431" spans="1:3" ht="15" customHeight="1" x14ac:dyDescent="0.25">
      <c r="A431" s="452"/>
      <c r="B431" s="452"/>
      <c r="C431" s="452"/>
    </row>
    <row r="432" spans="1:3" ht="15" customHeight="1" x14ac:dyDescent="0.25">
      <c r="A432" s="452"/>
      <c r="B432" s="452"/>
      <c r="C432" s="452"/>
    </row>
    <row r="433" spans="1:3" ht="15" customHeight="1" x14ac:dyDescent="0.25">
      <c r="A433" s="452"/>
      <c r="B433" s="452"/>
      <c r="C433" s="452"/>
    </row>
    <row r="434" spans="1:3" ht="15" customHeight="1" x14ac:dyDescent="0.25">
      <c r="A434" s="452"/>
      <c r="B434" s="452"/>
      <c r="C434" s="452"/>
    </row>
    <row r="435" spans="1:3" ht="15" customHeight="1" x14ac:dyDescent="0.25">
      <c r="A435" s="452"/>
      <c r="B435" s="452"/>
      <c r="C435" s="452"/>
    </row>
    <row r="436" spans="1:3" ht="15" customHeight="1" x14ac:dyDescent="0.25">
      <c r="A436" s="452"/>
      <c r="B436" s="452"/>
      <c r="C436" s="452"/>
    </row>
    <row r="437" spans="1:3" ht="15" customHeight="1" x14ac:dyDescent="0.25">
      <c r="A437" s="452"/>
      <c r="B437" s="452"/>
      <c r="C437" s="452"/>
    </row>
    <row r="438" spans="1:3" ht="15" customHeight="1" x14ac:dyDescent="0.25">
      <c r="A438" s="452"/>
      <c r="B438" s="452"/>
      <c r="C438" s="452"/>
    </row>
    <row r="439" spans="1:3" ht="15" customHeight="1" x14ac:dyDescent="0.25">
      <c r="A439" s="452"/>
      <c r="B439" s="452"/>
      <c r="C439" s="452"/>
    </row>
    <row r="440" spans="1:3" ht="15" customHeight="1" x14ac:dyDescent="0.25">
      <c r="A440" s="452"/>
      <c r="B440" s="452"/>
      <c r="C440" s="452"/>
    </row>
    <row r="441" spans="1:3" ht="15" customHeight="1" x14ac:dyDescent="0.25">
      <c r="A441" s="452"/>
      <c r="B441" s="452"/>
      <c r="C441" s="452"/>
    </row>
    <row r="442" spans="1:3" ht="15" customHeight="1" x14ac:dyDescent="0.25">
      <c r="A442" s="452"/>
      <c r="B442" s="452"/>
      <c r="C442" s="452"/>
    </row>
    <row r="443" spans="1:3" ht="15" customHeight="1" x14ac:dyDescent="0.25">
      <c r="A443" s="452"/>
      <c r="B443" s="452"/>
      <c r="C443" s="452"/>
    </row>
    <row r="444" spans="1:3" ht="15" customHeight="1" x14ac:dyDescent="0.25">
      <c r="A444" s="452"/>
      <c r="B444" s="452"/>
      <c r="C444" s="452"/>
    </row>
    <row r="445" spans="1:3" ht="15" customHeight="1" x14ac:dyDescent="0.25">
      <c r="A445" s="452"/>
      <c r="B445" s="452"/>
      <c r="C445" s="452"/>
    </row>
    <row r="446" spans="1:3" ht="15" customHeight="1" x14ac:dyDescent="0.25">
      <c r="A446" s="452"/>
      <c r="B446" s="452"/>
      <c r="C446" s="452"/>
    </row>
    <row r="447" spans="1:3" ht="15" customHeight="1" x14ac:dyDescent="0.25">
      <c r="A447" s="452"/>
      <c r="B447" s="452"/>
      <c r="C447" s="452"/>
    </row>
    <row r="448" spans="1:3" ht="15" customHeight="1" x14ac:dyDescent="0.25">
      <c r="A448" s="452"/>
      <c r="B448" s="452"/>
      <c r="C448" s="452"/>
    </row>
    <row r="449" spans="1:3" ht="15" customHeight="1" x14ac:dyDescent="0.25">
      <c r="A449" s="452"/>
      <c r="B449" s="452"/>
      <c r="C449" s="452"/>
    </row>
    <row r="450" spans="1:3" ht="15" customHeight="1" x14ac:dyDescent="0.25">
      <c r="A450" s="452"/>
      <c r="B450" s="452"/>
      <c r="C450" s="452"/>
    </row>
    <row r="451" spans="1:3" ht="15" customHeight="1" x14ac:dyDescent="0.25">
      <c r="A451" s="452"/>
      <c r="B451" s="452"/>
      <c r="C451" s="452"/>
    </row>
    <row r="452" spans="1:3" ht="15" customHeight="1" x14ac:dyDescent="0.25">
      <c r="A452" s="452"/>
      <c r="B452" s="452"/>
      <c r="C452" s="452"/>
    </row>
    <row r="453" spans="1:3" ht="15" customHeight="1" x14ac:dyDescent="0.25">
      <c r="A453" s="452"/>
      <c r="B453" s="452"/>
      <c r="C453" s="452"/>
    </row>
    <row r="454" spans="1:3" ht="15" customHeight="1" x14ac:dyDescent="0.25">
      <c r="A454" s="452"/>
      <c r="B454" s="452"/>
      <c r="C454" s="452"/>
    </row>
    <row r="455" spans="1:3" ht="15" customHeight="1" x14ac:dyDescent="0.25">
      <c r="A455" s="452"/>
      <c r="B455" s="452"/>
      <c r="C455" s="452"/>
    </row>
    <row r="456" spans="1:3" ht="15" customHeight="1" x14ac:dyDescent="0.25">
      <c r="A456" s="452"/>
      <c r="B456" s="452"/>
      <c r="C456" s="452"/>
    </row>
    <row r="457" spans="1:3" ht="15" customHeight="1" x14ac:dyDescent="0.25">
      <c r="A457" s="452"/>
      <c r="B457" s="452"/>
      <c r="C457" s="452"/>
    </row>
    <row r="458" spans="1:3" ht="15" customHeight="1" x14ac:dyDescent="0.25">
      <c r="A458" s="452"/>
      <c r="B458" s="452"/>
      <c r="C458" s="452"/>
    </row>
    <row r="459" spans="1:3" ht="15" customHeight="1" x14ac:dyDescent="0.25">
      <c r="A459" s="452"/>
      <c r="B459" s="452"/>
      <c r="C459" s="452"/>
    </row>
    <row r="460" spans="1:3" ht="15" customHeight="1" x14ac:dyDescent="0.25">
      <c r="A460" s="452"/>
      <c r="B460" s="452"/>
      <c r="C460" s="452"/>
    </row>
    <row r="461" spans="1:3" ht="15" customHeight="1" x14ac:dyDescent="0.25">
      <c r="A461" s="452"/>
      <c r="B461" s="452"/>
      <c r="C461" s="452"/>
    </row>
    <row r="462" spans="1:3" ht="15" customHeight="1" x14ac:dyDescent="0.25">
      <c r="A462" s="452"/>
      <c r="B462" s="452"/>
      <c r="C462" s="452"/>
    </row>
    <row r="463" spans="1:3" ht="15" customHeight="1" x14ac:dyDescent="0.25">
      <c r="A463" s="452"/>
      <c r="B463" s="452"/>
      <c r="C463" s="452"/>
    </row>
    <row r="464" spans="1:3" ht="15" customHeight="1" x14ac:dyDescent="0.25">
      <c r="A464" s="452"/>
      <c r="B464" s="452"/>
      <c r="C464" s="452"/>
    </row>
    <row r="465" spans="1:16" ht="15" customHeight="1" x14ac:dyDescent="0.25">
      <c r="A465" s="452"/>
      <c r="B465" s="452"/>
      <c r="C465" s="452"/>
    </row>
    <row r="466" spans="1:16" ht="15" customHeight="1" x14ac:dyDescent="0.25">
      <c r="A466" s="452"/>
      <c r="B466" s="452"/>
      <c r="C466" s="452"/>
    </row>
    <row r="467" spans="1:16" ht="15" customHeight="1" x14ac:dyDescent="0.25">
      <c r="A467" s="452"/>
      <c r="B467" s="452"/>
      <c r="C467" s="452"/>
    </row>
    <row r="468" spans="1:16" ht="15" customHeight="1" x14ac:dyDescent="0.25">
      <c r="A468" s="452"/>
      <c r="B468" s="452"/>
      <c r="C468" s="452"/>
    </row>
    <row r="469" spans="1:16" ht="15" customHeight="1" x14ac:dyDescent="0.25">
      <c r="A469" s="452"/>
      <c r="B469" s="452"/>
      <c r="C469" s="452"/>
    </row>
    <row r="470" spans="1:16" ht="15" customHeight="1" x14ac:dyDescent="0.25">
      <c r="A470" s="452"/>
      <c r="B470" s="452"/>
      <c r="C470" s="452"/>
    </row>
    <row r="471" spans="1:16" ht="15" customHeight="1" x14ac:dyDescent="0.25">
      <c r="P471" s="2">
        <f>SUBTOTAL(9,P13:P470)</f>
        <v>70204.25</v>
      </c>
    </row>
  </sheetData>
  <autoFilter ref="F1:F471"/>
  <mergeCells count="37">
    <mergeCell ref="A4:N4"/>
    <mergeCell ref="AL2:AL3"/>
    <mergeCell ref="AS50:AT50"/>
    <mergeCell ref="AS49:AT49"/>
    <mergeCell ref="AI2:AI3"/>
    <mergeCell ref="AS42:AT42"/>
    <mergeCell ref="AS43:AT43"/>
    <mergeCell ref="AS45:AT45"/>
    <mergeCell ref="AS47:AT47"/>
    <mergeCell ref="AS48:AT48"/>
    <mergeCell ref="AS41:AT41"/>
    <mergeCell ref="AN2:AN3"/>
    <mergeCell ref="AS44:AT44"/>
    <mergeCell ref="AO2:AO3"/>
    <mergeCell ref="AM2:AM3"/>
    <mergeCell ref="AA2:AA3"/>
    <mergeCell ref="A1:P1"/>
    <mergeCell ref="AB2:AB3"/>
    <mergeCell ref="AF2:AF3"/>
    <mergeCell ref="J2:N2"/>
    <mergeCell ref="A2:A3"/>
    <mergeCell ref="B2:B3"/>
    <mergeCell ref="E2:E3"/>
    <mergeCell ref="F2:F3"/>
    <mergeCell ref="I2:I3"/>
    <mergeCell ref="G2:G3"/>
    <mergeCell ref="O2:Z2"/>
    <mergeCell ref="AC2:AC3"/>
    <mergeCell ref="H2:H3"/>
    <mergeCell ref="D2:D3"/>
    <mergeCell ref="AE2:AE3"/>
    <mergeCell ref="C2:C3"/>
    <mergeCell ref="AK2:AK3"/>
    <mergeCell ref="AH2:AH3"/>
    <mergeCell ref="AD2:AD3"/>
    <mergeCell ref="AJ2:AJ3"/>
    <mergeCell ref="AG2:AG3"/>
  </mergeCells>
  <dataValidations count="9">
    <dataValidation type="list" allowBlank="1" showInputMessage="1" showErrorMessage="1" sqref="AO5:AO269">
      <formula1>"A (0-0.25), B (0.26-9), C (10-99), D (100-299), E (300-999), F (1000-4999), G (5000+)"</formula1>
    </dataValidation>
    <dataValidation type="list" allowBlank="1" showInputMessage="1" showErrorMessage="1" sqref="I5:I269">
      <formula1>"H, L, A, FA, RFD, O"</formula1>
    </dataValidation>
    <dataValidation type="list" allowBlank="1" showInputMessage="1" showErrorMessage="1" sqref="E5:E269">
      <formula1>"FRFO, OMA, BOP, BFO, OFO, RFD"</formula1>
    </dataValidation>
    <dataValidation type="list" allowBlank="1" showInputMessage="1" showErrorMessage="1" sqref="AJ5:AK269 AE5:AH269">
      <formula1>"Y, N"</formula1>
    </dataValidation>
    <dataValidation type="list" allowBlank="1" showInputMessage="1" showErrorMessage="1" sqref="AD5:AD269">
      <formula1>"LOOKOUT, AGENCY, AIRCRAFT, PRIVATE, COUNTY"</formula1>
    </dataValidation>
    <dataValidation type="list" allowBlank="1" showInputMessage="1" showErrorMessage="1" sqref="AL5:AN269">
      <formula1>"Y, N "</formula1>
    </dataValidation>
    <dataValidation type="list" allowBlank="1" showInputMessage="1" showErrorMessage="1" sqref="AI5:AI269">
      <formula1>"NORTH FORK OWYHEE, POLE CREEK, OWYHEE RIVER, LITTLE JACKS CREEK, BIG JACKS CREEK, BRUNEAU JARBIDGE"</formula1>
    </dataValidation>
    <dataValidation type="list" allowBlank="1" showInputMessage="1" showErrorMessage="1" sqref="AC5:AC269">
      <formula1>"FULL, MULTIPLE, MONITOR"</formula1>
    </dataValidation>
    <dataValidation type="list" allowBlank="1" showInputMessage="1" showErrorMessage="1" sqref="C5:C269">
      <formula1>"BOD, BOF, SWS, 1AX, 1GX, 1PX, 1VX, 1WX, 2CX, 6BX, ELX, OWX, MHQ, DFR, LPE, SRL"</formula1>
    </dataValidation>
  </dataValidations>
  <pageMargins left="0.25" right="0.25" top="0.75" bottom="0.75" header="0.3" footer="0.3"/>
  <pageSetup paperSize="17" scale="43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5"/>
  <sheetViews>
    <sheetView topLeftCell="A4" zoomScale="80" zoomScaleNormal="80" workbookViewId="0">
      <selection activeCell="B34" sqref="B34"/>
    </sheetView>
  </sheetViews>
  <sheetFormatPr defaultRowHeight="12" x14ac:dyDescent="0.2"/>
  <cols>
    <col min="1" max="1" width="10.140625" style="602" bestFit="1" customWidth="1"/>
    <col min="2" max="2" width="18.140625" style="602" customWidth="1"/>
    <col min="3" max="16384" width="9.140625" style="602"/>
  </cols>
  <sheetData>
    <row r="1" spans="1:23" x14ac:dyDescent="0.2">
      <c r="A1" s="600" t="s">
        <v>268</v>
      </c>
      <c r="B1" s="600"/>
      <c r="C1" s="601"/>
      <c r="D1" s="1089" t="s">
        <v>274</v>
      </c>
      <c r="E1" s="1089"/>
      <c r="F1" s="1089"/>
      <c r="G1" s="1089"/>
      <c r="H1" s="1089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</row>
    <row r="2" spans="1:23" ht="12" customHeight="1" x14ac:dyDescent="0.2">
      <c r="A2" s="603"/>
      <c r="B2" s="604"/>
      <c r="C2" s="1090" t="s">
        <v>266</v>
      </c>
      <c r="D2" s="1090"/>
      <c r="E2" s="1090" t="s">
        <v>267</v>
      </c>
      <c r="F2" s="1090"/>
      <c r="G2" s="1090" t="s">
        <v>271</v>
      </c>
      <c r="H2" s="1090"/>
      <c r="I2" s="1090" t="s">
        <v>263</v>
      </c>
      <c r="J2" s="1090"/>
      <c r="K2" s="1090" t="s">
        <v>272</v>
      </c>
      <c r="L2" s="1090"/>
      <c r="M2" s="1090" t="s">
        <v>264</v>
      </c>
      <c r="N2" s="1090"/>
      <c r="O2" s="1091" t="s">
        <v>265</v>
      </c>
      <c r="P2" s="1092"/>
      <c r="Q2" s="1091" t="s">
        <v>273</v>
      </c>
      <c r="R2" s="1092"/>
      <c r="S2" s="1091" t="s">
        <v>256</v>
      </c>
      <c r="T2" s="1092"/>
      <c r="U2" s="1091" t="s">
        <v>269</v>
      </c>
      <c r="V2" s="1093"/>
      <c r="W2" s="766"/>
    </row>
    <row r="3" spans="1:23" x14ac:dyDescent="0.2">
      <c r="A3" s="603"/>
      <c r="B3" s="604"/>
      <c r="C3" s="731">
        <f>COUNTIF(C5:C43, "X")</f>
        <v>8</v>
      </c>
      <c r="D3" s="731">
        <f>COUNTIF(D8:D43, "X")</f>
        <v>1</v>
      </c>
      <c r="E3" s="765">
        <f>COUNTIF(E8:E43, "X")</f>
        <v>0</v>
      </c>
      <c r="F3" s="765">
        <f>COUNTIF(F8:F43, "X")</f>
        <v>0</v>
      </c>
      <c r="G3" s="731">
        <f>COUNTIF(G8:G43, "X")</f>
        <v>0</v>
      </c>
      <c r="H3" s="731">
        <f>COUNTIF(H8:H43, "X")</f>
        <v>0</v>
      </c>
      <c r="I3" s="765">
        <f>COUNTIF(I8:I43, "X")</f>
        <v>0</v>
      </c>
      <c r="J3" s="765">
        <f>COUNTIF(J8:J43, "X")</f>
        <v>0</v>
      </c>
      <c r="K3" s="731">
        <f>COUNTIF(K8:K43, "X")</f>
        <v>0</v>
      </c>
      <c r="L3" s="731">
        <f>COUNTIF(L8:L43, "X")</f>
        <v>0</v>
      </c>
      <c r="M3" s="765">
        <f>COUNTIF(M8:M43, "X")</f>
        <v>0</v>
      </c>
      <c r="N3" s="765">
        <f>COUNTIF(N8:N43, "X")</f>
        <v>0</v>
      </c>
      <c r="O3" s="731">
        <f>COUNTIF(O8:O43, "X")</f>
        <v>0</v>
      </c>
      <c r="P3" s="731">
        <f>COUNTIF(P8:P43, "X")</f>
        <v>0</v>
      </c>
      <c r="Q3" s="765">
        <f>COUNTIF(Q8:Q43, "X")</f>
        <v>0</v>
      </c>
      <c r="R3" s="765">
        <f>COUNTIF(R8:R43, "X")</f>
        <v>0</v>
      </c>
      <c r="S3" s="731">
        <f>COUNTIF(S5:S42, "X")</f>
        <v>8</v>
      </c>
      <c r="T3" s="731">
        <f>COUNTIF(T5:T41, "X")</f>
        <v>1</v>
      </c>
      <c r="U3" s="772">
        <f>COUNTIF(U5:U41, "X")</f>
        <v>3</v>
      </c>
      <c r="V3" s="765">
        <f>COUNTIF(V5:V41, "X")</f>
        <v>2</v>
      </c>
      <c r="W3" s="767"/>
    </row>
    <row r="4" spans="1:23" ht="30.75" x14ac:dyDescent="0.2">
      <c r="A4" s="605" t="s">
        <v>249</v>
      </c>
      <c r="B4" s="605" t="s">
        <v>250</v>
      </c>
      <c r="C4" s="606" t="s">
        <v>8</v>
      </c>
      <c r="D4" s="606" t="s">
        <v>9</v>
      </c>
      <c r="E4" s="603" t="s">
        <v>8</v>
      </c>
      <c r="F4" s="603" t="s">
        <v>9</v>
      </c>
      <c r="G4" s="606" t="s">
        <v>8</v>
      </c>
      <c r="H4" s="606" t="s">
        <v>9</v>
      </c>
      <c r="I4" s="607" t="s">
        <v>8</v>
      </c>
      <c r="J4" s="607" t="s">
        <v>9</v>
      </c>
      <c r="K4" s="608" t="s">
        <v>8</v>
      </c>
      <c r="L4" s="608" t="s">
        <v>9</v>
      </c>
      <c r="M4" s="607" t="s">
        <v>8</v>
      </c>
      <c r="N4" s="607" t="s">
        <v>9</v>
      </c>
      <c r="O4" s="608" t="s">
        <v>8</v>
      </c>
      <c r="P4" s="608" t="s">
        <v>9</v>
      </c>
      <c r="Q4" s="607" t="s">
        <v>8</v>
      </c>
      <c r="R4" s="607" t="s">
        <v>9</v>
      </c>
      <c r="S4" s="608" t="s">
        <v>8</v>
      </c>
      <c r="T4" s="608" t="s">
        <v>9</v>
      </c>
      <c r="U4" s="607" t="s">
        <v>8</v>
      </c>
      <c r="V4" s="607" t="s">
        <v>9</v>
      </c>
      <c r="W4" s="768"/>
    </row>
    <row r="5" spans="1:23" x14ac:dyDescent="0.2">
      <c r="A5" s="612">
        <v>43188</v>
      </c>
      <c r="B5" s="624" t="s">
        <v>336</v>
      </c>
      <c r="C5" s="606"/>
      <c r="D5" s="606"/>
      <c r="E5" s="603"/>
      <c r="F5" s="603"/>
      <c r="G5" s="606"/>
      <c r="H5" s="606"/>
      <c r="I5" s="607"/>
      <c r="J5" s="607"/>
      <c r="K5" s="608"/>
      <c r="L5" s="608"/>
      <c r="M5" s="607"/>
      <c r="N5" s="607"/>
      <c r="O5" s="608"/>
      <c r="P5" s="608"/>
      <c r="Q5" s="607"/>
      <c r="R5" s="607"/>
      <c r="S5" s="608" t="s">
        <v>305</v>
      </c>
      <c r="T5" s="608"/>
      <c r="U5" s="607"/>
      <c r="V5" s="607"/>
      <c r="W5" s="768"/>
    </row>
    <row r="6" spans="1:23" x14ac:dyDescent="0.2">
      <c r="A6" s="612">
        <v>43245</v>
      </c>
      <c r="B6" s="624" t="s">
        <v>409</v>
      </c>
      <c r="C6" s="606" t="s">
        <v>305</v>
      </c>
      <c r="D6" s="606"/>
      <c r="E6" s="603"/>
      <c r="F6" s="603"/>
      <c r="G6" s="606"/>
      <c r="H6" s="606"/>
      <c r="I6" s="607"/>
      <c r="J6" s="607"/>
      <c r="K6" s="608"/>
      <c r="L6" s="608"/>
      <c r="M6" s="607"/>
      <c r="N6" s="607"/>
      <c r="O6" s="608"/>
      <c r="P6" s="608"/>
      <c r="Q6" s="607"/>
      <c r="R6" s="607"/>
      <c r="S6" s="608"/>
      <c r="T6" s="608"/>
      <c r="U6" s="607"/>
      <c r="V6" s="607"/>
      <c r="W6" s="768"/>
    </row>
    <row r="7" spans="1:23" x14ac:dyDescent="0.2">
      <c r="A7" s="612">
        <v>43259</v>
      </c>
      <c r="B7" s="861" t="s">
        <v>522</v>
      </c>
      <c r="C7" s="606" t="s">
        <v>305</v>
      </c>
      <c r="D7" s="606"/>
      <c r="E7" s="603"/>
      <c r="F7" s="603"/>
      <c r="G7" s="606"/>
      <c r="H7" s="606"/>
      <c r="I7" s="607"/>
      <c r="J7" s="607"/>
      <c r="K7" s="608"/>
      <c r="L7" s="608"/>
      <c r="M7" s="607"/>
      <c r="N7" s="607"/>
      <c r="O7" s="608"/>
      <c r="P7" s="608"/>
      <c r="Q7" s="607"/>
      <c r="R7" s="607"/>
      <c r="S7" s="608"/>
      <c r="T7" s="608"/>
      <c r="U7" s="607"/>
      <c r="V7" s="607"/>
      <c r="W7" s="768"/>
    </row>
    <row r="8" spans="1:23" x14ac:dyDescent="0.2">
      <c r="A8" s="612">
        <v>43271</v>
      </c>
      <c r="B8" s="624" t="s">
        <v>579</v>
      </c>
      <c r="C8" s="599"/>
      <c r="D8" s="599" t="s">
        <v>305</v>
      </c>
      <c r="E8" s="609"/>
      <c r="F8" s="609"/>
      <c r="G8" s="599"/>
      <c r="H8" s="599"/>
      <c r="I8" s="610"/>
      <c r="J8" s="610"/>
      <c r="K8" s="611"/>
      <c r="L8" s="611"/>
      <c r="M8" s="610"/>
      <c r="N8" s="610"/>
      <c r="O8" s="611"/>
      <c r="P8" s="611"/>
      <c r="Q8" s="610"/>
      <c r="R8" s="610"/>
      <c r="S8" s="611"/>
      <c r="T8" s="611"/>
      <c r="U8" s="610"/>
      <c r="V8" s="610"/>
      <c r="W8" s="769"/>
    </row>
    <row r="9" spans="1:23" x14ac:dyDescent="0.2">
      <c r="A9" s="612">
        <v>43271</v>
      </c>
      <c r="B9" s="624" t="s">
        <v>632</v>
      </c>
      <c r="C9" s="599"/>
      <c r="D9" s="599"/>
      <c r="E9" s="609"/>
      <c r="F9" s="609"/>
      <c r="G9" s="599"/>
      <c r="H9" s="599"/>
      <c r="I9" s="610"/>
      <c r="J9" s="610"/>
      <c r="K9" s="611"/>
      <c r="L9" s="611"/>
      <c r="M9" s="610"/>
      <c r="N9" s="610"/>
      <c r="O9" s="611"/>
      <c r="P9" s="611"/>
      <c r="Q9" s="610"/>
      <c r="R9" s="610"/>
      <c r="S9" s="611" t="s">
        <v>305</v>
      </c>
      <c r="T9" s="611"/>
      <c r="U9" s="610"/>
      <c r="V9" s="610"/>
      <c r="W9" s="769"/>
    </row>
    <row r="10" spans="1:23" x14ac:dyDescent="0.2">
      <c r="A10" s="612">
        <v>43285</v>
      </c>
      <c r="B10" s="624" t="s">
        <v>662</v>
      </c>
      <c r="C10" s="599"/>
      <c r="D10" s="599"/>
      <c r="E10" s="609"/>
      <c r="F10" s="609"/>
      <c r="G10" s="599"/>
      <c r="H10" s="599"/>
      <c r="I10" s="610"/>
      <c r="J10" s="610"/>
      <c r="K10" s="611"/>
      <c r="L10" s="611"/>
      <c r="M10" s="610"/>
      <c r="N10" s="610"/>
      <c r="O10" s="611"/>
      <c r="P10" s="611"/>
      <c r="Q10" s="610"/>
      <c r="R10" s="610"/>
      <c r="S10" s="611"/>
      <c r="T10" s="611"/>
      <c r="U10" s="610" t="s">
        <v>305</v>
      </c>
      <c r="V10" s="610"/>
      <c r="W10" s="769"/>
    </row>
    <row r="11" spans="1:23" x14ac:dyDescent="0.2">
      <c r="A11" s="612">
        <v>43288</v>
      </c>
      <c r="B11" s="624" t="s">
        <v>706</v>
      </c>
      <c r="C11" s="599" t="s">
        <v>305</v>
      </c>
      <c r="D11" s="599"/>
      <c r="E11" s="609"/>
      <c r="F11" s="609"/>
      <c r="G11" s="599"/>
      <c r="H11" s="599"/>
      <c r="I11" s="610"/>
      <c r="J11" s="610"/>
      <c r="K11" s="611"/>
      <c r="L11" s="611"/>
      <c r="M11" s="610"/>
      <c r="N11" s="610"/>
      <c r="O11" s="611"/>
      <c r="P11" s="611"/>
      <c r="Q11" s="610"/>
      <c r="R11" s="610"/>
      <c r="S11" s="611"/>
      <c r="T11" s="611"/>
      <c r="U11" s="610"/>
      <c r="V11" s="610"/>
      <c r="W11" s="769"/>
    </row>
    <row r="12" spans="1:23" x14ac:dyDescent="0.2">
      <c r="A12" s="612">
        <v>43291</v>
      </c>
      <c r="B12" s="624" t="s">
        <v>725</v>
      </c>
      <c r="C12" s="599"/>
      <c r="D12" s="599"/>
      <c r="E12" s="609"/>
      <c r="F12" s="609"/>
      <c r="G12" s="599"/>
      <c r="H12" s="599"/>
      <c r="I12" s="610"/>
      <c r="J12" s="610"/>
      <c r="K12" s="611"/>
      <c r="L12" s="611"/>
      <c r="M12" s="610"/>
      <c r="N12" s="610"/>
      <c r="O12" s="611"/>
      <c r="P12" s="611"/>
      <c r="Q12" s="610"/>
      <c r="R12" s="610"/>
      <c r="S12" s="611" t="s">
        <v>305</v>
      </c>
      <c r="T12" s="611"/>
      <c r="U12" s="610"/>
      <c r="V12" s="610"/>
      <c r="W12" s="769"/>
    </row>
    <row r="13" spans="1:23" x14ac:dyDescent="0.2">
      <c r="A13" s="612">
        <v>43297</v>
      </c>
      <c r="B13" s="624" t="s">
        <v>793</v>
      </c>
      <c r="C13" s="599"/>
      <c r="D13" s="599"/>
      <c r="E13" s="609"/>
      <c r="F13" s="609"/>
      <c r="G13" s="599"/>
      <c r="H13" s="599"/>
      <c r="I13" s="610"/>
      <c r="J13" s="610"/>
      <c r="K13" s="611"/>
      <c r="L13" s="611"/>
      <c r="M13" s="610"/>
      <c r="N13" s="610"/>
      <c r="O13" s="611"/>
      <c r="P13" s="611"/>
      <c r="Q13" s="610"/>
      <c r="R13" s="610"/>
      <c r="S13" s="611"/>
      <c r="T13" s="611" t="s">
        <v>305</v>
      </c>
      <c r="U13" s="610"/>
      <c r="V13" s="610"/>
      <c r="W13" s="769"/>
    </row>
    <row r="14" spans="1:23" x14ac:dyDescent="0.2">
      <c r="A14" s="612">
        <v>43299</v>
      </c>
      <c r="B14" s="624" t="s">
        <v>816</v>
      </c>
      <c r="C14" s="599"/>
      <c r="D14" s="599"/>
      <c r="E14" s="609"/>
      <c r="F14" s="609"/>
      <c r="G14" s="599"/>
      <c r="H14" s="599"/>
      <c r="I14" s="610"/>
      <c r="J14" s="610"/>
      <c r="K14" s="611"/>
      <c r="L14" s="611"/>
      <c r="M14" s="610"/>
      <c r="N14" s="610"/>
      <c r="O14" s="611"/>
      <c r="P14" s="611"/>
      <c r="Q14" s="610"/>
      <c r="R14" s="610"/>
      <c r="S14" s="611" t="s">
        <v>305</v>
      </c>
      <c r="T14" s="611"/>
      <c r="U14" s="610"/>
      <c r="V14" s="610"/>
      <c r="W14" s="769"/>
    </row>
    <row r="15" spans="1:23" x14ac:dyDescent="0.2">
      <c r="A15" s="612">
        <v>43305</v>
      </c>
      <c r="B15" s="624" t="s">
        <v>1216</v>
      </c>
      <c r="C15" s="599" t="s">
        <v>305</v>
      </c>
      <c r="D15" s="599"/>
      <c r="E15" s="609"/>
      <c r="F15" s="609"/>
      <c r="G15" s="599"/>
      <c r="H15" s="599"/>
      <c r="I15" s="610"/>
      <c r="J15" s="610"/>
      <c r="K15" s="611"/>
      <c r="L15" s="611"/>
      <c r="M15" s="610"/>
      <c r="N15" s="610"/>
      <c r="O15" s="611"/>
      <c r="P15" s="611"/>
      <c r="Q15" s="610"/>
      <c r="R15" s="610"/>
      <c r="S15" s="611"/>
      <c r="T15" s="611"/>
      <c r="U15" s="610"/>
      <c r="V15" s="610"/>
      <c r="W15" s="769"/>
    </row>
    <row r="16" spans="1:23" x14ac:dyDescent="0.2">
      <c r="A16" s="612">
        <v>43305</v>
      </c>
      <c r="B16" s="624" t="s">
        <v>882</v>
      </c>
      <c r="C16" s="599"/>
      <c r="D16" s="599"/>
      <c r="E16" s="609"/>
      <c r="F16" s="609"/>
      <c r="G16" s="599"/>
      <c r="H16" s="599"/>
      <c r="I16" s="610"/>
      <c r="J16" s="610"/>
      <c r="K16" s="611"/>
      <c r="L16" s="611"/>
      <c r="M16" s="610"/>
      <c r="N16" s="610"/>
      <c r="O16" s="611"/>
      <c r="P16" s="611"/>
      <c r="Q16" s="610"/>
      <c r="R16" s="610"/>
      <c r="S16" s="611"/>
      <c r="T16" s="611"/>
      <c r="U16" s="610"/>
      <c r="V16" s="610" t="s">
        <v>305</v>
      </c>
      <c r="W16" s="769"/>
    </row>
    <row r="17" spans="1:23" x14ac:dyDescent="0.2">
      <c r="A17" s="612">
        <v>43305</v>
      </c>
      <c r="B17" s="624" t="s">
        <v>888</v>
      </c>
      <c r="C17" s="599"/>
      <c r="D17" s="599"/>
      <c r="E17" s="609"/>
      <c r="F17" s="609"/>
      <c r="G17" s="599"/>
      <c r="H17" s="599"/>
      <c r="I17" s="610"/>
      <c r="J17" s="610"/>
      <c r="K17" s="611"/>
      <c r="L17" s="611"/>
      <c r="M17" s="610"/>
      <c r="N17" s="610"/>
      <c r="O17" s="611"/>
      <c r="P17" s="611"/>
      <c r="Q17" s="610"/>
      <c r="R17" s="610"/>
      <c r="S17" s="611"/>
      <c r="T17" s="611"/>
      <c r="U17" s="610"/>
      <c r="V17" s="610" t="s">
        <v>305</v>
      </c>
      <c r="W17" s="769"/>
    </row>
    <row r="18" spans="1:23" x14ac:dyDescent="0.2">
      <c r="A18" s="612">
        <v>43318</v>
      </c>
      <c r="B18" s="624" t="s">
        <v>1001</v>
      </c>
      <c r="C18" s="599" t="s">
        <v>305</v>
      </c>
      <c r="D18" s="599"/>
      <c r="E18" s="609"/>
      <c r="F18" s="609"/>
      <c r="G18" s="599"/>
      <c r="H18" s="599"/>
      <c r="I18" s="610"/>
      <c r="J18" s="610"/>
      <c r="K18" s="611"/>
      <c r="L18" s="611"/>
      <c r="M18" s="610"/>
      <c r="N18" s="610"/>
      <c r="O18" s="611"/>
      <c r="P18" s="611"/>
      <c r="Q18" s="610"/>
      <c r="R18" s="610"/>
      <c r="S18" s="611"/>
      <c r="T18" s="611"/>
      <c r="U18" s="610"/>
      <c r="V18" s="610"/>
      <c r="W18" s="769"/>
    </row>
    <row r="19" spans="1:23" x14ac:dyDescent="0.2">
      <c r="A19" s="612">
        <v>43325</v>
      </c>
      <c r="B19" s="624" t="s">
        <v>1050</v>
      </c>
      <c r="C19" s="599" t="s">
        <v>305</v>
      </c>
      <c r="D19" s="599"/>
      <c r="E19" s="609"/>
      <c r="F19" s="609"/>
      <c r="G19" s="599"/>
      <c r="H19" s="599"/>
      <c r="I19" s="610"/>
      <c r="J19" s="610"/>
      <c r="K19" s="611"/>
      <c r="L19" s="611"/>
      <c r="M19" s="610"/>
      <c r="N19" s="610"/>
      <c r="O19" s="611"/>
      <c r="P19" s="611"/>
      <c r="Q19" s="610"/>
      <c r="R19" s="610"/>
      <c r="S19" s="611"/>
      <c r="T19" s="611"/>
      <c r="U19" s="610"/>
      <c r="V19" s="610"/>
      <c r="W19" s="769"/>
    </row>
    <row r="20" spans="1:23" x14ac:dyDescent="0.2">
      <c r="A20" s="612">
        <v>43327</v>
      </c>
      <c r="B20" s="624" t="s">
        <v>1057</v>
      </c>
      <c r="C20" s="599"/>
      <c r="D20" s="599"/>
      <c r="E20" s="609"/>
      <c r="F20" s="609"/>
      <c r="G20" s="599"/>
      <c r="H20" s="599"/>
      <c r="I20" s="610"/>
      <c r="J20" s="610"/>
      <c r="K20" s="611"/>
      <c r="L20" s="611"/>
      <c r="M20" s="610"/>
      <c r="N20" s="610"/>
      <c r="O20" s="611"/>
      <c r="P20" s="611"/>
      <c r="Q20" s="610"/>
      <c r="R20" s="610"/>
      <c r="S20" s="611" t="s">
        <v>305</v>
      </c>
      <c r="T20" s="611"/>
      <c r="U20" s="610"/>
      <c r="V20" s="610"/>
      <c r="W20" s="769"/>
    </row>
    <row r="21" spans="1:23" x14ac:dyDescent="0.2">
      <c r="A21" s="739">
        <v>43328</v>
      </c>
      <c r="B21" s="740" t="s">
        <v>1062</v>
      </c>
      <c r="C21" s="599"/>
      <c r="D21" s="599"/>
      <c r="E21" s="609"/>
      <c r="F21" s="609"/>
      <c r="G21" s="599"/>
      <c r="H21" s="599"/>
      <c r="I21" s="610"/>
      <c r="J21" s="610"/>
      <c r="K21" s="611"/>
      <c r="L21" s="611"/>
      <c r="M21" s="610"/>
      <c r="N21" s="610"/>
      <c r="O21" s="611"/>
      <c r="P21" s="611"/>
      <c r="Q21" s="610"/>
      <c r="R21" s="610"/>
      <c r="S21" s="611" t="s">
        <v>305</v>
      </c>
      <c r="T21" s="611"/>
      <c r="U21" s="610"/>
      <c r="V21" s="610"/>
      <c r="W21" s="769"/>
    </row>
    <row r="22" spans="1:23" x14ac:dyDescent="0.2">
      <c r="A22" s="739">
        <v>43341</v>
      </c>
      <c r="B22" s="740" t="s">
        <v>1204</v>
      </c>
      <c r="C22" s="599" t="s">
        <v>305</v>
      </c>
      <c r="D22" s="599"/>
      <c r="E22" s="609"/>
      <c r="F22" s="609"/>
      <c r="G22" s="599"/>
      <c r="H22" s="599"/>
      <c r="I22" s="610"/>
      <c r="J22" s="610"/>
      <c r="K22" s="611"/>
      <c r="L22" s="611"/>
      <c r="M22" s="610"/>
      <c r="N22" s="610"/>
      <c r="O22" s="611"/>
      <c r="P22" s="611"/>
      <c r="Q22" s="610"/>
      <c r="R22" s="610"/>
      <c r="S22" s="611"/>
      <c r="T22" s="611"/>
      <c r="U22" s="610"/>
      <c r="V22" s="610"/>
      <c r="W22" s="769"/>
    </row>
    <row r="23" spans="1:23" x14ac:dyDescent="0.2">
      <c r="A23" s="739">
        <v>43346</v>
      </c>
      <c r="B23" s="740" t="s">
        <v>1233</v>
      </c>
      <c r="C23" s="599" t="s">
        <v>305</v>
      </c>
      <c r="D23" s="599"/>
      <c r="E23" s="609"/>
      <c r="F23" s="609"/>
      <c r="G23" s="599"/>
      <c r="H23" s="599"/>
      <c r="I23" s="610"/>
      <c r="J23" s="610"/>
      <c r="K23" s="611"/>
      <c r="L23" s="611"/>
      <c r="M23" s="610"/>
      <c r="N23" s="610"/>
      <c r="O23" s="611"/>
      <c r="P23" s="611"/>
      <c r="Q23" s="610"/>
      <c r="R23" s="610"/>
      <c r="S23" s="611"/>
      <c r="T23" s="611"/>
      <c r="U23" s="610"/>
      <c r="V23" s="610"/>
      <c r="W23" s="769"/>
    </row>
    <row r="24" spans="1:23" x14ac:dyDescent="0.2">
      <c r="A24" s="739">
        <v>43355</v>
      </c>
      <c r="B24" s="740" t="s">
        <v>1288</v>
      </c>
      <c r="C24" s="599"/>
      <c r="D24" s="599"/>
      <c r="E24" s="609"/>
      <c r="F24" s="609"/>
      <c r="G24" s="599"/>
      <c r="H24" s="599"/>
      <c r="I24" s="610"/>
      <c r="J24" s="610"/>
      <c r="K24" s="611"/>
      <c r="L24" s="611"/>
      <c r="M24" s="610"/>
      <c r="N24" s="610"/>
      <c r="O24" s="611"/>
      <c r="P24" s="611"/>
      <c r="Q24" s="610"/>
      <c r="R24" s="610"/>
      <c r="S24" s="611"/>
      <c r="T24" s="611"/>
      <c r="U24" s="610" t="s">
        <v>305</v>
      </c>
      <c r="V24" s="610"/>
      <c r="W24" s="769"/>
    </row>
    <row r="25" spans="1:23" x14ac:dyDescent="0.2">
      <c r="A25" s="739">
        <v>43360</v>
      </c>
      <c r="B25" s="610" t="s">
        <v>1323</v>
      </c>
      <c r="C25" s="599"/>
      <c r="D25" s="599"/>
      <c r="E25" s="609"/>
      <c r="F25" s="609"/>
      <c r="G25" s="599"/>
      <c r="H25" s="599"/>
      <c r="I25" s="610"/>
      <c r="J25" s="610"/>
      <c r="K25" s="611"/>
      <c r="L25" s="611"/>
      <c r="M25" s="610"/>
      <c r="N25" s="610"/>
      <c r="O25" s="611"/>
      <c r="P25" s="611"/>
      <c r="Q25" s="610"/>
      <c r="R25" s="610"/>
      <c r="S25" s="611"/>
      <c r="T25" s="611"/>
      <c r="U25" s="610" t="s">
        <v>305</v>
      </c>
      <c r="V25" s="610"/>
      <c r="W25" s="769"/>
    </row>
    <row r="26" spans="1:23" x14ac:dyDescent="0.2">
      <c r="A26" s="739">
        <v>43370</v>
      </c>
      <c r="B26" s="610" t="s">
        <v>1380</v>
      </c>
      <c r="C26" s="599"/>
      <c r="D26" s="599"/>
      <c r="E26" s="609"/>
      <c r="F26" s="609"/>
      <c r="G26" s="599"/>
      <c r="H26" s="599"/>
      <c r="I26" s="610"/>
      <c r="J26" s="610"/>
      <c r="K26" s="611"/>
      <c r="L26" s="611"/>
      <c r="M26" s="610"/>
      <c r="N26" s="610"/>
      <c r="O26" s="611"/>
      <c r="P26" s="611"/>
      <c r="Q26" s="610"/>
      <c r="R26" s="610"/>
      <c r="S26" s="611" t="s">
        <v>305</v>
      </c>
      <c r="T26" s="611"/>
      <c r="U26" s="610"/>
      <c r="V26" s="610"/>
      <c r="W26" s="769"/>
    </row>
    <row r="27" spans="1:23" x14ac:dyDescent="0.2">
      <c r="A27" s="739">
        <v>43415</v>
      </c>
      <c r="B27" s="740" t="s">
        <v>1520</v>
      </c>
      <c r="C27" s="599"/>
      <c r="D27" s="599"/>
      <c r="E27" s="609"/>
      <c r="F27" s="609"/>
      <c r="G27" s="599"/>
      <c r="H27" s="599"/>
      <c r="I27" s="610"/>
      <c r="J27" s="610"/>
      <c r="K27" s="611"/>
      <c r="L27" s="611"/>
      <c r="M27" s="610"/>
      <c r="N27" s="610"/>
      <c r="O27" s="611"/>
      <c r="P27" s="611"/>
      <c r="Q27" s="610"/>
      <c r="R27" s="610"/>
      <c r="S27" s="611" t="s">
        <v>305</v>
      </c>
      <c r="T27" s="611"/>
      <c r="U27" s="610"/>
      <c r="V27" s="610"/>
      <c r="W27" s="769"/>
    </row>
    <row r="28" spans="1:23" x14ac:dyDescent="0.2">
      <c r="A28" s="739"/>
      <c r="B28" s="610"/>
      <c r="C28" s="599"/>
      <c r="D28" s="599"/>
      <c r="E28" s="609"/>
      <c r="F28" s="609"/>
      <c r="G28" s="599"/>
      <c r="H28" s="599"/>
      <c r="I28" s="610"/>
      <c r="J28" s="610"/>
      <c r="K28" s="611"/>
      <c r="L28" s="611"/>
      <c r="M28" s="610"/>
      <c r="N28" s="610"/>
      <c r="O28" s="611"/>
      <c r="P28" s="611"/>
      <c r="Q28" s="610"/>
      <c r="R28" s="610"/>
      <c r="S28" s="611"/>
      <c r="T28" s="611"/>
      <c r="U28" s="610"/>
      <c r="V28" s="610"/>
      <c r="W28" s="769"/>
    </row>
    <row r="29" spans="1:23" x14ac:dyDescent="0.2">
      <c r="A29" s="739"/>
      <c r="B29" s="729"/>
      <c r="C29" s="599"/>
      <c r="D29" s="599"/>
      <c r="E29" s="609"/>
      <c r="F29" s="609"/>
      <c r="G29" s="599"/>
      <c r="H29" s="599"/>
      <c r="I29" s="610"/>
      <c r="J29" s="610"/>
      <c r="K29" s="611"/>
      <c r="L29" s="611"/>
      <c r="M29" s="610"/>
      <c r="N29" s="610"/>
      <c r="O29" s="611"/>
      <c r="P29" s="611"/>
      <c r="Q29" s="610"/>
      <c r="R29" s="610"/>
      <c r="S29" s="611"/>
      <c r="T29" s="611"/>
      <c r="U29" s="610"/>
      <c r="V29" s="610"/>
      <c r="W29" s="769"/>
    </row>
    <row r="30" spans="1:23" x14ac:dyDescent="0.2">
      <c r="A30" s="739"/>
      <c r="B30" s="729"/>
      <c r="C30" s="599"/>
      <c r="D30" s="599"/>
      <c r="E30" s="609"/>
      <c r="F30" s="609"/>
      <c r="G30" s="599"/>
      <c r="H30" s="599"/>
      <c r="I30" s="610"/>
      <c r="J30" s="610"/>
      <c r="K30" s="611"/>
      <c r="L30" s="611"/>
      <c r="M30" s="610"/>
      <c r="N30" s="610"/>
      <c r="O30" s="611"/>
      <c r="P30" s="611"/>
      <c r="Q30" s="610"/>
      <c r="R30" s="610"/>
      <c r="S30" s="611"/>
      <c r="T30" s="611"/>
      <c r="U30" s="610"/>
      <c r="V30" s="610"/>
      <c r="W30" s="769"/>
    </row>
    <row r="31" spans="1:23" x14ac:dyDescent="0.2">
      <c r="A31" s="739"/>
      <c r="B31" s="729"/>
      <c r="C31" s="599"/>
      <c r="D31" s="599"/>
      <c r="E31" s="609"/>
      <c r="F31" s="609"/>
      <c r="G31" s="599"/>
      <c r="H31" s="599"/>
      <c r="I31" s="610"/>
      <c r="J31" s="610"/>
      <c r="K31" s="611"/>
      <c r="L31" s="611"/>
      <c r="M31" s="610"/>
      <c r="N31" s="610"/>
      <c r="O31" s="611"/>
      <c r="P31" s="611"/>
      <c r="Q31" s="610"/>
      <c r="R31" s="610"/>
      <c r="S31" s="611"/>
      <c r="T31" s="611"/>
      <c r="U31" s="610"/>
      <c r="V31" s="610"/>
      <c r="W31" s="769"/>
    </row>
    <row r="32" spans="1:23" x14ac:dyDescent="0.2">
      <c r="A32" s="739"/>
      <c r="B32" s="729"/>
      <c r="C32" s="599"/>
      <c r="D32" s="599"/>
      <c r="E32" s="609"/>
      <c r="F32" s="609"/>
      <c r="G32" s="599"/>
      <c r="H32" s="599"/>
      <c r="I32" s="610"/>
      <c r="J32" s="610"/>
      <c r="K32" s="611"/>
      <c r="L32" s="611"/>
      <c r="M32" s="610"/>
      <c r="N32" s="610"/>
      <c r="O32" s="611"/>
      <c r="P32" s="611"/>
      <c r="Q32" s="610"/>
      <c r="R32" s="610"/>
      <c r="S32" s="611"/>
      <c r="T32" s="611"/>
      <c r="U32" s="610"/>
      <c r="V32" s="610"/>
      <c r="W32" s="769"/>
    </row>
    <row r="33" spans="1:24" x14ac:dyDescent="0.2">
      <c r="A33" s="739"/>
      <c r="B33" s="729"/>
      <c r="C33" s="599"/>
      <c r="D33" s="599"/>
      <c r="E33" s="609"/>
      <c r="F33" s="609"/>
      <c r="G33" s="599"/>
      <c r="H33" s="599"/>
      <c r="I33" s="610"/>
      <c r="J33" s="610"/>
      <c r="K33" s="611"/>
      <c r="L33" s="611"/>
      <c r="M33" s="610"/>
      <c r="N33" s="610"/>
      <c r="O33" s="611"/>
      <c r="P33" s="611"/>
      <c r="Q33" s="610"/>
      <c r="R33" s="610"/>
      <c r="S33" s="611"/>
      <c r="T33" s="611"/>
      <c r="U33" s="610"/>
      <c r="V33" s="610"/>
      <c r="W33" s="769"/>
    </row>
    <row r="34" spans="1:24" x14ac:dyDescent="0.2">
      <c r="A34" s="739"/>
      <c r="B34" s="610"/>
      <c r="C34" s="599"/>
      <c r="D34" s="599"/>
      <c r="E34" s="609"/>
      <c r="F34" s="609"/>
      <c r="G34" s="599"/>
      <c r="H34" s="599"/>
      <c r="I34" s="610"/>
      <c r="J34" s="610"/>
      <c r="K34" s="611"/>
      <c r="L34" s="611"/>
      <c r="M34" s="610"/>
      <c r="N34" s="610"/>
      <c r="O34" s="611"/>
      <c r="P34" s="611"/>
      <c r="Q34" s="610"/>
      <c r="R34" s="610"/>
      <c r="S34" s="611"/>
      <c r="T34" s="611"/>
      <c r="U34" s="610"/>
      <c r="V34" s="610"/>
      <c r="W34" s="769"/>
    </row>
    <row r="35" spans="1:24" x14ac:dyDescent="0.2">
      <c r="A35" s="739"/>
      <c r="B35" s="610"/>
      <c r="C35" s="599"/>
      <c r="D35" s="599"/>
      <c r="E35" s="609"/>
      <c r="F35" s="609"/>
      <c r="G35" s="599"/>
      <c r="H35" s="599"/>
      <c r="I35" s="610"/>
      <c r="J35" s="610"/>
      <c r="K35" s="611"/>
      <c r="L35" s="611"/>
      <c r="M35" s="610"/>
      <c r="N35" s="610"/>
      <c r="O35" s="611"/>
      <c r="P35" s="611"/>
      <c r="Q35" s="610"/>
      <c r="R35" s="610"/>
      <c r="S35" s="611"/>
      <c r="T35" s="611"/>
      <c r="U35" s="610"/>
      <c r="V35" s="610"/>
      <c r="W35" s="769"/>
    </row>
    <row r="36" spans="1:24" x14ac:dyDescent="0.2">
      <c r="A36" s="739"/>
      <c r="B36" s="610"/>
      <c r="C36" s="599"/>
      <c r="D36" s="599"/>
      <c r="E36" s="609"/>
      <c r="F36" s="609"/>
      <c r="G36" s="599"/>
      <c r="H36" s="599"/>
      <c r="I36" s="610"/>
      <c r="J36" s="610"/>
      <c r="K36" s="611"/>
      <c r="L36" s="611"/>
      <c r="M36" s="610"/>
      <c r="N36" s="610"/>
      <c r="O36" s="611"/>
      <c r="P36" s="611"/>
      <c r="Q36" s="610"/>
      <c r="R36" s="610"/>
      <c r="S36" s="611"/>
      <c r="T36" s="611"/>
      <c r="U36" s="610"/>
      <c r="V36" s="610"/>
      <c r="W36" s="769"/>
    </row>
    <row r="37" spans="1:24" x14ac:dyDescent="0.2">
      <c r="A37" s="741"/>
      <c r="B37" s="610"/>
      <c r="C37" s="599"/>
      <c r="D37" s="599"/>
      <c r="E37" s="609"/>
      <c r="F37" s="609"/>
      <c r="G37" s="599"/>
      <c r="H37" s="599"/>
      <c r="I37" s="610"/>
      <c r="J37" s="610"/>
      <c r="K37" s="611"/>
      <c r="L37" s="611"/>
      <c r="M37" s="610"/>
      <c r="N37" s="610"/>
      <c r="O37" s="611"/>
      <c r="P37" s="611"/>
      <c r="Q37" s="610"/>
      <c r="R37" s="610"/>
      <c r="S37" s="611"/>
      <c r="T37" s="611"/>
      <c r="U37" s="610"/>
      <c r="V37" s="610"/>
      <c r="W37" s="769"/>
    </row>
    <row r="38" spans="1:24" x14ac:dyDescent="0.2">
      <c r="A38" s="741"/>
      <c r="B38" s="610"/>
      <c r="C38" s="599"/>
      <c r="D38" s="599"/>
      <c r="E38" s="609"/>
      <c r="F38" s="609"/>
      <c r="G38" s="599"/>
      <c r="H38" s="599"/>
      <c r="I38" s="610"/>
      <c r="J38" s="610"/>
      <c r="K38" s="611"/>
      <c r="L38" s="611"/>
      <c r="M38" s="610"/>
      <c r="N38" s="610"/>
      <c r="O38" s="611"/>
      <c r="P38" s="611"/>
      <c r="Q38" s="610"/>
      <c r="R38" s="610"/>
      <c r="S38" s="611"/>
      <c r="T38" s="611"/>
      <c r="U38" s="610"/>
      <c r="V38" s="610"/>
      <c r="W38" s="769"/>
    </row>
    <row r="39" spans="1:24" x14ac:dyDescent="0.2">
      <c r="A39" s="741"/>
      <c r="B39" s="610"/>
      <c r="C39" s="599"/>
      <c r="D39" s="599"/>
      <c r="E39" s="609"/>
      <c r="F39" s="609"/>
      <c r="G39" s="599"/>
      <c r="H39" s="599"/>
      <c r="I39" s="610"/>
      <c r="J39" s="610"/>
      <c r="K39" s="611"/>
      <c r="L39" s="611"/>
      <c r="M39" s="610"/>
      <c r="N39" s="610"/>
      <c r="O39" s="611"/>
      <c r="P39" s="611"/>
      <c r="Q39" s="610"/>
      <c r="R39" s="610"/>
      <c r="S39" s="611"/>
      <c r="T39" s="611"/>
      <c r="U39" s="610"/>
      <c r="V39" s="610"/>
      <c r="W39" s="769"/>
    </row>
    <row r="40" spans="1:24" x14ac:dyDescent="0.2">
      <c r="A40" s="741"/>
      <c r="B40" s="610"/>
      <c r="C40" s="599"/>
      <c r="D40" s="599"/>
      <c r="E40" s="609"/>
      <c r="F40" s="609"/>
      <c r="G40" s="599"/>
      <c r="H40" s="599"/>
      <c r="I40" s="610"/>
      <c r="J40" s="610"/>
      <c r="K40" s="611"/>
      <c r="L40" s="611"/>
      <c r="M40" s="610"/>
      <c r="N40" s="610"/>
      <c r="O40" s="611"/>
      <c r="P40" s="611"/>
      <c r="Q40" s="610"/>
      <c r="R40" s="610"/>
      <c r="S40" s="611"/>
      <c r="T40" s="611"/>
      <c r="U40" s="610"/>
      <c r="V40" s="610"/>
      <c r="W40" s="769"/>
    </row>
    <row r="41" spans="1:24" x14ac:dyDescent="0.2">
      <c r="A41" s="741"/>
      <c r="B41" s="610"/>
      <c r="C41" s="599"/>
      <c r="D41" s="599"/>
      <c r="E41" s="609"/>
      <c r="F41" s="609"/>
      <c r="G41" s="599"/>
      <c r="H41" s="599"/>
      <c r="I41" s="610"/>
      <c r="J41" s="610"/>
      <c r="K41" s="611"/>
      <c r="L41" s="611"/>
      <c r="M41" s="610"/>
      <c r="N41" s="610"/>
      <c r="O41" s="611"/>
      <c r="P41" s="611"/>
      <c r="Q41" s="610"/>
      <c r="R41" s="610"/>
      <c r="S41" s="611"/>
      <c r="T41" s="611"/>
      <c r="U41" s="610"/>
      <c r="V41" s="610"/>
      <c r="W41" s="769"/>
    </row>
    <row r="42" spans="1:24" x14ac:dyDescent="0.2">
      <c r="A42" s="741"/>
      <c r="B42" s="610"/>
      <c r="C42" s="599"/>
      <c r="D42" s="599"/>
      <c r="E42" s="609"/>
      <c r="F42" s="609"/>
      <c r="G42" s="599"/>
      <c r="H42" s="599"/>
      <c r="I42" s="610"/>
      <c r="J42" s="610"/>
      <c r="K42" s="611"/>
      <c r="L42" s="611"/>
      <c r="M42" s="610"/>
      <c r="N42" s="610"/>
      <c r="O42" s="611"/>
      <c r="P42" s="611"/>
      <c r="Q42" s="610"/>
      <c r="R42" s="610"/>
      <c r="S42" s="611"/>
      <c r="T42" s="611"/>
      <c r="U42" s="610"/>
      <c r="V42" s="610"/>
      <c r="W42" s="769"/>
    </row>
    <row r="43" spans="1:24" x14ac:dyDescent="0.2">
      <c r="A43" s="741"/>
      <c r="B43" s="610"/>
      <c r="C43" s="599"/>
      <c r="D43" s="599"/>
      <c r="E43" s="609"/>
      <c r="F43" s="609"/>
      <c r="G43" s="599"/>
      <c r="H43" s="599"/>
      <c r="I43" s="610"/>
      <c r="J43" s="610"/>
      <c r="K43" s="611"/>
      <c r="L43" s="611"/>
      <c r="M43" s="610"/>
      <c r="N43" s="610"/>
      <c r="O43" s="611"/>
      <c r="P43" s="611"/>
      <c r="Q43" s="610"/>
      <c r="R43" s="610"/>
      <c r="S43" s="611"/>
      <c r="T43" s="611"/>
      <c r="U43" s="610"/>
      <c r="V43" s="610"/>
      <c r="W43" s="769"/>
    </row>
    <row r="44" spans="1:24" x14ac:dyDescent="0.2">
      <c r="A44" s="741"/>
      <c r="B44" s="610"/>
      <c r="C44" s="599"/>
      <c r="D44" s="599"/>
      <c r="E44" s="609"/>
      <c r="F44" s="609"/>
      <c r="G44" s="599"/>
      <c r="H44" s="599"/>
      <c r="I44" s="610"/>
      <c r="J44" s="610"/>
      <c r="K44" s="611"/>
      <c r="L44" s="611"/>
      <c r="M44" s="610"/>
      <c r="N44" s="610"/>
      <c r="O44" s="611"/>
      <c r="P44" s="611"/>
      <c r="Q44" s="610"/>
      <c r="R44" s="610"/>
      <c r="S44" s="611"/>
      <c r="T44" s="611"/>
      <c r="U44" s="610"/>
      <c r="V44" s="610"/>
      <c r="W44" s="769"/>
    </row>
    <row r="46" spans="1:24" x14ac:dyDescent="0.2">
      <c r="A46" s="613" t="s">
        <v>275</v>
      </c>
      <c r="B46" s="613"/>
      <c r="C46" s="614"/>
      <c r="D46" s="615"/>
      <c r="E46" s="1089" t="s">
        <v>277</v>
      </c>
      <c r="F46" s="1089"/>
      <c r="G46" s="1089"/>
      <c r="H46" s="1089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615"/>
      <c r="V46" s="615"/>
      <c r="W46" s="615"/>
      <c r="X46" s="615"/>
    </row>
    <row r="47" spans="1:24" x14ac:dyDescent="0.2">
      <c r="A47" s="616"/>
      <c r="B47" s="617"/>
      <c r="C47" s="616"/>
      <c r="D47" s="1090" t="s">
        <v>266</v>
      </c>
      <c r="E47" s="1090"/>
      <c r="F47" s="1090" t="s">
        <v>267</v>
      </c>
      <c r="G47" s="1090"/>
      <c r="H47" s="1090" t="s">
        <v>271</v>
      </c>
      <c r="I47" s="1090"/>
      <c r="J47" s="1090" t="s">
        <v>263</v>
      </c>
      <c r="K47" s="1090"/>
      <c r="L47" s="1090" t="s">
        <v>272</v>
      </c>
      <c r="M47" s="1090"/>
      <c r="N47" s="1090" t="s">
        <v>264</v>
      </c>
      <c r="O47" s="1090"/>
      <c r="P47" s="1091" t="s">
        <v>265</v>
      </c>
      <c r="Q47" s="1092"/>
      <c r="R47" s="1091" t="s">
        <v>273</v>
      </c>
      <c r="S47" s="1092"/>
      <c r="T47" s="1091" t="s">
        <v>256</v>
      </c>
      <c r="U47" s="1092"/>
      <c r="V47" s="763" t="s">
        <v>269</v>
      </c>
      <c r="W47" s="764" t="s">
        <v>269</v>
      </c>
      <c r="X47" s="1088" t="s">
        <v>270</v>
      </c>
    </row>
    <row r="48" spans="1:24" x14ac:dyDescent="0.2">
      <c r="A48" s="603" t="s">
        <v>276</v>
      </c>
      <c r="B48" s="604"/>
      <c r="C48" s="603"/>
      <c r="D48" s="618">
        <f t="shared" ref="D48:W48" si="0">SUM(D50:D134)</f>
        <v>67.5</v>
      </c>
      <c r="E48" s="619">
        <f t="shared" si="0"/>
        <v>1.7</v>
      </c>
      <c r="F48" s="1281">
        <f t="shared" si="0"/>
        <v>93</v>
      </c>
      <c r="G48" s="620">
        <f t="shared" si="0"/>
        <v>0</v>
      </c>
      <c r="H48" s="606">
        <f t="shared" si="0"/>
        <v>0</v>
      </c>
      <c r="I48" s="606">
        <f t="shared" si="0"/>
        <v>0</v>
      </c>
      <c r="J48" s="621">
        <f t="shared" si="0"/>
        <v>0</v>
      </c>
      <c r="K48" s="622">
        <f t="shared" si="0"/>
        <v>0</v>
      </c>
      <c r="L48" s="1280">
        <f t="shared" si="0"/>
        <v>73</v>
      </c>
      <c r="M48" s="623">
        <f t="shared" si="0"/>
        <v>0</v>
      </c>
      <c r="N48" s="621">
        <f t="shared" si="0"/>
        <v>0</v>
      </c>
      <c r="O48" s="622">
        <f t="shared" si="0"/>
        <v>0</v>
      </c>
      <c r="P48" s="608">
        <f t="shared" si="0"/>
        <v>0</v>
      </c>
      <c r="Q48" s="608">
        <f t="shared" si="0"/>
        <v>0</v>
      </c>
      <c r="R48" s="621">
        <f t="shared" si="0"/>
        <v>0</v>
      </c>
      <c r="S48" s="622">
        <f t="shared" si="0"/>
        <v>0</v>
      </c>
      <c r="T48" s="1280">
        <f t="shared" si="0"/>
        <v>411</v>
      </c>
      <c r="U48" s="623">
        <f t="shared" si="0"/>
        <v>36</v>
      </c>
      <c r="V48" s="1282">
        <f t="shared" si="0"/>
        <v>69</v>
      </c>
      <c r="W48" s="622">
        <f t="shared" si="0"/>
        <v>1474.1</v>
      </c>
      <c r="X48" s="1088"/>
    </row>
    <row r="49" spans="1:24" ht="36" x14ac:dyDescent="0.2">
      <c r="A49" s="605" t="s">
        <v>249</v>
      </c>
      <c r="B49" s="605" t="s">
        <v>250</v>
      </c>
      <c r="C49" s="605" t="s">
        <v>278</v>
      </c>
      <c r="D49" s="606" t="s">
        <v>8</v>
      </c>
      <c r="E49" s="606" t="s">
        <v>9</v>
      </c>
      <c r="F49" s="603" t="s">
        <v>8</v>
      </c>
      <c r="G49" s="603" t="s">
        <v>9</v>
      </c>
      <c r="H49" s="606" t="s">
        <v>8</v>
      </c>
      <c r="I49" s="606" t="s">
        <v>9</v>
      </c>
      <c r="J49" s="607" t="s">
        <v>8</v>
      </c>
      <c r="K49" s="607" t="s">
        <v>9</v>
      </c>
      <c r="L49" s="608" t="s">
        <v>8</v>
      </c>
      <c r="M49" s="608" t="s">
        <v>9</v>
      </c>
      <c r="N49" s="607" t="s">
        <v>8</v>
      </c>
      <c r="O49" s="607" t="s">
        <v>9</v>
      </c>
      <c r="P49" s="608" t="s">
        <v>8</v>
      </c>
      <c r="Q49" s="608" t="s">
        <v>9</v>
      </c>
      <c r="R49" s="607" t="s">
        <v>8</v>
      </c>
      <c r="S49" s="607" t="s">
        <v>9</v>
      </c>
      <c r="T49" s="608" t="s">
        <v>8</v>
      </c>
      <c r="U49" s="608" t="s">
        <v>9</v>
      </c>
      <c r="V49" s="607" t="s">
        <v>8</v>
      </c>
      <c r="W49" s="607" t="s">
        <v>9</v>
      </c>
      <c r="X49" s="1088"/>
    </row>
    <row r="50" spans="1:24" x14ac:dyDescent="0.2">
      <c r="A50" s="612">
        <v>43188</v>
      </c>
      <c r="B50" s="624" t="s">
        <v>336</v>
      </c>
      <c r="C50" s="624" t="s">
        <v>256</v>
      </c>
      <c r="D50" s="586"/>
      <c r="E50" s="586"/>
      <c r="F50" s="587"/>
      <c r="G50" s="587"/>
      <c r="H50" s="586"/>
      <c r="I50" s="586"/>
      <c r="J50" s="588"/>
      <c r="K50" s="588"/>
      <c r="L50" s="589"/>
      <c r="M50" s="589"/>
      <c r="N50" s="588"/>
      <c r="O50" s="588"/>
      <c r="P50" s="589"/>
      <c r="Q50" s="589"/>
      <c r="R50" s="588"/>
      <c r="S50" s="588"/>
      <c r="T50" s="589">
        <v>0.1</v>
      </c>
      <c r="U50" s="589"/>
      <c r="V50" s="588"/>
      <c r="W50" s="591"/>
      <c r="X50" s="590">
        <f t="shared" ref="X50:X84" si="1">SUM(D50:W50)</f>
        <v>0.1</v>
      </c>
    </row>
    <row r="51" spans="1:24" x14ac:dyDescent="0.2">
      <c r="A51" s="612">
        <v>43245</v>
      </c>
      <c r="B51" s="624" t="s">
        <v>409</v>
      </c>
      <c r="C51" s="624" t="s">
        <v>266</v>
      </c>
      <c r="D51" s="586">
        <v>1</v>
      </c>
      <c r="E51" s="586"/>
      <c r="F51" s="587"/>
      <c r="G51" s="587"/>
      <c r="H51" s="586"/>
      <c r="I51" s="586"/>
      <c r="J51" s="588"/>
      <c r="K51" s="588"/>
      <c r="L51" s="589"/>
      <c r="M51" s="589"/>
      <c r="N51" s="588"/>
      <c r="O51" s="588"/>
      <c r="P51" s="589"/>
      <c r="Q51" s="589"/>
      <c r="R51" s="588"/>
      <c r="S51" s="588"/>
      <c r="T51" s="589"/>
      <c r="U51" s="589"/>
      <c r="V51" s="588"/>
      <c r="W51" s="591"/>
      <c r="X51" s="590">
        <f t="shared" si="1"/>
        <v>1</v>
      </c>
    </row>
    <row r="52" spans="1:24" x14ac:dyDescent="0.2">
      <c r="A52" s="612">
        <v>43259</v>
      </c>
      <c r="B52" s="624" t="s">
        <v>522</v>
      </c>
      <c r="C52" s="624" t="s">
        <v>266</v>
      </c>
      <c r="D52" s="586">
        <v>1</v>
      </c>
      <c r="E52" s="586"/>
      <c r="F52" s="587"/>
      <c r="G52" s="587"/>
      <c r="H52" s="586"/>
      <c r="I52" s="586"/>
      <c r="J52" s="588"/>
      <c r="K52" s="588"/>
      <c r="L52" s="589"/>
      <c r="M52" s="589"/>
      <c r="N52" s="588"/>
      <c r="O52" s="588"/>
      <c r="P52" s="589"/>
      <c r="Q52" s="589"/>
      <c r="R52" s="591"/>
      <c r="S52" s="588"/>
      <c r="T52" s="589"/>
      <c r="U52" s="589"/>
      <c r="V52" s="588"/>
      <c r="W52" s="591"/>
      <c r="X52" s="590">
        <f t="shared" si="1"/>
        <v>1</v>
      </c>
    </row>
    <row r="53" spans="1:24" x14ac:dyDescent="0.2">
      <c r="A53" s="612">
        <v>43265</v>
      </c>
      <c r="B53" s="624" t="s">
        <v>538</v>
      </c>
      <c r="C53" s="624" t="s">
        <v>256</v>
      </c>
      <c r="D53" s="586"/>
      <c r="E53" s="586"/>
      <c r="F53" s="587"/>
      <c r="G53" s="587"/>
      <c r="H53" s="586"/>
      <c r="I53" s="586"/>
      <c r="J53" s="588"/>
      <c r="K53" s="588"/>
      <c r="L53" s="589"/>
      <c r="M53" s="589"/>
      <c r="N53" s="588"/>
      <c r="O53" s="588"/>
      <c r="P53" s="589"/>
      <c r="Q53" s="589"/>
      <c r="R53" s="591"/>
      <c r="S53" s="588"/>
      <c r="T53" s="589">
        <v>1</v>
      </c>
      <c r="U53" s="589"/>
      <c r="V53" s="588"/>
      <c r="W53" s="591"/>
      <c r="X53" s="590">
        <f t="shared" si="1"/>
        <v>1</v>
      </c>
    </row>
    <row r="54" spans="1:24" x14ac:dyDescent="0.2">
      <c r="A54" s="612">
        <v>43271</v>
      </c>
      <c r="B54" s="624" t="s">
        <v>579</v>
      </c>
      <c r="C54" s="624" t="s">
        <v>266</v>
      </c>
      <c r="D54" s="586"/>
      <c r="E54" s="586">
        <v>1.7</v>
      </c>
      <c r="F54" s="587"/>
      <c r="G54" s="587"/>
      <c r="H54" s="586"/>
      <c r="I54" s="586"/>
      <c r="J54" s="588"/>
      <c r="K54" s="588"/>
      <c r="L54" s="589"/>
      <c r="M54" s="589"/>
      <c r="N54" s="588"/>
      <c r="O54" s="588"/>
      <c r="P54" s="589"/>
      <c r="Q54" s="589"/>
      <c r="R54" s="591"/>
      <c r="S54" s="588"/>
      <c r="T54" s="589"/>
      <c r="U54" s="589"/>
      <c r="V54" s="588"/>
      <c r="W54" s="591"/>
      <c r="X54" s="590">
        <f t="shared" si="1"/>
        <v>1.7</v>
      </c>
    </row>
    <row r="55" spans="1:24" x14ac:dyDescent="0.2">
      <c r="A55" s="612">
        <v>43281</v>
      </c>
      <c r="B55" s="624" t="s">
        <v>620</v>
      </c>
      <c r="C55" s="624" t="s">
        <v>256</v>
      </c>
      <c r="D55" s="586"/>
      <c r="E55" s="586"/>
      <c r="F55" s="587"/>
      <c r="G55" s="587"/>
      <c r="H55" s="586"/>
      <c r="I55" s="586"/>
      <c r="J55" s="588"/>
      <c r="K55" s="588"/>
      <c r="L55" s="589"/>
      <c r="M55" s="589"/>
      <c r="N55" s="588"/>
      <c r="O55" s="588"/>
      <c r="P55" s="589"/>
      <c r="Q55" s="589"/>
      <c r="R55" s="591"/>
      <c r="S55" s="588"/>
      <c r="T55" s="589">
        <v>19</v>
      </c>
      <c r="U55" s="589"/>
      <c r="V55" s="588"/>
      <c r="W55" s="591"/>
      <c r="X55" s="590">
        <f t="shared" si="1"/>
        <v>19</v>
      </c>
    </row>
    <row r="56" spans="1:24" x14ac:dyDescent="0.2">
      <c r="A56" s="612">
        <v>43281</v>
      </c>
      <c r="B56" s="624" t="s">
        <v>632</v>
      </c>
      <c r="C56" s="624" t="s">
        <v>256</v>
      </c>
      <c r="D56" s="586"/>
      <c r="E56" s="586"/>
      <c r="F56" s="587"/>
      <c r="G56" s="587"/>
      <c r="H56" s="586"/>
      <c r="I56" s="586"/>
      <c r="J56" s="588"/>
      <c r="K56" s="588"/>
      <c r="L56" s="589"/>
      <c r="M56" s="589"/>
      <c r="N56" s="588"/>
      <c r="O56" s="588"/>
      <c r="P56" s="589"/>
      <c r="Q56" s="589"/>
      <c r="R56" s="588"/>
      <c r="S56" s="588"/>
      <c r="T56" s="589">
        <v>0.1</v>
      </c>
      <c r="U56" s="589"/>
      <c r="V56" s="588"/>
      <c r="W56" s="591"/>
      <c r="X56" s="590">
        <f t="shared" si="1"/>
        <v>0.1</v>
      </c>
    </row>
    <row r="57" spans="1:24" x14ac:dyDescent="0.2">
      <c r="A57" s="612">
        <v>43283</v>
      </c>
      <c r="B57" s="624" t="s">
        <v>658</v>
      </c>
      <c r="C57" s="624" t="s">
        <v>267</v>
      </c>
      <c r="D57" s="586"/>
      <c r="E57" s="586"/>
      <c r="F57" s="587">
        <v>93</v>
      </c>
      <c r="G57" s="587"/>
      <c r="H57" s="586"/>
      <c r="I57" s="586"/>
      <c r="J57" s="588"/>
      <c r="K57" s="588"/>
      <c r="L57" s="589"/>
      <c r="M57" s="589"/>
      <c r="N57" s="588"/>
      <c r="O57" s="588"/>
      <c r="P57" s="589"/>
      <c r="Q57" s="589"/>
      <c r="R57" s="588"/>
      <c r="S57" s="588"/>
      <c r="T57" s="589"/>
      <c r="U57" s="589"/>
      <c r="V57" s="588"/>
      <c r="W57" s="591"/>
      <c r="X57" s="590">
        <f t="shared" si="1"/>
        <v>93</v>
      </c>
    </row>
    <row r="58" spans="1:24" x14ac:dyDescent="0.2">
      <c r="A58" s="612">
        <v>43285</v>
      </c>
      <c r="B58" s="624" t="s">
        <v>662</v>
      </c>
      <c r="C58" s="624" t="s">
        <v>269</v>
      </c>
      <c r="D58" s="586"/>
      <c r="E58" s="586"/>
      <c r="F58" s="587"/>
      <c r="G58" s="587"/>
      <c r="H58" s="586"/>
      <c r="I58" s="586"/>
      <c r="J58" s="588"/>
      <c r="K58" s="588"/>
      <c r="L58" s="589"/>
      <c r="M58" s="589"/>
      <c r="N58" s="588"/>
      <c r="O58" s="588"/>
      <c r="P58" s="589"/>
      <c r="Q58" s="589"/>
      <c r="R58" s="588"/>
      <c r="S58" s="588"/>
      <c r="T58" s="589"/>
      <c r="U58" s="589"/>
      <c r="V58" s="588">
        <v>6</v>
      </c>
      <c r="W58" s="591"/>
      <c r="X58" s="590">
        <f t="shared" si="1"/>
        <v>6</v>
      </c>
    </row>
    <row r="59" spans="1:24" x14ac:dyDescent="0.2">
      <c r="A59" s="612">
        <v>43285</v>
      </c>
      <c r="B59" s="624" t="s">
        <v>673</v>
      </c>
      <c r="C59" s="624" t="s">
        <v>256</v>
      </c>
      <c r="D59" s="586"/>
      <c r="E59" s="586"/>
      <c r="F59" s="587"/>
      <c r="G59" s="587"/>
      <c r="H59" s="586"/>
      <c r="I59" s="586"/>
      <c r="J59" s="588"/>
      <c r="K59" s="588"/>
      <c r="L59" s="589"/>
      <c r="M59" s="589"/>
      <c r="N59" s="588"/>
      <c r="O59" s="588"/>
      <c r="P59" s="589"/>
      <c r="Q59" s="589"/>
      <c r="R59" s="588"/>
      <c r="S59" s="588"/>
      <c r="T59" s="589">
        <v>151</v>
      </c>
      <c r="U59" s="589"/>
      <c r="V59" s="588"/>
      <c r="W59" s="591"/>
      <c r="X59" s="590">
        <f t="shared" si="1"/>
        <v>151</v>
      </c>
    </row>
    <row r="60" spans="1:24" x14ac:dyDescent="0.2">
      <c r="A60" s="612">
        <v>43288</v>
      </c>
      <c r="B60" s="624" t="s">
        <v>706</v>
      </c>
      <c r="C60" s="624" t="s">
        <v>266</v>
      </c>
      <c r="D60" s="592">
        <v>3.2</v>
      </c>
      <c r="E60" s="592"/>
      <c r="F60" s="593"/>
      <c r="G60" s="593"/>
      <c r="H60" s="592"/>
      <c r="I60" s="592"/>
      <c r="J60" s="594"/>
      <c r="K60" s="594"/>
      <c r="L60" s="595"/>
      <c r="M60" s="595"/>
      <c r="N60" s="594"/>
      <c r="O60" s="594"/>
      <c r="P60" s="595"/>
      <c r="Q60" s="595"/>
      <c r="R60" s="594"/>
      <c r="S60" s="594"/>
      <c r="T60" s="595"/>
      <c r="U60" s="595"/>
      <c r="V60" s="594"/>
      <c r="W60" s="594"/>
      <c r="X60" s="590">
        <f t="shared" si="1"/>
        <v>3.2</v>
      </c>
    </row>
    <row r="61" spans="1:24" x14ac:dyDescent="0.2">
      <c r="A61" s="612">
        <v>43291</v>
      </c>
      <c r="B61" s="624" t="s">
        <v>725</v>
      </c>
      <c r="C61" s="624" t="s">
        <v>256</v>
      </c>
      <c r="D61" s="592"/>
      <c r="E61" s="592"/>
      <c r="F61" s="593"/>
      <c r="G61" s="593"/>
      <c r="H61" s="592"/>
      <c r="I61" s="592"/>
      <c r="J61" s="594"/>
      <c r="K61" s="594"/>
      <c r="L61" s="595"/>
      <c r="M61" s="595"/>
      <c r="N61" s="594"/>
      <c r="O61" s="594"/>
      <c r="P61" s="595"/>
      <c r="Q61" s="595"/>
      <c r="R61" s="594"/>
      <c r="S61" s="594"/>
      <c r="T61" s="595">
        <v>1.7</v>
      </c>
      <c r="U61" s="595"/>
      <c r="V61" s="594"/>
      <c r="W61" s="594"/>
      <c r="X61" s="590">
        <f t="shared" si="1"/>
        <v>1.7</v>
      </c>
    </row>
    <row r="62" spans="1:24" x14ac:dyDescent="0.2">
      <c r="A62" s="612">
        <v>43295</v>
      </c>
      <c r="B62" s="624" t="s">
        <v>1106</v>
      </c>
      <c r="C62" s="624" t="s">
        <v>256</v>
      </c>
      <c r="D62" s="592"/>
      <c r="E62" s="592"/>
      <c r="F62" s="593"/>
      <c r="G62" s="593"/>
      <c r="H62" s="592"/>
      <c r="I62" s="592"/>
      <c r="J62" s="594"/>
      <c r="K62" s="594"/>
      <c r="L62" s="595"/>
      <c r="M62" s="595"/>
      <c r="N62" s="594"/>
      <c r="O62" s="594"/>
      <c r="P62" s="595"/>
      <c r="Q62" s="595"/>
      <c r="R62" s="594"/>
      <c r="S62" s="594"/>
      <c r="T62" s="595">
        <v>11</v>
      </c>
      <c r="U62" s="595"/>
      <c r="V62" s="594"/>
      <c r="W62" s="594"/>
      <c r="X62" s="590">
        <f t="shared" si="1"/>
        <v>11</v>
      </c>
    </row>
    <row r="63" spans="1:24" x14ac:dyDescent="0.2">
      <c r="A63" s="612">
        <v>43297</v>
      </c>
      <c r="B63" s="624" t="s">
        <v>783</v>
      </c>
      <c r="C63" s="624" t="s">
        <v>269</v>
      </c>
      <c r="D63" s="592"/>
      <c r="E63" s="592"/>
      <c r="F63" s="593"/>
      <c r="G63" s="593"/>
      <c r="H63" s="592"/>
      <c r="I63" s="589"/>
      <c r="J63" s="594"/>
      <c r="K63" s="594"/>
      <c r="L63" s="595"/>
      <c r="M63" s="595"/>
      <c r="N63" s="594"/>
      <c r="O63" s="594"/>
      <c r="P63" s="595"/>
      <c r="Q63" s="595"/>
      <c r="R63" s="594"/>
      <c r="S63" s="594"/>
      <c r="T63" s="595"/>
      <c r="U63" s="595"/>
      <c r="V63" s="594"/>
      <c r="W63" s="594">
        <v>186</v>
      </c>
      <c r="X63" s="590">
        <f t="shared" si="1"/>
        <v>186</v>
      </c>
    </row>
    <row r="64" spans="1:24" x14ac:dyDescent="0.2">
      <c r="A64" s="612">
        <v>43297</v>
      </c>
      <c r="B64" s="624" t="s">
        <v>793</v>
      </c>
      <c r="C64" s="624" t="s">
        <v>256</v>
      </c>
      <c r="D64" s="592"/>
      <c r="E64" s="592"/>
      <c r="F64" s="593"/>
      <c r="G64" s="593"/>
      <c r="H64" s="592"/>
      <c r="I64" s="592"/>
      <c r="J64" s="594"/>
      <c r="K64" s="594"/>
      <c r="L64" s="595"/>
      <c r="M64" s="595"/>
      <c r="N64" s="594"/>
      <c r="O64" s="594"/>
      <c r="P64" s="595"/>
      <c r="Q64" s="595"/>
      <c r="R64" s="594"/>
      <c r="S64" s="594"/>
      <c r="T64" s="595"/>
      <c r="U64" s="595">
        <v>36</v>
      </c>
      <c r="V64" s="594"/>
      <c r="W64" s="594"/>
      <c r="X64" s="590">
        <f t="shared" si="1"/>
        <v>36</v>
      </c>
    </row>
    <row r="65" spans="1:24" x14ac:dyDescent="0.2">
      <c r="A65" s="612">
        <v>43299</v>
      </c>
      <c r="B65" s="624" t="s">
        <v>816</v>
      </c>
      <c r="C65" s="624" t="s">
        <v>256</v>
      </c>
      <c r="D65" s="586"/>
      <c r="E65" s="586"/>
      <c r="F65" s="587"/>
      <c r="G65" s="587"/>
      <c r="H65" s="586"/>
      <c r="I65" s="586"/>
      <c r="J65" s="588"/>
      <c r="K65" s="588"/>
      <c r="L65" s="589"/>
      <c r="M65" s="589"/>
      <c r="N65" s="596"/>
      <c r="O65" s="588"/>
      <c r="P65" s="589"/>
      <c r="Q65" s="589"/>
      <c r="R65" s="588"/>
      <c r="S65" s="588"/>
      <c r="T65" s="589">
        <v>168</v>
      </c>
      <c r="U65" s="589"/>
      <c r="V65" s="588"/>
      <c r="W65" s="588"/>
      <c r="X65" s="590">
        <f t="shared" si="1"/>
        <v>168</v>
      </c>
    </row>
    <row r="66" spans="1:24" x14ac:dyDescent="0.2">
      <c r="A66" s="612">
        <v>43303</v>
      </c>
      <c r="B66" s="624" t="s">
        <v>867</v>
      </c>
      <c r="C66" s="624" t="s">
        <v>266</v>
      </c>
      <c r="D66" s="586">
        <v>25</v>
      </c>
      <c r="E66" s="586"/>
      <c r="F66" s="587"/>
      <c r="G66" s="587"/>
      <c r="H66" s="586"/>
      <c r="I66" s="586"/>
      <c r="J66" s="588"/>
      <c r="K66" s="588"/>
      <c r="L66" s="589"/>
      <c r="M66" s="589"/>
      <c r="N66" s="596"/>
      <c r="O66" s="588"/>
      <c r="P66" s="589"/>
      <c r="Q66" s="589"/>
      <c r="R66" s="591"/>
      <c r="S66" s="588"/>
      <c r="T66" s="589"/>
      <c r="U66" s="589"/>
      <c r="V66" s="588"/>
      <c r="W66" s="588"/>
      <c r="X66" s="590">
        <f t="shared" si="1"/>
        <v>25</v>
      </c>
    </row>
    <row r="67" spans="1:24" x14ac:dyDescent="0.2">
      <c r="A67" s="612">
        <v>43305</v>
      </c>
      <c r="B67" s="624" t="s">
        <v>1216</v>
      </c>
      <c r="C67" s="624" t="s">
        <v>266</v>
      </c>
      <c r="D67" s="586">
        <v>0.2</v>
      </c>
      <c r="E67" s="586"/>
      <c r="F67" s="587"/>
      <c r="G67" s="587"/>
      <c r="H67" s="586"/>
      <c r="I67" s="586"/>
      <c r="J67" s="588"/>
      <c r="K67" s="588"/>
      <c r="L67" s="589"/>
      <c r="M67" s="597"/>
      <c r="N67" s="588"/>
      <c r="O67" s="588"/>
      <c r="P67" s="589"/>
      <c r="Q67" s="589"/>
      <c r="R67" s="596"/>
      <c r="S67" s="588"/>
      <c r="T67" s="589"/>
      <c r="U67" s="589"/>
      <c r="V67" s="588"/>
      <c r="W67" s="588"/>
      <c r="X67" s="590">
        <f t="shared" si="1"/>
        <v>0.2</v>
      </c>
    </row>
    <row r="68" spans="1:24" x14ac:dyDescent="0.2">
      <c r="A68" s="612">
        <v>43305</v>
      </c>
      <c r="B68" s="624" t="s">
        <v>881</v>
      </c>
      <c r="C68" s="624" t="s">
        <v>269</v>
      </c>
      <c r="D68" s="586"/>
      <c r="E68" s="586"/>
      <c r="F68" s="587"/>
      <c r="G68" s="587"/>
      <c r="H68" s="586"/>
      <c r="I68" s="586"/>
      <c r="J68" s="588"/>
      <c r="K68" s="588"/>
      <c r="L68" s="589"/>
      <c r="M68" s="589"/>
      <c r="N68" s="588"/>
      <c r="O68" s="588"/>
      <c r="P68" s="589"/>
      <c r="Q68" s="589"/>
      <c r="R68" s="588"/>
      <c r="S68" s="588"/>
      <c r="T68" s="589"/>
      <c r="U68" s="589"/>
      <c r="V68" s="588"/>
      <c r="W68" s="588">
        <v>25</v>
      </c>
      <c r="X68" s="590">
        <f t="shared" si="1"/>
        <v>25</v>
      </c>
    </row>
    <row r="69" spans="1:24" x14ac:dyDescent="0.2">
      <c r="A69" s="612">
        <v>43305</v>
      </c>
      <c r="B69" s="624" t="s">
        <v>882</v>
      </c>
      <c r="C69" s="624" t="s">
        <v>269</v>
      </c>
      <c r="D69" s="586"/>
      <c r="E69" s="586"/>
      <c r="F69" s="587"/>
      <c r="G69" s="587"/>
      <c r="H69" s="586"/>
      <c r="I69" s="586"/>
      <c r="J69" s="588"/>
      <c r="K69" s="588"/>
      <c r="L69" s="589"/>
      <c r="M69" s="589"/>
      <c r="N69" s="588"/>
      <c r="O69" s="588"/>
      <c r="P69" s="589"/>
      <c r="Q69" s="589"/>
      <c r="R69" s="588"/>
      <c r="S69" s="588"/>
      <c r="T69" s="589"/>
      <c r="U69" s="589"/>
      <c r="V69" s="588"/>
      <c r="W69" s="588">
        <v>0.1</v>
      </c>
      <c r="X69" s="590">
        <f t="shared" si="1"/>
        <v>0.1</v>
      </c>
    </row>
    <row r="70" spans="1:24" x14ac:dyDescent="0.2">
      <c r="A70" s="612">
        <v>43305</v>
      </c>
      <c r="B70" s="624" t="s">
        <v>883</v>
      </c>
      <c r="C70" s="624" t="s">
        <v>269</v>
      </c>
      <c r="D70" s="586"/>
      <c r="E70" s="586"/>
      <c r="F70" s="587"/>
      <c r="G70" s="587"/>
      <c r="H70" s="586"/>
      <c r="I70" s="586"/>
      <c r="J70" s="588"/>
      <c r="K70" s="588"/>
      <c r="L70" s="589"/>
      <c r="M70" s="589"/>
      <c r="N70" s="588"/>
      <c r="O70" s="588"/>
      <c r="P70" s="589"/>
      <c r="Q70" s="589"/>
      <c r="R70" s="588"/>
      <c r="S70" s="596"/>
      <c r="T70" s="589"/>
      <c r="U70" s="589"/>
      <c r="V70" s="588"/>
      <c r="W70" s="588">
        <v>1205</v>
      </c>
      <c r="X70" s="590">
        <f t="shared" si="1"/>
        <v>1205</v>
      </c>
    </row>
    <row r="71" spans="1:24" x14ac:dyDescent="0.2">
      <c r="A71" s="612">
        <v>43305</v>
      </c>
      <c r="B71" s="624" t="s">
        <v>888</v>
      </c>
      <c r="C71" s="624" t="s">
        <v>269</v>
      </c>
      <c r="D71" s="586"/>
      <c r="E71" s="586"/>
      <c r="F71" s="587"/>
      <c r="G71" s="587"/>
      <c r="H71" s="586"/>
      <c r="I71" s="586"/>
      <c r="J71" s="588"/>
      <c r="K71" s="588"/>
      <c r="L71" s="589"/>
      <c r="M71" s="589"/>
      <c r="N71" s="588"/>
      <c r="O71" s="588"/>
      <c r="P71" s="589"/>
      <c r="Q71" s="589"/>
      <c r="R71" s="588"/>
      <c r="S71" s="596"/>
      <c r="T71" s="589"/>
      <c r="U71" s="589"/>
      <c r="V71" s="588"/>
      <c r="W71" s="588">
        <v>58</v>
      </c>
      <c r="X71" s="590">
        <f t="shared" si="1"/>
        <v>58</v>
      </c>
    </row>
    <row r="72" spans="1:24" x14ac:dyDescent="0.2">
      <c r="A72" s="612">
        <v>43318</v>
      </c>
      <c r="B72" s="624" t="s">
        <v>1001</v>
      </c>
      <c r="C72" s="624" t="s">
        <v>266</v>
      </c>
      <c r="D72" s="586">
        <v>10</v>
      </c>
      <c r="E72" s="586"/>
      <c r="F72" s="587"/>
      <c r="G72" s="587"/>
      <c r="H72" s="586"/>
      <c r="I72" s="598"/>
      <c r="J72" s="588"/>
      <c r="K72" s="588"/>
      <c r="L72" s="589"/>
      <c r="M72" s="589"/>
      <c r="N72" s="588"/>
      <c r="O72" s="588"/>
      <c r="P72" s="589"/>
      <c r="Q72" s="589"/>
      <c r="R72" s="588"/>
      <c r="S72" s="596"/>
      <c r="T72" s="589"/>
      <c r="U72" s="589"/>
      <c r="V72" s="588"/>
      <c r="W72" s="588"/>
      <c r="X72" s="590">
        <f t="shared" si="1"/>
        <v>10</v>
      </c>
    </row>
    <row r="73" spans="1:24" x14ac:dyDescent="0.2">
      <c r="A73" s="612">
        <v>43325</v>
      </c>
      <c r="B73" s="624" t="s">
        <v>1050</v>
      </c>
      <c r="C73" s="624" t="s">
        <v>266</v>
      </c>
      <c r="D73" s="586">
        <v>2</v>
      </c>
      <c r="E73" s="586"/>
      <c r="F73" s="587"/>
      <c r="G73" s="587"/>
      <c r="H73" s="586"/>
      <c r="I73" s="598"/>
      <c r="J73" s="588"/>
      <c r="K73" s="588"/>
      <c r="L73" s="589"/>
      <c r="M73" s="589"/>
      <c r="N73" s="588"/>
      <c r="O73" s="588"/>
      <c r="P73" s="589"/>
      <c r="Q73" s="589"/>
      <c r="R73" s="588"/>
      <c r="S73" s="596"/>
      <c r="T73" s="589"/>
      <c r="U73" s="589"/>
      <c r="V73" s="588"/>
      <c r="W73" s="588"/>
      <c r="X73" s="590">
        <f t="shared" si="1"/>
        <v>2</v>
      </c>
    </row>
    <row r="74" spans="1:24" x14ac:dyDescent="0.2">
      <c r="A74" s="612">
        <v>43327</v>
      </c>
      <c r="B74" s="624" t="s">
        <v>1057</v>
      </c>
      <c r="C74" s="624" t="s">
        <v>256</v>
      </c>
      <c r="D74" s="586"/>
      <c r="E74" s="586"/>
      <c r="F74" s="587"/>
      <c r="G74" s="587"/>
      <c r="H74" s="586"/>
      <c r="I74" s="586"/>
      <c r="J74" s="588"/>
      <c r="K74" s="588"/>
      <c r="L74" s="589"/>
      <c r="M74" s="589"/>
      <c r="N74" s="588"/>
      <c r="O74" s="588"/>
      <c r="P74" s="589"/>
      <c r="Q74" s="589"/>
      <c r="R74" s="591"/>
      <c r="S74" s="588"/>
      <c r="T74" s="589">
        <v>12</v>
      </c>
      <c r="U74" s="589"/>
      <c r="V74" s="588"/>
      <c r="W74" s="588"/>
      <c r="X74" s="590">
        <f t="shared" si="1"/>
        <v>12</v>
      </c>
    </row>
    <row r="75" spans="1:24" x14ac:dyDescent="0.2">
      <c r="A75" s="739">
        <v>43328</v>
      </c>
      <c r="B75" s="610" t="s">
        <v>1062</v>
      </c>
      <c r="C75" s="610" t="s">
        <v>256</v>
      </c>
      <c r="D75" s="586"/>
      <c r="E75" s="586"/>
      <c r="F75" s="587"/>
      <c r="G75" s="587"/>
      <c r="H75" s="586"/>
      <c r="I75" s="586"/>
      <c r="J75" s="588"/>
      <c r="K75" s="588"/>
      <c r="L75" s="589"/>
      <c r="M75" s="589"/>
      <c r="N75" s="588"/>
      <c r="O75" s="588"/>
      <c r="P75" s="589"/>
      <c r="Q75" s="589"/>
      <c r="R75" s="591"/>
      <c r="S75" s="588"/>
      <c r="T75" s="589">
        <v>1</v>
      </c>
      <c r="U75" s="589"/>
      <c r="V75" s="588"/>
      <c r="W75" s="588"/>
      <c r="X75" s="590">
        <f t="shared" si="1"/>
        <v>1</v>
      </c>
    </row>
    <row r="76" spans="1:24" x14ac:dyDescent="0.2">
      <c r="A76" s="739">
        <v>43341</v>
      </c>
      <c r="B76" s="610" t="s">
        <v>1204</v>
      </c>
      <c r="C76" s="610" t="s">
        <v>266</v>
      </c>
      <c r="D76" s="586">
        <v>1</v>
      </c>
      <c r="E76" s="586"/>
      <c r="F76" s="587"/>
      <c r="G76" s="587"/>
      <c r="H76" s="586"/>
      <c r="I76" s="586"/>
      <c r="J76" s="588"/>
      <c r="K76" s="588"/>
      <c r="L76" s="589"/>
      <c r="M76" s="589"/>
      <c r="N76" s="588"/>
      <c r="O76" s="588"/>
      <c r="P76" s="589"/>
      <c r="Q76" s="589"/>
      <c r="R76" s="591"/>
      <c r="S76" s="588"/>
      <c r="T76" s="589"/>
      <c r="U76" s="589"/>
      <c r="V76" s="588"/>
      <c r="W76" s="588"/>
      <c r="X76" s="590">
        <f t="shared" si="1"/>
        <v>1</v>
      </c>
    </row>
    <row r="77" spans="1:24" x14ac:dyDescent="0.2">
      <c r="A77" s="739">
        <v>43346</v>
      </c>
      <c r="B77" s="610" t="s">
        <v>1233</v>
      </c>
      <c r="C77" s="610" t="s">
        <v>266</v>
      </c>
      <c r="D77" s="586">
        <v>0.1</v>
      </c>
      <c r="E77" s="586"/>
      <c r="F77" s="587"/>
      <c r="G77" s="587"/>
      <c r="H77" s="586"/>
      <c r="I77" s="586"/>
      <c r="J77" s="588"/>
      <c r="K77" s="588"/>
      <c r="L77" s="589"/>
      <c r="M77" s="589"/>
      <c r="N77" s="588"/>
      <c r="O77" s="588"/>
      <c r="P77" s="589"/>
      <c r="Q77" s="589"/>
      <c r="R77" s="591"/>
      <c r="S77" s="588"/>
      <c r="T77" s="589"/>
      <c r="U77" s="589"/>
      <c r="V77" s="588"/>
      <c r="W77" s="588"/>
      <c r="X77" s="590">
        <f t="shared" si="1"/>
        <v>0.1</v>
      </c>
    </row>
    <row r="78" spans="1:24" x14ac:dyDescent="0.2">
      <c r="A78" s="739">
        <v>43355</v>
      </c>
      <c r="B78" s="610" t="s">
        <v>1288</v>
      </c>
      <c r="C78" s="610" t="s">
        <v>269</v>
      </c>
      <c r="D78" s="586"/>
      <c r="E78" s="586"/>
      <c r="F78" s="587"/>
      <c r="G78" s="587"/>
      <c r="H78" s="586"/>
      <c r="I78" s="586"/>
      <c r="J78" s="588"/>
      <c r="K78" s="588"/>
      <c r="L78" s="589"/>
      <c r="M78" s="589"/>
      <c r="N78" s="596"/>
      <c r="O78" s="588"/>
      <c r="P78" s="589"/>
      <c r="Q78" s="589"/>
      <c r="R78" s="591"/>
      <c r="S78" s="588"/>
      <c r="T78" s="589"/>
      <c r="U78" s="589"/>
      <c r="V78" s="588">
        <v>3</v>
      </c>
      <c r="W78" s="588"/>
      <c r="X78" s="590">
        <f t="shared" si="1"/>
        <v>3</v>
      </c>
    </row>
    <row r="79" spans="1:24" x14ac:dyDescent="0.2">
      <c r="A79" s="739">
        <v>43360</v>
      </c>
      <c r="B79" s="610" t="s">
        <v>1323</v>
      </c>
      <c r="C79" s="610" t="s">
        <v>269</v>
      </c>
      <c r="D79" s="586"/>
      <c r="E79" s="586"/>
      <c r="F79" s="587"/>
      <c r="G79" s="587"/>
      <c r="H79" s="586"/>
      <c r="I79" s="586"/>
      <c r="J79" s="588"/>
      <c r="K79" s="588"/>
      <c r="L79" s="589"/>
      <c r="M79" s="589"/>
      <c r="N79" s="588"/>
      <c r="O79" s="596"/>
      <c r="P79" s="589"/>
      <c r="Q79" s="589"/>
      <c r="R79" s="591"/>
      <c r="S79" s="588"/>
      <c r="T79" s="589"/>
      <c r="U79" s="589"/>
      <c r="V79" s="588">
        <v>60</v>
      </c>
      <c r="W79" s="588"/>
      <c r="X79" s="590">
        <f t="shared" si="1"/>
        <v>60</v>
      </c>
    </row>
    <row r="80" spans="1:24" x14ac:dyDescent="0.2">
      <c r="A80" s="739">
        <v>43364</v>
      </c>
      <c r="B80" s="610" t="s">
        <v>1336</v>
      </c>
      <c r="C80" s="610" t="s">
        <v>266</v>
      </c>
      <c r="D80" s="586">
        <v>24</v>
      </c>
      <c r="E80" s="586"/>
      <c r="F80" s="587"/>
      <c r="G80" s="587"/>
      <c r="H80" s="586"/>
      <c r="I80" s="586"/>
      <c r="J80" s="588"/>
      <c r="K80" s="588"/>
      <c r="L80" s="589"/>
      <c r="M80" s="589"/>
      <c r="N80" s="588"/>
      <c r="O80" s="588"/>
      <c r="P80" s="597"/>
      <c r="Q80" s="589"/>
      <c r="R80" s="588"/>
      <c r="S80" s="588"/>
      <c r="T80" s="589"/>
      <c r="U80" s="589"/>
      <c r="V80" s="588"/>
      <c r="W80" s="588"/>
      <c r="X80" s="590">
        <f t="shared" si="1"/>
        <v>24</v>
      </c>
    </row>
    <row r="81" spans="1:24" x14ac:dyDescent="0.2">
      <c r="A81" s="739">
        <v>43370</v>
      </c>
      <c r="B81" s="740" t="s">
        <v>1380</v>
      </c>
      <c r="C81" s="610" t="s">
        <v>256</v>
      </c>
      <c r="D81" s="586"/>
      <c r="E81" s="586"/>
      <c r="F81" s="587"/>
      <c r="G81" s="587"/>
      <c r="H81" s="598"/>
      <c r="I81" s="586"/>
      <c r="J81" s="588"/>
      <c r="K81" s="588"/>
      <c r="L81" s="589"/>
      <c r="M81" s="589"/>
      <c r="N81" s="588"/>
      <c r="O81" s="588"/>
      <c r="P81" s="589"/>
      <c r="Q81" s="589"/>
      <c r="R81" s="588"/>
      <c r="S81" s="588"/>
      <c r="T81" s="589">
        <v>0.1</v>
      </c>
      <c r="U81" s="589"/>
      <c r="V81" s="588"/>
      <c r="W81" s="588"/>
      <c r="X81" s="590">
        <f t="shared" si="1"/>
        <v>0.1</v>
      </c>
    </row>
    <row r="82" spans="1:24" x14ac:dyDescent="0.2">
      <c r="A82" s="739"/>
      <c r="B82" s="740" t="s">
        <v>1381</v>
      </c>
      <c r="C82" s="610" t="s">
        <v>272</v>
      </c>
      <c r="D82" s="586"/>
      <c r="E82" s="586"/>
      <c r="F82" s="587"/>
      <c r="G82" s="587"/>
      <c r="H82" s="598"/>
      <c r="I82" s="586"/>
      <c r="J82" s="588"/>
      <c r="K82" s="588"/>
      <c r="L82" s="589">
        <v>73</v>
      </c>
      <c r="M82" s="589"/>
      <c r="N82" s="588"/>
      <c r="O82" s="588"/>
      <c r="P82" s="589"/>
      <c r="Q82" s="589"/>
      <c r="R82" s="588"/>
      <c r="S82" s="588"/>
      <c r="T82" s="589"/>
      <c r="U82" s="589"/>
      <c r="V82" s="588"/>
      <c r="W82" s="588"/>
      <c r="X82" s="590">
        <f t="shared" si="1"/>
        <v>73</v>
      </c>
    </row>
    <row r="83" spans="1:24" x14ac:dyDescent="0.2">
      <c r="A83" s="739"/>
      <c r="B83" s="740" t="s">
        <v>1520</v>
      </c>
      <c r="C83" s="610"/>
      <c r="D83" s="586"/>
      <c r="E83" s="586"/>
      <c r="F83" s="587"/>
      <c r="G83" s="587"/>
      <c r="H83" s="598"/>
      <c r="I83" s="586"/>
      <c r="J83" s="588"/>
      <c r="K83" s="588"/>
      <c r="L83" s="589"/>
      <c r="M83" s="589"/>
      <c r="N83" s="588"/>
      <c r="O83" s="588"/>
      <c r="P83" s="589"/>
      <c r="Q83" s="589"/>
      <c r="R83" s="588"/>
      <c r="S83" s="588"/>
      <c r="T83" s="589">
        <v>46</v>
      </c>
      <c r="U83" s="589"/>
      <c r="V83" s="588"/>
      <c r="W83" s="588"/>
      <c r="X83" s="590">
        <f t="shared" si="1"/>
        <v>46</v>
      </c>
    </row>
    <row r="84" spans="1:24" x14ac:dyDescent="0.2">
      <c r="A84" s="739"/>
      <c r="B84" s="740"/>
      <c r="C84" s="610"/>
      <c r="D84" s="586"/>
      <c r="E84" s="586"/>
      <c r="F84" s="587"/>
      <c r="G84" s="587"/>
      <c r="H84" s="586"/>
      <c r="I84" s="586"/>
      <c r="J84" s="588"/>
      <c r="K84" s="588"/>
      <c r="L84" s="589"/>
      <c r="M84" s="589"/>
      <c r="N84" s="588"/>
      <c r="O84" s="596"/>
      <c r="P84" s="589"/>
      <c r="Q84" s="589"/>
      <c r="R84" s="588"/>
      <c r="S84" s="588"/>
      <c r="T84" s="589"/>
      <c r="U84" s="589"/>
      <c r="V84" s="588"/>
      <c r="W84" s="588"/>
      <c r="X84" s="590">
        <f t="shared" si="1"/>
        <v>0</v>
      </c>
    </row>
    <row r="85" spans="1:24" x14ac:dyDescent="0.2">
      <c r="A85" s="741"/>
      <c r="B85" s="740"/>
      <c r="C85" s="610"/>
      <c r="D85" s="586"/>
      <c r="E85" s="586"/>
      <c r="F85" s="587"/>
      <c r="G85" s="587"/>
      <c r="H85" s="586"/>
      <c r="I85" s="598"/>
      <c r="J85" s="588"/>
      <c r="K85" s="588"/>
      <c r="L85" s="589"/>
      <c r="M85" s="589"/>
      <c r="N85" s="588"/>
      <c r="O85" s="596"/>
      <c r="P85" s="589"/>
      <c r="Q85" s="589"/>
      <c r="R85" s="588"/>
      <c r="S85" s="588"/>
      <c r="T85" s="589"/>
      <c r="U85" s="589"/>
      <c r="V85" s="588"/>
      <c r="W85" s="588"/>
      <c r="X85" s="590">
        <f t="shared" ref="X85:X104" si="2">SUM(D85:W85)</f>
        <v>0</v>
      </c>
    </row>
    <row r="86" spans="1:24" x14ac:dyDescent="0.2">
      <c r="A86" s="742"/>
      <c r="B86" s="743"/>
      <c r="C86" s="743"/>
      <c r="D86" s="640"/>
      <c r="E86" s="640"/>
      <c r="F86" s="639"/>
      <c r="G86" s="639"/>
      <c r="H86" s="640"/>
      <c r="I86" s="640"/>
      <c r="J86" s="639"/>
      <c r="K86" s="639"/>
      <c r="L86" s="640"/>
      <c r="M86" s="640"/>
      <c r="N86" s="639"/>
      <c r="O86" s="639"/>
      <c r="P86" s="640"/>
      <c r="Q86" s="640"/>
      <c r="R86" s="639"/>
      <c r="S86" s="639"/>
      <c r="T86" s="640"/>
      <c r="U86" s="640"/>
      <c r="V86" s="743"/>
      <c r="W86" s="743"/>
      <c r="X86" s="590">
        <f t="shared" si="2"/>
        <v>0</v>
      </c>
    </row>
    <row r="87" spans="1:24" x14ac:dyDescent="0.2">
      <c r="A87" s="744"/>
      <c r="B87" s="743"/>
      <c r="C87" s="743"/>
      <c r="D87" s="640"/>
      <c r="E87" s="640"/>
      <c r="F87" s="639"/>
      <c r="G87" s="639"/>
      <c r="H87" s="640"/>
      <c r="I87" s="640"/>
      <c r="J87" s="639"/>
      <c r="K87" s="639"/>
      <c r="L87" s="640"/>
      <c r="M87" s="640"/>
      <c r="N87" s="639"/>
      <c r="O87" s="639"/>
      <c r="P87" s="640"/>
      <c r="Q87" s="640"/>
      <c r="R87" s="639"/>
      <c r="S87" s="639"/>
      <c r="T87" s="640"/>
      <c r="U87" s="640"/>
      <c r="V87" s="743"/>
      <c r="W87" s="743"/>
      <c r="X87" s="590">
        <f t="shared" si="2"/>
        <v>0</v>
      </c>
    </row>
    <row r="88" spans="1:24" x14ac:dyDescent="0.2">
      <c r="A88" s="744"/>
      <c r="B88" s="729"/>
      <c r="C88" s="743"/>
      <c r="D88" s="640"/>
      <c r="E88" s="640"/>
      <c r="F88" s="639"/>
      <c r="G88" s="639"/>
      <c r="H88" s="640"/>
      <c r="I88" s="640"/>
      <c r="J88" s="639"/>
      <c r="K88" s="639"/>
      <c r="L88" s="640"/>
      <c r="M88" s="640"/>
      <c r="N88" s="639"/>
      <c r="O88" s="639"/>
      <c r="P88" s="640"/>
      <c r="Q88" s="640"/>
      <c r="R88" s="639"/>
      <c r="S88" s="639"/>
      <c r="T88" s="640"/>
      <c r="U88" s="640"/>
      <c r="V88" s="743"/>
      <c r="W88" s="743"/>
      <c r="X88" s="590">
        <f t="shared" si="2"/>
        <v>0</v>
      </c>
    </row>
    <row r="89" spans="1:24" x14ac:dyDescent="0.2">
      <c r="A89" s="744"/>
      <c r="B89" s="729"/>
      <c r="C89" s="743"/>
      <c r="D89" s="640"/>
      <c r="E89" s="640"/>
      <c r="F89" s="639"/>
      <c r="G89" s="639"/>
      <c r="H89" s="640"/>
      <c r="I89" s="640"/>
      <c r="J89" s="639"/>
      <c r="K89" s="639"/>
      <c r="L89" s="640"/>
      <c r="M89" s="640"/>
      <c r="N89" s="639"/>
      <c r="O89" s="639"/>
      <c r="P89" s="640"/>
      <c r="Q89" s="640"/>
      <c r="R89" s="639"/>
      <c r="S89" s="639"/>
      <c r="T89" s="640"/>
      <c r="U89" s="640"/>
      <c r="V89" s="743"/>
      <c r="W89" s="743"/>
      <c r="X89" s="590">
        <f t="shared" si="2"/>
        <v>0</v>
      </c>
    </row>
    <row r="90" spans="1:24" x14ac:dyDescent="0.2">
      <c r="A90" s="744"/>
      <c r="B90" s="729"/>
      <c r="C90" s="743"/>
      <c r="D90" s="640"/>
      <c r="E90" s="640"/>
      <c r="F90" s="639"/>
      <c r="G90" s="639"/>
      <c r="H90" s="640"/>
      <c r="I90" s="640"/>
      <c r="J90" s="639"/>
      <c r="K90" s="639"/>
      <c r="L90" s="640"/>
      <c r="M90" s="640"/>
      <c r="N90" s="639"/>
      <c r="O90" s="639"/>
      <c r="P90" s="640"/>
      <c r="Q90" s="640"/>
      <c r="R90" s="639"/>
      <c r="S90" s="639"/>
      <c r="T90" s="640"/>
      <c r="U90" s="640"/>
      <c r="V90" s="743"/>
      <c r="W90" s="743"/>
      <c r="X90" s="590">
        <f t="shared" si="2"/>
        <v>0</v>
      </c>
    </row>
    <row r="91" spans="1:24" x14ac:dyDescent="0.2">
      <c r="A91" s="744"/>
      <c r="B91" s="729"/>
      <c r="C91" s="743"/>
      <c r="D91" s="640"/>
      <c r="E91" s="640"/>
      <c r="F91" s="639"/>
      <c r="G91" s="639"/>
      <c r="H91" s="640"/>
      <c r="I91" s="640"/>
      <c r="J91" s="639"/>
      <c r="K91" s="639"/>
      <c r="L91" s="640"/>
      <c r="M91" s="640"/>
      <c r="N91" s="639"/>
      <c r="O91" s="639"/>
      <c r="P91" s="640"/>
      <c r="Q91" s="640"/>
      <c r="R91" s="639"/>
      <c r="S91" s="639"/>
      <c r="T91" s="640"/>
      <c r="U91" s="640"/>
      <c r="V91" s="743"/>
      <c r="W91" s="639"/>
      <c r="X91" s="590">
        <f t="shared" si="2"/>
        <v>0</v>
      </c>
    </row>
    <row r="92" spans="1:24" x14ac:dyDescent="0.2">
      <c r="A92" s="744"/>
      <c r="B92" s="729"/>
      <c r="C92" s="743"/>
      <c r="D92" s="640"/>
      <c r="E92" s="640"/>
      <c r="F92" s="639"/>
      <c r="G92" s="639"/>
      <c r="H92" s="640"/>
      <c r="I92" s="640"/>
      <c r="J92" s="639"/>
      <c r="K92" s="639"/>
      <c r="L92" s="640"/>
      <c r="M92" s="640"/>
      <c r="N92" s="639"/>
      <c r="O92" s="639"/>
      <c r="P92" s="640"/>
      <c r="Q92" s="640"/>
      <c r="R92" s="639"/>
      <c r="S92" s="639"/>
      <c r="T92" s="640"/>
      <c r="U92" s="640"/>
      <c r="V92" s="743"/>
      <c r="W92" s="639"/>
      <c r="X92" s="590">
        <f t="shared" si="2"/>
        <v>0</v>
      </c>
    </row>
    <row r="93" spans="1:24" x14ac:dyDescent="0.2">
      <c r="A93" s="744"/>
      <c r="B93" s="743"/>
      <c r="C93" s="743"/>
      <c r="D93" s="640"/>
      <c r="E93" s="640"/>
      <c r="F93" s="639"/>
      <c r="G93" s="639"/>
      <c r="H93" s="640"/>
      <c r="I93" s="640"/>
      <c r="J93" s="639"/>
      <c r="K93" s="639"/>
      <c r="L93" s="640"/>
      <c r="M93" s="640"/>
      <c r="N93" s="639"/>
      <c r="O93" s="639"/>
      <c r="P93" s="640"/>
      <c r="Q93" s="640"/>
      <c r="R93" s="639"/>
      <c r="S93" s="639"/>
      <c r="T93" s="640"/>
      <c r="U93" s="640"/>
      <c r="V93" s="743"/>
      <c r="W93" s="639"/>
      <c r="X93" s="590">
        <f t="shared" si="2"/>
        <v>0</v>
      </c>
    </row>
    <row r="94" spans="1:24" x14ac:dyDescent="0.2">
      <c r="A94" s="612"/>
      <c r="B94" s="729"/>
      <c r="C94" s="743"/>
      <c r="D94" s="640"/>
      <c r="E94" s="640"/>
      <c r="F94" s="639"/>
      <c r="G94" s="639"/>
      <c r="H94" s="640"/>
      <c r="I94" s="640"/>
      <c r="J94" s="639"/>
      <c r="K94" s="639"/>
      <c r="L94" s="640"/>
      <c r="M94" s="640"/>
      <c r="N94" s="639"/>
      <c r="O94" s="639"/>
      <c r="P94" s="640"/>
      <c r="Q94" s="640"/>
      <c r="R94" s="639"/>
      <c r="S94" s="639"/>
      <c r="T94" s="640"/>
      <c r="U94" s="640"/>
      <c r="V94" s="743"/>
      <c r="W94" s="639"/>
      <c r="X94" s="590">
        <f t="shared" si="2"/>
        <v>0</v>
      </c>
    </row>
    <row r="95" spans="1:24" x14ac:dyDescent="0.2">
      <c r="A95" s="612"/>
      <c r="B95" s="729"/>
      <c r="C95" s="743"/>
      <c r="D95" s="640"/>
      <c r="E95" s="640"/>
      <c r="F95" s="639"/>
      <c r="G95" s="639"/>
      <c r="H95" s="640"/>
      <c r="I95" s="640"/>
      <c r="J95" s="639"/>
      <c r="K95" s="639"/>
      <c r="L95" s="640"/>
      <c r="M95" s="640"/>
      <c r="N95" s="639"/>
      <c r="O95" s="639"/>
      <c r="P95" s="640"/>
      <c r="Q95" s="640"/>
      <c r="R95" s="639"/>
      <c r="S95" s="639"/>
      <c r="T95" s="640"/>
      <c r="U95" s="640"/>
      <c r="V95" s="743"/>
      <c r="W95" s="639"/>
      <c r="X95" s="590">
        <f t="shared" si="2"/>
        <v>0</v>
      </c>
    </row>
    <row r="96" spans="1:24" x14ac:dyDescent="0.2">
      <c r="A96" s="744"/>
      <c r="B96" s="743"/>
      <c r="C96" s="743"/>
      <c r="D96" s="640"/>
      <c r="E96" s="640"/>
      <c r="F96" s="639"/>
      <c r="G96" s="639"/>
      <c r="H96" s="640"/>
      <c r="I96" s="640"/>
      <c r="J96" s="639"/>
      <c r="K96" s="639"/>
      <c r="L96" s="640"/>
      <c r="M96" s="640"/>
      <c r="N96" s="639"/>
      <c r="O96" s="639"/>
      <c r="P96" s="640"/>
      <c r="Q96" s="640"/>
      <c r="R96" s="639"/>
      <c r="S96" s="639"/>
      <c r="T96" s="640"/>
      <c r="U96" s="640"/>
      <c r="V96" s="743"/>
      <c r="W96" s="639"/>
      <c r="X96" s="590">
        <f t="shared" si="2"/>
        <v>0</v>
      </c>
    </row>
    <row r="97" spans="1:24" x14ac:dyDescent="0.2">
      <c r="A97" s="744"/>
      <c r="B97" s="743"/>
      <c r="C97" s="743"/>
      <c r="D97" s="640"/>
      <c r="E97" s="640"/>
      <c r="F97" s="639"/>
      <c r="G97" s="639"/>
      <c r="H97" s="640"/>
      <c r="I97" s="640"/>
      <c r="J97" s="639"/>
      <c r="K97" s="639"/>
      <c r="L97" s="640"/>
      <c r="M97" s="640"/>
      <c r="N97" s="639"/>
      <c r="O97" s="639"/>
      <c r="P97" s="640"/>
      <c r="Q97" s="640"/>
      <c r="R97" s="639"/>
      <c r="S97" s="639"/>
      <c r="T97" s="640"/>
      <c r="U97" s="640"/>
      <c r="V97" s="743"/>
      <c r="W97" s="639"/>
      <c r="X97" s="590">
        <f t="shared" si="2"/>
        <v>0</v>
      </c>
    </row>
    <row r="98" spans="1:24" x14ac:dyDescent="0.2">
      <c r="A98" s="744"/>
      <c r="B98" s="743"/>
      <c r="C98" s="743"/>
      <c r="D98" s="640"/>
      <c r="E98" s="640"/>
      <c r="F98" s="639"/>
      <c r="G98" s="639"/>
      <c r="H98" s="640"/>
      <c r="I98" s="640"/>
      <c r="J98" s="639"/>
      <c r="K98" s="639"/>
      <c r="L98" s="640"/>
      <c r="M98" s="640"/>
      <c r="N98" s="639"/>
      <c r="O98" s="639"/>
      <c r="P98" s="640"/>
      <c r="Q98" s="640"/>
      <c r="R98" s="639"/>
      <c r="S98" s="639"/>
      <c r="T98" s="640"/>
      <c r="U98" s="640"/>
      <c r="V98" s="743"/>
      <c r="W98" s="639"/>
      <c r="X98" s="590">
        <f t="shared" si="2"/>
        <v>0</v>
      </c>
    </row>
    <row r="99" spans="1:24" x14ac:dyDescent="0.2">
      <c r="A99" s="744"/>
      <c r="B99" s="743"/>
      <c r="C99" s="743"/>
      <c r="D99" s="640"/>
      <c r="E99" s="640"/>
      <c r="F99" s="639"/>
      <c r="G99" s="639"/>
      <c r="H99" s="640"/>
      <c r="I99" s="640"/>
      <c r="J99" s="639"/>
      <c r="K99" s="639"/>
      <c r="L99" s="640"/>
      <c r="M99" s="640"/>
      <c r="N99" s="639"/>
      <c r="O99" s="639"/>
      <c r="P99" s="640"/>
      <c r="Q99" s="640"/>
      <c r="R99" s="639"/>
      <c r="S99" s="639"/>
      <c r="T99" s="640"/>
      <c r="U99" s="640"/>
      <c r="V99" s="743"/>
      <c r="W99" s="639"/>
      <c r="X99" s="590">
        <f t="shared" si="2"/>
        <v>0</v>
      </c>
    </row>
    <row r="100" spans="1:24" x14ac:dyDescent="0.2">
      <c r="A100" s="744"/>
      <c r="B100" s="743"/>
      <c r="C100" s="743"/>
      <c r="D100" s="640"/>
      <c r="E100" s="640"/>
      <c r="F100" s="639"/>
      <c r="G100" s="639"/>
      <c r="H100" s="640"/>
      <c r="I100" s="640"/>
      <c r="J100" s="639"/>
      <c r="K100" s="639"/>
      <c r="L100" s="640"/>
      <c r="M100" s="640"/>
      <c r="N100" s="639"/>
      <c r="O100" s="639"/>
      <c r="P100" s="640"/>
      <c r="Q100" s="640"/>
      <c r="R100" s="639"/>
      <c r="S100" s="639"/>
      <c r="T100" s="640"/>
      <c r="U100" s="640"/>
      <c r="V100" s="743"/>
      <c r="W100" s="639"/>
      <c r="X100" s="590">
        <f t="shared" si="2"/>
        <v>0</v>
      </c>
    </row>
    <row r="101" spans="1:24" x14ac:dyDescent="0.2">
      <c r="A101" s="744"/>
      <c r="B101" s="743"/>
      <c r="C101" s="743"/>
      <c r="D101" s="640"/>
      <c r="E101" s="640"/>
      <c r="F101" s="639"/>
      <c r="G101" s="639"/>
      <c r="H101" s="640"/>
      <c r="I101" s="640"/>
      <c r="J101" s="639"/>
      <c r="K101" s="639"/>
      <c r="L101" s="640"/>
      <c r="M101" s="640"/>
      <c r="N101" s="639"/>
      <c r="O101" s="639"/>
      <c r="P101" s="640"/>
      <c r="Q101" s="640"/>
      <c r="R101" s="639"/>
      <c r="S101" s="639"/>
      <c r="T101" s="640"/>
      <c r="U101" s="640"/>
      <c r="V101" s="743"/>
      <c r="W101" s="639"/>
      <c r="X101" s="590">
        <f t="shared" si="2"/>
        <v>0</v>
      </c>
    </row>
    <row r="102" spans="1:24" x14ac:dyDescent="0.2">
      <c r="A102" s="744"/>
      <c r="B102" s="743"/>
      <c r="C102" s="743"/>
      <c r="D102" s="640"/>
      <c r="E102" s="640"/>
      <c r="F102" s="639"/>
      <c r="G102" s="639"/>
      <c r="H102" s="640"/>
      <c r="I102" s="640"/>
      <c r="J102" s="639"/>
      <c r="K102" s="639"/>
      <c r="L102" s="640"/>
      <c r="M102" s="640"/>
      <c r="N102" s="639"/>
      <c r="O102" s="639"/>
      <c r="P102" s="640"/>
      <c r="Q102" s="640"/>
      <c r="R102" s="639"/>
      <c r="S102" s="639"/>
      <c r="T102" s="640"/>
      <c r="U102" s="640"/>
      <c r="V102" s="743"/>
      <c r="W102" s="639"/>
      <c r="X102" s="590">
        <f t="shared" si="2"/>
        <v>0</v>
      </c>
    </row>
    <row r="103" spans="1:24" x14ac:dyDescent="0.2">
      <c r="A103" s="744"/>
      <c r="B103" s="743"/>
      <c r="C103" s="743"/>
      <c r="D103" s="640"/>
      <c r="E103" s="640"/>
      <c r="F103" s="639"/>
      <c r="G103" s="639"/>
      <c r="H103" s="640"/>
      <c r="I103" s="640"/>
      <c r="J103" s="639"/>
      <c r="K103" s="639"/>
      <c r="L103" s="640"/>
      <c r="M103" s="640"/>
      <c r="N103" s="639"/>
      <c r="O103" s="639"/>
      <c r="P103" s="640"/>
      <c r="Q103" s="640"/>
      <c r="R103" s="639"/>
      <c r="S103" s="639"/>
      <c r="T103" s="640"/>
      <c r="U103" s="640"/>
      <c r="V103" s="743"/>
      <c r="W103" s="639"/>
      <c r="X103" s="590">
        <f t="shared" si="2"/>
        <v>0</v>
      </c>
    </row>
    <row r="104" spans="1:24" x14ac:dyDescent="0.2">
      <c r="A104" s="358"/>
      <c r="B104" s="729"/>
      <c r="C104" s="743"/>
      <c r="D104" s="640"/>
      <c r="E104" s="640"/>
      <c r="F104" s="639"/>
      <c r="G104" s="639"/>
      <c r="H104" s="640"/>
      <c r="I104" s="640"/>
      <c r="J104" s="639"/>
      <c r="K104" s="639"/>
      <c r="L104" s="640"/>
      <c r="M104" s="640"/>
      <c r="N104" s="639"/>
      <c r="O104" s="639"/>
      <c r="P104" s="640"/>
      <c r="Q104" s="640"/>
      <c r="R104" s="639"/>
      <c r="S104" s="639"/>
      <c r="T104" s="640"/>
      <c r="U104" s="640"/>
      <c r="V104" s="743"/>
      <c r="W104" s="639"/>
      <c r="X104" s="590">
        <f t="shared" si="2"/>
        <v>0</v>
      </c>
    </row>
    <row r="105" spans="1:24" x14ac:dyDescent="0.2">
      <c r="X105" s="779">
        <f>SUM(X50:X104)</f>
        <v>2225.2999999999997</v>
      </c>
    </row>
  </sheetData>
  <mergeCells count="22">
    <mergeCell ref="M2:N2"/>
    <mergeCell ref="O2:P2"/>
    <mergeCell ref="Q2:R2"/>
    <mergeCell ref="S2:T2"/>
    <mergeCell ref="U2:V2"/>
    <mergeCell ref="D1:H1"/>
    <mergeCell ref="D47:E47"/>
    <mergeCell ref="F47:G47"/>
    <mergeCell ref="H47:I47"/>
    <mergeCell ref="J47:K47"/>
    <mergeCell ref="C2:D2"/>
    <mergeCell ref="E2:F2"/>
    <mergeCell ref="G2:H2"/>
    <mergeCell ref="I2:J2"/>
    <mergeCell ref="K2:L2"/>
    <mergeCell ref="X47:X49"/>
    <mergeCell ref="E46:H46"/>
    <mergeCell ref="N47:O47"/>
    <mergeCell ref="P47:Q47"/>
    <mergeCell ref="R47:S47"/>
    <mergeCell ref="T47:U47"/>
    <mergeCell ref="L47:M47"/>
  </mergeCells>
  <pageMargins left="0.7" right="0.7" top="0.75" bottom="0.75" header="0.3" footer="0.3"/>
  <pageSetup paperSize="17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M33" sqref="M33"/>
    </sheetView>
  </sheetViews>
  <sheetFormatPr defaultRowHeight="15" customHeight="1" x14ac:dyDescent="0.25"/>
  <cols>
    <col min="1" max="1" width="28" style="1" customWidth="1"/>
    <col min="2" max="3" width="9.7109375" style="1" customWidth="1"/>
    <col min="4" max="4" width="14.7109375" style="1" customWidth="1"/>
    <col min="5" max="5" width="9.7109375" style="1" customWidth="1"/>
    <col min="6" max="6" width="10.85546875" style="1" customWidth="1"/>
    <col min="7" max="7" width="10.140625" style="1" customWidth="1"/>
    <col min="8" max="8" width="10" style="1" customWidth="1"/>
    <col min="9" max="9" width="10.28515625" style="1" customWidth="1"/>
    <col min="10" max="10" width="8.5703125" style="1" customWidth="1"/>
    <col min="11" max="11" width="9.7109375" style="1" customWidth="1"/>
    <col min="12" max="12" width="9.140625" style="1"/>
    <col min="13" max="13" width="16.7109375" style="1" bestFit="1" customWidth="1"/>
    <col min="14" max="16384" width="9.140625" style="1"/>
  </cols>
  <sheetData>
    <row r="1" spans="1:17" ht="15" customHeight="1" x14ac:dyDescent="0.25">
      <c r="A1" s="43" t="s">
        <v>941</v>
      </c>
    </row>
    <row r="2" spans="1:17" ht="13.5" customHeight="1" x14ac:dyDescent="0.25">
      <c r="A2" s="1113" t="s">
        <v>188</v>
      </c>
      <c r="B2" s="1113"/>
      <c r="C2" s="1113"/>
      <c r="D2" s="1020"/>
      <c r="F2" s="1113" t="s">
        <v>187</v>
      </c>
      <c r="G2" s="1113"/>
      <c r="H2" s="1113"/>
      <c r="I2" s="1113"/>
      <c r="J2" s="1020"/>
      <c r="K2" s="1020"/>
      <c r="M2" s="1094" t="s">
        <v>866</v>
      </c>
      <c r="N2" s="1094"/>
      <c r="O2" s="1094"/>
    </row>
    <row r="3" spans="1:17" ht="15" customHeight="1" x14ac:dyDescent="0.25">
      <c r="A3" s="1114" t="s">
        <v>38</v>
      </c>
      <c r="B3" s="1114"/>
      <c r="C3" s="1114"/>
      <c r="D3" s="265">
        <f>COUNTIF('BLM STATS'!I:I,"H")</f>
        <v>73</v>
      </c>
      <c r="F3" s="1114" t="s">
        <v>68</v>
      </c>
      <c r="G3" s="1114"/>
      <c r="H3" s="1114"/>
      <c r="I3" s="1126"/>
      <c r="J3" s="1126"/>
      <c r="K3" s="179">
        <f>SUMIF('BLM STATS'!I:I,"H",'BLM STATS'!O:O)</f>
        <v>10923.050000000003</v>
      </c>
      <c r="M3" s="1095" t="s">
        <v>65</v>
      </c>
      <c r="N3" s="1095"/>
      <c r="O3" s="910">
        <f>(K3-B18)</f>
        <v>10923.050000000003</v>
      </c>
    </row>
    <row r="4" spans="1:17" ht="15" customHeight="1" x14ac:dyDescent="0.25">
      <c r="A4" s="1125" t="s">
        <v>39</v>
      </c>
      <c r="B4" s="1125"/>
      <c r="C4" s="1125"/>
      <c r="D4" s="47">
        <f>COUNTIF('BLM STATS'!I:I,"L")</f>
        <v>27</v>
      </c>
      <c r="F4" s="1125" t="s">
        <v>69</v>
      </c>
      <c r="G4" s="1125"/>
      <c r="H4" s="1125"/>
      <c r="I4" s="1127"/>
      <c r="J4" s="1127"/>
      <c r="K4" s="177">
        <f>SUMIF('BLM STATS'!I:I,"L",'BLM STATS'!O:O)</f>
        <v>58080</v>
      </c>
      <c r="M4" s="1095" t="s">
        <v>66</v>
      </c>
      <c r="N4" s="1095"/>
      <c r="O4" s="910">
        <f>(K4-D18)</f>
        <v>49242</v>
      </c>
      <c r="P4" s="1">
        <v>664</v>
      </c>
      <c r="Q4" s="1">
        <v>49906</v>
      </c>
    </row>
    <row r="5" spans="1:17" ht="15" customHeight="1" x14ac:dyDescent="0.25">
      <c r="A5" s="1111" t="s">
        <v>67</v>
      </c>
      <c r="B5" s="1111"/>
      <c r="C5" s="1111"/>
      <c r="D5" s="48">
        <f>SUM(D3:D4)</f>
        <v>100</v>
      </c>
      <c r="F5" s="1111" t="s">
        <v>71</v>
      </c>
      <c r="G5" s="1112"/>
      <c r="H5" s="1112"/>
      <c r="I5" s="1112"/>
      <c r="J5" s="1112"/>
      <c r="K5" s="178">
        <f>SUM(K3:K4)</f>
        <v>69003.05</v>
      </c>
      <c r="M5" s="1095" t="s">
        <v>4</v>
      </c>
      <c r="N5" s="1095"/>
      <c r="O5" s="910">
        <f>SUM(O3:O4)</f>
        <v>60165.05</v>
      </c>
    </row>
    <row r="6" spans="1:17" ht="7.5" customHeight="1" x14ac:dyDescent="0.25">
      <c r="A6" s="1179"/>
      <c r="B6" s="1179"/>
      <c r="C6" s="1179"/>
      <c r="D6" s="1179"/>
      <c r="E6" s="1179"/>
      <c r="F6" s="1179"/>
      <c r="G6" s="1179"/>
      <c r="H6" s="1179"/>
      <c r="I6" s="1179"/>
      <c r="J6" s="1179"/>
      <c r="K6" s="1179"/>
    </row>
    <row r="7" spans="1:17" ht="14.25" customHeight="1" x14ac:dyDescent="0.25">
      <c r="A7" s="1113" t="s">
        <v>189</v>
      </c>
      <c r="B7" s="1020"/>
      <c r="C7" s="1020"/>
      <c r="D7" s="1020"/>
      <c r="E7" s="1020"/>
      <c r="F7" s="1020"/>
      <c r="G7" s="1020"/>
      <c r="H7" s="1020"/>
      <c r="I7" s="1020"/>
      <c r="J7" s="1020"/>
      <c r="K7" s="1020"/>
    </row>
    <row r="8" spans="1:17" ht="11.25" customHeight="1" x14ac:dyDescent="0.25">
      <c r="A8" s="1191"/>
      <c r="B8" s="1105" t="s">
        <v>46</v>
      </c>
      <c r="C8" s="1106"/>
      <c r="D8" s="1105" t="s">
        <v>47</v>
      </c>
      <c r="E8" s="1106"/>
      <c r="F8" s="1109" t="s">
        <v>44</v>
      </c>
      <c r="G8" s="1109"/>
      <c r="H8" s="1109"/>
      <c r="I8" s="1110" t="s">
        <v>45</v>
      </c>
      <c r="J8" s="1110"/>
      <c r="K8" s="1110"/>
    </row>
    <row r="9" spans="1:17" ht="13.5" customHeight="1" x14ac:dyDescent="0.25">
      <c r="A9" s="1192"/>
      <c r="B9" s="1107"/>
      <c r="C9" s="1108"/>
      <c r="D9" s="1107"/>
      <c r="E9" s="1108"/>
      <c r="F9" s="11" t="s">
        <v>5</v>
      </c>
      <c r="G9" s="11" t="s">
        <v>42</v>
      </c>
      <c r="H9" s="11" t="s">
        <v>43</v>
      </c>
      <c r="I9" s="1110"/>
      <c r="J9" s="1110"/>
      <c r="K9" s="1110"/>
    </row>
    <row r="10" spans="1:17" ht="15" customHeight="1" x14ac:dyDescent="0.25">
      <c r="A10" s="303" t="s">
        <v>219</v>
      </c>
      <c r="B10" s="1098">
        <f>SUMIF('BLM STATS'!I:I,"H",'BLM STATS'!P:P)</f>
        <v>9098.8500000000022</v>
      </c>
      <c r="C10" s="1100"/>
      <c r="D10" s="1098">
        <f>SUMIF('BLM STATS'!I:I,"L",'BLM STATS'!P:P)</f>
        <v>44786.899999999994</v>
      </c>
      <c r="E10" s="1100"/>
      <c r="F10" s="305">
        <f t="shared" ref="F10:F16" si="0">SUM(G10:H10)</f>
        <v>69</v>
      </c>
      <c r="G10" s="305">
        <f>COUNTIF('# FIRES CAUSE'!D:D,"X")</f>
        <v>48</v>
      </c>
      <c r="H10" s="305">
        <f>COUNTIF('# FIRES CAUSE'!E:E,"X")</f>
        <v>21</v>
      </c>
      <c r="I10" s="1098">
        <f t="shared" ref="I10:I15" si="1">SUM(B10:E10)</f>
        <v>53885.75</v>
      </c>
      <c r="J10" s="1099"/>
      <c r="K10" s="1100"/>
    </row>
    <row r="11" spans="1:17" ht="15" customHeight="1" x14ac:dyDescent="0.25">
      <c r="A11" s="51" t="s">
        <v>220</v>
      </c>
      <c r="B11" s="1101">
        <f>SUMIF('BLM STATS'!I:I,"H",'BLM STATS'!Q:Q)</f>
        <v>0</v>
      </c>
      <c r="C11" s="1103"/>
      <c r="D11" s="1101">
        <f>SUMIF('BLM STATS'!I:I,"L",'BLM STATS'!Q:Q)</f>
        <v>0</v>
      </c>
      <c r="E11" s="1103"/>
      <c r="F11" s="46">
        <f t="shared" si="0"/>
        <v>0</v>
      </c>
      <c r="G11" s="46">
        <f>COUNTIF('# FIRES CAUSE'!N:N,"X")</f>
        <v>0</v>
      </c>
      <c r="H11" s="46">
        <f>COUNTIF('# FIRES CAUSE'!O:O,"X")</f>
        <v>0</v>
      </c>
      <c r="I11" s="1101">
        <f t="shared" si="1"/>
        <v>0</v>
      </c>
      <c r="J11" s="1102"/>
      <c r="K11" s="1103"/>
    </row>
    <row r="12" spans="1:17" ht="15" customHeight="1" x14ac:dyDescent="0.25">
      <c r="A12" s="52" t="s">
        <v>221</v>
      </c>
      <c r="B12" s="1096">
        <f>SUMIF('BLM STATS'!I:I,"H",'BLM STATS'!R:R)</f>
        <v>1013.8</v>
      </c>
      <c r="C12" s="1097"/>
      <c r="D12" s="1096">
        <f>SUMIF('BLM STATS'!I:I,"L",'BLM STATS'!R:R)</f>
        <v>2942.3</v>
      </c>
      <c r="E12" s="1097"/>
      <c r="F12" s="53">
        <f t="shared" si="0"/>
        <v>4</v>
      </c>
      <c r="G12" s="53">
        <f>COUNTIF('# FIRES CAUSE'!T:T,"X")</f>
        <v>2</v>
      </c>
      <c r="H12" s="53">
        <f>COUNTIF('# FIRES CAUSE'!U:U,"X")</f>
        <v>2</v>
      </c>
      <c r="I12" s="1096">
        <f t="shared" si="1"/>
        <v>3956.1000000000004</v>
      </c>
      <c r="J12" s="1104"/>
      <c r="K12" s="1097"/>
    </row>
    <row r="13" spans="1:17" ht="15" customHeight="1" x14ac:dyDescent="0.25">
      <c r="A13" s="36" t="s">
        <v>2</v>
      </c>
      <c r="B13" s="1193">
        <f>SUMIF('BLM STATS'!I:I,"H",'BLM STATS'!S:S)</f>
        <v>713.5</v>
      </c>
      <c r="C13" s="1194"/>
      <c r="D13" s="1169">
        <f>SUMIF('BLM STATS'!I:I,"L",'BLM STATS'!S:S)</f>
        <v>1511.8</v>
      </c>
      <c r="E13" s="1170"/>
      <c r="F13" s="35">
        <f t="shared" si="0"/>
        <v>23</v>
      </c>
      <c r="G13" s="35">
        <f>COUNTIF('# FIRES CAUSE'!V:V,"X")</f>
        <v>19</v>
      </c>
      <c r="H13" s="35">
        <f>COUNTIF('# FIRES CAUSE'!W:W,"X")</f>
        <v>4</v>
      </c>
      <c r="I13" s="1169">
        <f t="shared" si="1"/>
        <v>2225.3000000000002</v>
      </c>
      <c r="J13" s="1173"/>
      <c r="K13" s="1170"/>
    </row>
    <row r="14" spans="1:17" ht="15" customHeight="1" x14ac:dyDescent="0.25">
      <c r="A14" s="304" t="s">
        <v>222</v>
      </c>
      <c r="B14" s="1117">
        <f>SUMIF('BLM STATS'!I:I,"H",'BLM STATS'!T:T)</f>
        <v>0</v>
      </c>
      <c r="C14" s="1118"/>
      <c r="D14" s="1117">
        <f>SUMIF('BLM STATS'!I:I,"L",'BLM STATS'!T:T)</f>
        <v>0</v>
      </c>
      <c r="E14" s="1118"/>
      <c r="F14" s="47">
        <f t="shared" si="0"/>
        <v>0</v>
      </c>
      <c r="G14" s="47">
        <f>COUNTIF('# FIRES CAUSE'!AB:AB,"X")</f>
        <v>0</v>
      </c>
      <c r="H14" s="47">
        <f>COUNTIF('# FIRES CAUSE'!AC:AC,"X")</f>
        <v>0</v>
      </c>
      <c r="I14" s="1117">
        <f t="shared" si="1"/>
        <v>0</v>
      </c>
      <c r="J14" s="1171"/>
      <c r="K14" s="1118"/>
    </row>
    <row r="15" spans="1:17" ht="15" customHeight="1" x14ac:dyDescent="0.25">
      <c r="A15" s="54" t="s">
        <v>223</v>
      </c>
      <c r="B15" s="1122">
        <f>SUMIF('BLM STATS'!I:I,"H",'BLM STATS'!U:U)</f>
        <v>5</v>
      </c>
      <c r="C15" s="1124"/>
      <c r="D15" s="1122">
        <f>SUMIF('BLM STATS'!I:I,"L",'BLM STATS'!U:U)</f>
        <v>1</v>
      </c>
      <c r="E15" s="1124"/>
      <c r="F15" s="55">
        <f t="shared" si="0"/>
        <v>0</v>
      </c>
      <c r="G15" s="55">
        <f>COUNTIF('# FIRES CAUSE'!AD:AD,"X")</f>
        <v>0</v>
      </c>
      <c r="H15" s="55">
        <f>COUNTIF('# FIRES CAUSE'!AE:AE,"X")</f>
        <v>0</v>
      </c>
      <c r="I15" s="1122">
        <f t="shared" si="1"/>
        <v>6</v>
      </c>
      <c r="J15" s="1123"/>
      <c r="K15" s="1124"/>
    </row>
    <row r="16" spans="1:17" ht="15" customHeight="1" x14ac:dyDescent="0.25">
      <c r="A16" s="313" t="s">
        <v>224</v>
      </c>
      <c r="B16" s="1119">
        <f>SUMIF('BLM STATS'!I:I,"H",'BLM STATS'!V:V)</f>
        <v>35.9</v>
      </c>
      <c r="C16" s="1121"/>
      <c r="D16" s="1119">
        <f>SUMIF('BLM STATS'!I:I,"L",'BLM STATS'!V:V)</f>
        <v>0</v>
      </c>
      <c r="E16" s="1121"/>
      <c r="F16" s="45">
        <f t="shared" si="0"/>
        <v>3</v>
      </c>
      <c r="G16" s="45">
        <f>COUNTIF('# FIRES CAUSE'!AF:AF,"X")</f>
        <v>3</v>
      </c>
      <c r="H16" s="45">
        <f>COUNTIF('# FIRES CAUSE'!AG:AG,"X")</f>
        <v>0</v>
      </c>
      <c r="I16" s="1119">
        <f>SUM(B16:E16)</f>
        <v>35.9</v>
      </c>
      <c r="J16" s="1120"/>
      <c r="K16" s="1121"/>
    </row>
    <row r="17" spans="1:13" ht="15" customHeight="1" x14ac:dyDescent="0.25">
      <c r="A17" s="190" t="s">
        <v>225</v>
      </c>
      <c r="B17" s="1172">
        <f>SUMIF('BLM STATS'!I:I,"H",'BLM STATS'!W:W)</f>
        <v>56</v>
      </c>
      <c r="C17" s="1170"/>
      <c r="D17" s="1172">
        <f>SUMIF('BLM STATS'!I:I,"L",'BLM STATS'!W:W)</f>
        <v>0</v>
      </c>
      <c r="E17" s="1170"/>
      <c r="F17" s="191">
        <f>SUM(G17:H17)</f>
        <v>1</v>
      </c>
      <c r="G17" s="191">
        <f>COUNTIF('# FIRES CAUSE'!AL:AL,"X")</f>
        <v>1</v>
      </c>
      <c r="H17" s="191">
        <f>COUNTIF('# FIRES CAUSE'!AM:AM,"X")</f>
        <v>0</v>
      </c>
      <c r="I17" s="1172">
        <f>SUM(B17:E17)</f>
        <v>56</v>
      </c>
      <c r="J17" s="1173"/>
      <c r="K17" s="1170"/>
    </row>
    <row r="18" spans="1:13" ht="15" customHeight="1" x14ac:dyDescent="0.25">
      <c r="A18" s="907" t="s">
        <v>864</v>
      </c>
      <c r="B18" s="1175">
        <f>SUMIF('BLM STATS'!I:I,"H",'BLM STATS'!X:X)</f>
        <v>0</v>
      </c>
      <c r="C18" s="1176"/>
      <c r="D18" s="1175">
        <f>SUMIF('BLM STATS'!I:I,"L",'BLM STATS'!X:X)</f>
        <v>8838</v>
      </c>
      <c r="E18" s="1176"/>
      <c r="F18" s="908">
        <f>SUM(G18:H18)</f>
        <v>0</v>
      </c>
      <c r="G18" s="909" t="s">
        <v>865</v>
      </c>
      <c r="H18" s="909" t="s">
        <v>865</v>
      </c>
      <c r="I18" s="1175">
        <f>SUM(B18:D18)</f>
        <v>8838</v>
      </c>
      <c r="J18" s="1177"/>
      <c r="K18" s="1178"/>
    </row>
    <row r="19" spans="1:13" ht="15" customHeight="1" x14ac:dyDescent="0.25">
      <c r="A19" s="50" t="s">
        <v>41</v>
      </c>
      <c r="B19" s="1115">
        <f>SUM(B10:B18)</f>
        <v>10923.050000000001</v>
      </c>
      <c r="C19" s="1116"/>
      <c r="D19" s="1115">
        <f>SUM(D10:D18)</f>
        <v>58080</v>
      </c>
      <c r="E19" s="1116"/>
      <c r="F19" s="48">
        <f>SUM(F10:F17)</f>
        <v>100</v>
      </c>
      <c r="G19" s="48">
        <f>SUM(G10:G17)</f>
        <v>73</v>
      </c>
      <c r="H19" s="48">
        <f>SUM(H10:H17)</f>
        <v>27</v>
      </c>
      <c r="I19" s="1115">
        <f>SUM(B19:E19)</f>
        <v>69003.05</v>
      </c>
      <c r="J19" s="1139"/>
      <c r="K19" s="1116"/>
    </row>
    <row r="20" spans="1:13" s="63" customFormat="1" ht="3.75" customHeight="1" x14ac:dyDescent="0.2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3" ht="13.5" customHeight="1" x14ac:dyDescent="0.25">
      <c r="A21" s="1143" t="s">
        <v>186</v>
      </c>
      <c r="B21" s="1144"/>
      <c r="C21" s="1144"/>
      <c r="D21" s="1144"/>
      <c r="E21" s="1145"/>
      <c r="F21" s="444">
        <f>COUNTIF('BLM STATS'!I:I,"RFD")</f>
        <v>11</v>
      </c>
      <c r="G21" s="272" t="s">
        <v>64</v>
      </c>
      <c r="H21" s="272" t="s">
        <v>64</v>
      </c>
      <c r="I21" s="1140">
        <f>SUMIF('BLM STATS'!I:I,"RFD",'BLM STATS'!O:O)</f>
        <v>622.04999999999995</v>
      </c>
      <c r="J21" s="1141"/>
      <c r="K21" s="1142"/>
    </row>
    <row r="22" spans="1:13" ht="13.5" customHeight="1" x14ac:dyDescent="0.25">
      <c r="A22" s="1133" t="s">
        <v>40</v>
      </c>
      <c r="B22" s="1134"/>
      <c r="C22" s="1134"/>
      <c r="D22" s="1134"/>
      <c r="E22" s="1135"/>
      <c r="F22" s="191">
        <f>COUNTIF('BLM STATS'!I:I,"A")</f>
        <v>6</v>
      </c>
      <c r="G22" s="272" t="s">
        <v>64</v>
      </c>
      <c r="H22" s="272" t="s">
        <v>64</v>
      </c>
      <c r="I22" s="1166">
        <f>SUMIF('BLM STATS'!I:I,"A",'BLM STATS'!Z:Z)</f>
        <v>19.420000000000002</v>
      </c>
      <c r="J22" s="1167"/>
      <c r="K22" s="1168"/>
    </row>
    <row r="23" spans="1:13" ht="13.5" customHeight="1" x14ac:dyDescent="0.25">
      <c r="A23" s="1136" t="s">
        <v>70</v>
      </c>
      <c r="B23" s="1137"/>
      <c r="C23" s="1137"/>
      <c r="D23" s="1137"/>
      <c r="E23" s="1138"/>
      <c r="F23" s="49">
        <f>COUNTIF('BLM STATS'!I:I,"O")</f>
        <v>10</v>
      </c>
      <c r="G23" s="272" t="s">
        <v>64</v>
      </c>
      <c r="H23" s="272" t="s">
        <v>64</v>
      </c>
      <c r="I23" s="1161">
        <f>SUMIF('BLM STATS'!I:I,"O",'BLM STATS'!P:P)</f>
        <v>16348</v>
      </c>
      <c r="J23" s="1161"/>
      <c r="K23" s="1161"/>
    </row>
    <row r="24" spans="1:13" ht="6.75" customHeight="1" x14ac:dyDescent="0.25">
      <c r="A24" s="1180"/>
      <c r="B24" s="1180"/>
      <c r="C24" s="1180"/>
      <c r="D24" s="1180"/>
      <c r="E24" s="1180"/>
      <c r="F24" s="1180"/>
      <c r="G24" s="1180"/>
      <c r="H24" s="1180"/>
      <c r="I24" s="1180"/>
      <c r="J24" s="1180"/>
      <c r="K24" s="1180"/>
    </row>
    <row r="25" spans="1:13" ht="15.75" customHeight="1" x14ac:dyDescent="0.25">
      <c r="A25" s="438"/>
      <c r="B25" s="438"/>
      <c r="C25" s="438"/>
      <c r="D25" s="438"/>
      <c r="E25" s="438"/>
      <c r="F25" s="438"/>
      <c r="G25" s="1151" t="s">
        <v>248</v>
      </c>
      <c r="H25" s="1152"/>
      <c r="I25" s="1152"/>
      <c r="J25" s="1174"/>
      <c r="K25" s="47">
        <f>COUNTIF('BLM STATS'!AC:AC,"FULL")</f>
        <v>99</v>
      </c>
    </row>
    <row r="26" spans="1:13" ht="13.5" customHeight="1" x14ac:dyDescent="0.25">
      <c r="A26" s="1162" t="s">
        <v>242</v>
      </c>
      <c r="B26" s="1163"/>
      <c r="C26" s="1163"/>
      <c r="D26" s="1164"/>
      <c r="E26" s="1074"/>
      <c r="G26" s="1151" t="s">
        <v>169</v>
      </c>
      <c r="H26" s="1152"/>
      <c r="I26" s="1152"/>
      <c r="J26" s="1153"/>
      <c r="K26" s="47">
        <f>COUNTIF('BLM STATS'!AC:AC,"MULTIPLE")</f>
        <v>0</v>
      </c>
    </row>
    <row r="27" spans="1:13" ht="19.5" customHeight="1" x14ac:dyDescent="0.25">
      <c r="A27" s="10"/>
      <c r="B27" s="125" t="s">
        <v>48</v>
      </c>
      <c r="C27" s="65" t="s">
        <v>146</v>
      </c>
      <c r="D27" s="65" t="s">
        <v>66</v>
      </c>
      <c r="E27" s="65" t="s">
        <v>4</v>
      </c>
      <c r="G27" s="1151" t="s">
        <v>148</v>
      </c>
      <c r="H27" s="1154"/>
      <c r="I27" s="1154"/>
      <c r="J27" s="1153"/>
      <c r="K27" s="47">
        <f>COUNTIF('BLM STATS'!AC:AC,"MONITOR")</f>
        <v>0</v>
      </c>
      <c r="M27" s="1" t="s">
        <v>6</v>
      </c>
    </row>
    <row r="28" spans="1:13" ht="15" customHeight="1" x14ac:dyDescent="0.2">
      <c r="A28" s="267" t="s">
        <v>49</v>
      </c>
      <c r="B28" s="48">
        <f>COUNTIF('BLM STATS'!E:E,"FRFO")</f>
        <v>58</v>
      </c>
      <c r="C28" s="48">
        <f>SUM('BY OWNER - CAUSE'!U5)</f>
        <v>3224.3999999999996</v>
      </c>
      <c r="D28" s="48">
        <f>SUM('BY OWNER - CAUSE'!V5)</f>
        <v>2770.6499999999996</v>
      </c>
      <c r="E28" s="48">
        <f>SUM('BY OWNER - CAUSE'!U6:V6)</f>
        <v>13</v>
      </c>
      <c r="G28" s="1155" t="s">
        <v>53</v>
      </c>
      <c r="H28" s="1156"/>
      <c r="I28" s="1156"/>
      <c r="J28" s="1157"/>
      <c r="K28" s="271">
        <f>COUNTIF('BLM STATS'!I:I,"FA")</f>
        <v>15</v>
      </c>
    </row>
    <row r="29" spans="1:13" ht="15" customHeight="1" x14ac:dyDescent="0.2">
      <c r="A29" s="267" t="s">
        <v>50</v>
      </c>
      <c r="B29" s="48">
        <f>COUNTIF('BLM STATS'!E:E,"BOP")</f>
        <v>26</v>
      </c>
      <c r="C29" s="48">
        <f>SUM('BY OWNER - CAUSE'!W5)</f>
        <v>2801.35</v>
      </c>
      <c r="D29" s="48">
        <f>SUM('BY OWNER - CAUSE'!X5)</f>
        <v>91</v>
      </c>
      <c r="E29" s="48">
        <f>SUM('BY OWNER - CAUSE'!W6:X6)</f>
        <v>2892.35</v>
      </c>
      <c r="G29" s="1155" t="s">
        <v>136</v>
      </c>
      <c r="H29" s="1156"/>
      <c r="I29" s="1156"/>
      <c r="J29" s="1157"/>
      <c r="K29" s="217">
        <f>COUNTIF('BLM STATS'!AL:AL,"Y")</f>
        <v>8</v>
      </c>
    </row>
    <row r="30" spans="1:13" ht="15" customHeight="1" x14ac:dyDescent="0.2">
      <c r="A30" s="267" t="s">
        <v>51</v>
      </c>
      <c r="B30" s="48">
        <f>COUNTIF('BLM STATS'!E:E,"BFO")</f>
        <v>9</v>
      </c>
      <c r="C30" s="48">
        <f>SUM('BY OWNER - CAUSE'!Y5)</f>
        <v>0</v>
      </c>
      <c r="D30" s="48">
        <f>SUM('BY OWNER - CAUSE'!Z5)</f>
        <v>38564</v>
      </c>
      <c r="E30" s="48">
        <f>SUM('BY OWNER - CAUSE'!Y6:Z6)</f>
        <v>38564</v>
      </c>
      <c r="G30" s="1130" t="s">
        <v>183</v>
      </c>
      <c r="H30" s="1131"/>
      <c r="I30" s="1131"/>
      <c r="J30" s="1132"/>
      <c r="K30" s="319">
        <f>COUNTIF('BLM STATS'!AG:AG,"Y")</f>
        <v>28</v>
      </c>
    </row>
    <row r="31" spans="1:13" ht="15" customHeight="1" x14ac:dyDescent="0.2">
      <c r="A31" s="267" t="s">
        <v>52</v>
      </c>
      <c r="B31" s="48">
        <f>COUNTIF('BLM STATS'!E:E,"OFO")</f>
        <v>11</v>
      </c>
      <c r="C31" s="48">
        <f>SUM('BY OWNER - CAUSE'!AA5)</f>
        <v>265.10000000000002</v>
      </c>
      <c r="D31" s="48">
        <f>SUM('BY OWNER - CAUSE'!AB5)</f>
        <v>11615.25</v>
      </c>
      <c r="E31" s="48">
        <f>SUM('BY OWNER - CAUSE'!AA6:AB6)</f>
        <v>11880.35</v>
      </c>
      <c r="G31" s="1158" t="s">
        <v>142</v>
      </c>
      <c r="H31" s="1159"/>
      <c r="I31" s="1159"/>
      <c r="J31" s="1160"/>
      <c r="K31" s="319">
        <f>COUNTIF('BLM STATS'!AH:AH,"Y")</f>
        <v>11</v>
      </c>
    </row>
    <row r="32" spans="1:13" ht="15" customHeight="1" x14ac:dyDescent="0.25">
      <c r="A32" s="48" t="s">
        <v>141</v>
      </c>
      <c r="B32" s="48">
        <f>COUNTIF('BLM STATS'!E:E,"OMA")</f>
        <v>0</v>
      </c>
      <c r="C32" s="48">
        <f>SUM('BY OWNER - CAUSE'!AC5)</f>
        <v>0</v>
      </c>
      <c r="D32" s="48"/>
      <c r="E32" s="48"/>
      <c r="G32" s="1165" t="s">
        <v>168</v>
      </c>
      <c r="H32" s="1165"/>
      <c r="I32" s="1165"/>
      <c r="J32" s="1165"/>
      <c r="K32" s="55">
        <f>COUNTIF('BLM STATS'!AM5:AM304,"Y")</f>
        <v>31</v>
      </c>
    </row>
    <row r="33" spans="1:13" s="63" customFormat="1" ht="14.25" customHeight="1" x14ac:dyDescent="0.25">
      <c r="A33" s="324" t="s">
        <v>239</v>
      </c>
      <c r="B33" s="324">
        <f>COUNTIF('BLM STATS'!AJ5:AJ269,"Y")</f>
        <v>2</v>
      </c>
      <c r="C33" s="272" t="s">
        <v>64</v>
      </c>
      <c r="D33" s="272" t="s">
        <v>64</v>
      </c>
      <c r="E33" s="324">
        <f>SUMIF('BLM STATS'!AJ:AJ,"Y",'BLM STATS'!O:O)</f>
        <v>0.35</v>
      </c>
      <c r="G33" s="1149" t="s">
        <v>138</v>
      </c>
      <c r="H33" s="1150"/>
      <c r="I33" s="1150"/>
      <c r="J33" s="1150"/>
      <c r="K33" s="44">
        <f>COUNTIF('BLM STATS'!AK:AK,"Y")</f>
        <v>73</v>
      </c>
    </row>
    <row r="34" spans="1:13" ht="14.25" customHeight="1" x14ac:dyDescent="0.25">
      <c r="A34" s="63"/>
      <c r="B34" s="63"/>
      <c r="C34" s="63"/>
      <c r="D34" s="63"/>
      <c r="E34" s="63"/>
      <c r="G34" s="1146" t="s">
        <v>137</v>
      </c>
      <c r="H34" s="1147"/>
      <c r="I34" s="1147"/>
      <c r="J34" s="1148"/>
      <c r="K34" s="45">
        <f>COUNTIF('BLM STATS'!AF:AF,"Y")</f>
        <v>12</v>
      </c>
    </row>
    <row r="35" spans="1:13" ht="15" customHeight="1" x14ac:dyDescent="0.25">
      <c r="A35" s="1128" t="s">
        <v>161</v>
      </c>
      <c r="B35" s="1109" t="s">
        <v>48</v>
      </c>
      <c r="C35" s="1184" t="s">
        <v>146</v>
      </c>
      <c r="D35" s="1184" t="s">
        <v>66</v>
      </c>
      <c r="E35" s="1184" t="s">
        <v>4</v>
      </c>
      <c r="G35" s="1146" t="s">
        <v>143</v>
      </c>
      <c r="H35" s="1147"/>
      <c r="I35" s="1147"/>
      <c r="J35" s="1148"/>
      <c r="K35" s="45">
        <f>COUNTIF('BLM STATS'!AE:AE,"Y")</f>
        <v>90</v>
      </c>
      <c r="M35" s="1" t="s">
        <v>6</v>
      </c>
    </row>
    <row r="36" spans="1:13" ht="15" customHeight="1" x14ac:dyDescent="0.25">
      <c r="A36" s="1129"/>
      <c r="B36" s="1020"/>
      <c r="C36" s="1020"/>
      <c r="D36" s="1020"/>
      <c r="E36" s="1020"/>
      <c r="G36" s="422"/>
      <c r="H36" s="1188" t="s">
        <v>184</v>
      </c>
      <c r="I36" s="1188"/>
      <c r="J36" s="1189"/>
      <c r="K36" s="424">
        <f>COUNTIF('BLM STATS'!AN5:AN304,"Y")</f>
        <v>23</v>
      </c>
    </row>
    <row r="37" spans="1:13" ht="15" customHeight="1" x14ac:dyDescent="0.25">
      <c r="A37" s="267" t="s">
        <v>162</v>
      </c>
      <c r="B37" s="48">
        <f>COUNTIF('BLM STATS'!AI5:AI269,"NORTH FORK OWYHEE")</f>
        <v>0</v>
      </c>
      <c r="C37" s="48">
        <f>SUM('BY OWNER - CAUSE'!AC5)</f>
        <v>0</v>
      </c>
      <c r="D37" s="48"/>
      <c r="E37" s="48">
        <f>SUMIF('BLM STATS'!AI:AI,"NORTH FORK OWYHEE",'BLM STATS'!O:O)</f>
        <v>0</v>
      </c>
      <c r="G37" s="1190"/>
      <c r="H37" s="1190"/>
      <c r="I37" s="1190"/>
      <c r="J37" s="1190"/>
      <c r="K37" s="63"/>
    </row>
    <row r="38" spans="1:13" ht="15" customHeight="1" x14ac:dyDescent="0.25">
      <c r="A38" s="267" t="s">
        <v>163</v>
      </c>
      <c r="B38" s="48">
        <f>COUNTIF('BLM STATS'!AI5:AI269,"POLE CREEK")</f>
        <v>0</v>
      </c>
      <c r="C38" s="48">
        <f>SUM('BY OWNER - CAUSE'!AE5)</f>
        <v>0</v>
      </c>
      <c r="D38" s="48">
        <f>SUM('BY OWNER - CAUSE'!AF5)</f>
        <v>0</v>
      </c>
      <c r="E38" s="48">
        <f>SUMIF('BLM STATS'!AI:AI,"POLE CREEK",'BLM STATS'!O:O)</f>
        <v>0</v>
      </c>
      <c r="G38" s="1185" t="s">
        <v>160</v>
      </c>
      <c r="H38" s="1186"/>
      <c r="I38" s="1187"/>
      <c r="J38" s="423" t="s">
        <v>5</v>
      </c>
      <c r="K38" s="423" t="s">
        <v>60</v>
      </c>
    </row>
    <row r="39" spans="1:13" ht="15" customHeight="1" x14ac:dyDescent="0.25">
      <c r="A39" s="267" t="s">
        <v>164</v>
      </c>
      <c r="B39" s="48">
        <f>COUNTIF('BLM STATS'!AI5:AI269,"OWYHEE RIVER")</f>
        <v>1</v>
      </c>
      <c r="C39" s="48">
        <f>SUM('BY OWNER - CAUSE'!AG5)</f>
        <v>0</v>
      </c>
      <c r="D39" s="48">
        <f>SUM('BY OWNER - CAUSE'!AH5)</f>
        <v>0</v>
      </c>
      <c r="E39" s="48">
        <f>SUMIF('BLM STATS'!AI:AI,"OWYHEE RIVER",'BLM STATS'!O:O)</f>
        <v>9490</v>
      </c>
      <c r="G39" s="1181" t="s">
        <v>55</v>
      </c>
      <c r="H39" s="1182"/>
      <c r="I39" s="1183"/>
      <c r="J39" s="48">
        <f>COUNTIF('BLM STATS'!AD5:AD269,"LOOKOUT")</f>
        <v>5</v>
      </c>
      <c r="K39" s="429">
        <f>J39/D5</f>
        <v>0.05</v>
      </c>
    </row>
    <row r="40" spans="1:13" ht="15" customHeight="1" x14ac:dyDescent="0.25">
      <c r="A40" s="267" t="s">
        <v>165</v>
      </c>
      <c r="B40" s="48">
        <f>COUNTIF('BLM STATS'!AI5:AI269,"LITTLE JACKS CREEK")</f>
        <v>0</v>
      </c>
      <c r="C40" s="48">
        <f>SUM('BY OWNER - CAUSE'!AI5)</f>
        <v>0</v>
      </c>
      <c r="D40" s="48">
        <f>SUM('BY OWNER - CAUSE'!AJ5)</f>
        <v>0</v>
      </c>
      <c r="E40" s="48">
        <f>SUMIF('BLM STATS'!AI:AI,"LITTLE JACKS CREEK",'BLM STATS'!O:O)</f>
        <v>0</v>
      </c>
      <c r="G40" s="1181" t="s">
        <v>56</v>
      </c>
      <c r="H40" s="1182"/>
      <c r="I40" s="1183"/>
      <c r="J40" s="48">
        <f>COUNTIF('BLM STATS'!AD5:AD269,"AIRCRAFT")</f>
        <v>10</v>
      </c>
      <c r="K40" s="429">
        <f>J40/D5</f>
        <v>0.1</v>
      </c>
    </row>
    <row r="41" spans="1:13" ht="15" customHeight="1" x14ac:dyDescent="0.25">
      <c r="A41" s="267" t="s">
        <v>166</v>
      </c>
      <c r="B41" s="48">
        <f>COUNTIF('BLM STATS'!AI5:AI269,"BIG JACKS CREEK")</f>
        <v>0</v>
      </c>
      <c r="C41" s="48">
        <f>SUM('BY OWNER - CAUSE'!AK5)</f>
        <v>0</v>
      </c>
      <c r="D41" s="48">
        <f>SUM('BY OWNER - CAUSE'!AL5)</f>
        <v>0</v>
      </c>
      <c r="E41" s="48">
        <f>SUMIF('BLM STATS'!AI:AI,"BIG JACKS CREEK",'BLM STATS'!O:O)</f>
        <v>0</v>
      </c>
      <c r="G41" s="1181" t="s">
        <v>57</v>
      </c>
      <c r="H41" s="1182"/>
      <c r="I41" s="1183"/>
      <c r="J41" s="48">
        <f>COUNTIF('BLM STATS'!AD5:AD269,"PRIVATE")</f>
        <v>16</v>
      </c>
      <c r="K41" s="429">
        <f>J41/D5</f>
        <v>0.16</v>
      </c>
    </row>
    <row r="42" spans="1:13" ht="15" customHeight="1" x14ac:dyDescent="0.25">
      <c r="A42" s="267" t="s">
        <v>167</v>
      </c>
      <c r="B42" s="48">
        <f>COUNTIF('BLM STATS'!AI5:AI269,"BRUNEAU JARBIDGE")</f>
        <v>1</v>
      </c>
      <c r="C42" s="48">
        <f>SUM('BY OWNER - CAUSE'!AM5)</f>
        <v>0</v>
      </c>
      <c r="D42" s="48">
        <f>SUM('BY OWNER - CAUSE'!AN5)</f>
        <v>0</v>
      </c>
      <c r="E42" s="48">
        <f>SUMIF('BLM STATS'!AI:AI,"BRUNEAU JARBIDGE",'BLM STATS'!O:O)</f>
        <v>3245</v>
      </c>
      <c r="G42" s="1181" t="s">
        <v>58</v>
      </c>
      <c r="H42" s="1182"/>
      <c r="I42" s="1183"/>
      <c r="J42" s="48">
        <f>COUNTIF('BLM STATS'!AD5:AD269,"AGENCY")</f>
        <v>24</v>
      </c>
      <c r="K42" s="429">
        <f>J42/D5</f>
        <v>0.24</v>
      </c>
    </row>
    <row r="43" spans="1:13" ht="15" customHeight="1" x14ac:dyDescent="0.25">
      <c r="G43" s="1181" t="s">
        <v>59</v>
      </c>
      <c r="H43" s="1182"/>
      <c r="I43" s="1183"/>
      <c r="J43" s="48">
        <f>COUNTIF('BLM STATS'!AD5:AD269,"COUNTY")</f>
        <v>44</v>
      </c>
      <c r="K43" s="429">
        <f>J43/D5</f>
        <v>0.44</v>
      </c>
    </row>
  </sheetData>
  <mergeCells count="81">
    <mergeCell ref="A6:K6"/>
    <mergeCell ref="A24:K24"/>
    <mergeCell ref="G43:I43"/>
    <mergeCell ref="B35:B36"/>
    <mergeCell ref="C35:C36"/>
    <mergeCell ref="D35:D36"/>
    <mergeCell ref="E35:E36"/>
    <mergeCell ref="G38:I38"/>
    <mergeCell ref="G39:I39"/>
    <mergeCell ref="G40:I40"/>
    <mergeCell ref="G41:I41"/>
    <mergeCell ref="G42:I42"/>
    <mergeCell ref="H36:J36"/>
    <mergeCell ref="G37:J37"/>
    <mergeCell ref="A8:A9"/>
    <mergeCell ref="B13:C13"/>
    <mergeCell ref="I23:K23"/>
    <mergeCell ref="A26:E26"/>
    <mergeCell ref="G32:J32"/>
    <mergeCell ref="I22:K22"/>
    <mergeCell ref="D13:E13"/>
    <mergeCell ref="I14:K14"/>
    <mergeCell ref="B17:C17"/>
    <mergeCell ref="D17:E17"/>
    <mergeCell ref="I17:K17"/>
    <mergeCell ref="B14:C14"/>
    <mergeCell ref="B15:C15"/>
    <mergeCell ref="G25:J25"/>
    <mergeCell ref="B18:C18"/>
    <mergeCell ref="D18:E18"/>
    <mergeCell ref="I18:K18"/>
    <mergeCell ref="I13:K13"/>
    <mergeCell ref="A35:A36"/>
    <mergeCell ref="G30:J30"/>
    <mergeCell ref="A22:E22"/>
    <mergeCell ref="A23:E23"/>
    <mergeCell ref="D19:E19"/>
    <mergeCell ref="I19:K19"/>
    <mergeCell ref="I21:K21"/>
    <mergeCell ref="A21:E21"/>
    <mergeCell ref="G34:J34"/>
    <mergeCell ref="G35:J35"/>
    <mergeCell ref="G33:J33"/>
    <mergeCell ref="G26:J26"/>
    <mergeCell ref="G27:J27"/>
    <mergeCell ref="G28:J28"/>
    <mergeCell ref="G29:J29"/>
    <mergeCell ref="G31:J31"/>
    <mergeCell ref="A4:C4"/>
    <mergeCell ref="F2:K2"/>
    <mergeCell ref="F3:J3"/>
    <mergeCell ref="F4:J4"/>
    <mergeCell ref="A2:D2"/>
    <mergeCell ref="I16:K16"/>
    <mergeCell ref="B16:C16"/>
    <mergeCell ref="D16:E16"/>
    <mergeCell ref="I15:K15"/>
    <mergeCell ref="D15:E15"/>
    <mergeCell ref="B19:C19"/>
    <mergeCell ref="D10:E10"/>
    <mergeCell ref="D11:E11"/>
    <mergeCell ref="D12:E12"/>
    <mergeCell ref="D14:E14"/>
    <mergeCell ref="B10:C10"/>
    <mergeCell ref="B11:C11"/>
    <mergeCell ref="M2:O2"/>
    <mergeCell ref="M3:N3"/>
    <mergeCell ref="M4:N4"/>
    <mergeCell ref="M5:N5"/>
    <mergeCell ref="B12:C12"/>
    <mergeCell ref="I10:K10"/>
    <mergeCell ref="I11:K11"/>
    <mergeCell ref="I12:K12"/>
    <mergeCell ref="B8:C9"/>
    <mergeCell ref="D8:E9"/>
    <mergeCell ref="F8:H8"/>
    <mergeCell ref="I8:K9"/>
    <mergeCell ref="A5:C5"/>
    <mergeCell ref="F5:J5"/>
    <mergeCell ref="A7:K7"/>
    <mergeCell ref="A3:C3"/>
  </mergeCells>
  <pageMargins left="0.5" right="0.5" top="0.25" bottom="0.25" header="0.3" footer="0.3"/>
  <pageSetup paperSiz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3"/>
  <sheetViews>
    <sheetView zoomScaleNormal="100" workbookViewId="0">
      <selection activeCell="G75" sqref="G75"/>
    </sheetView>
  </sheetViews>
  <sheetFormatPr defaultRowHeight="15" customHeight="1" x14ac:dyDescent="0.25"/>
  <cols>
    <col min="1" max="1" width="8.140625" style="2" customWidth="1"/>
    <col min="2" max="3" width="7.28515625" style="363" customWidth="1"/>
    <col min="4" max="4" width="7.85546875" style="363" customWidth="1"/>
    <col min="5" max="5" width="6.28515625" style="364" customWidth="1"/>
    <col min="6" max="6" width="7" style="363" bestFit="1" customWidth="1"/>
    <col min="7" max="7" width="29.85546875" style="363" customWidth="1"/>
    <col min="8" max="8" width="12.42578125" style="363" bestFit="1" customWidth="1"/>
    <col min="9" max="9" width="11.140625" style="363" bestFit="1" customWidth="1"/>
    <col min="10" max="10" width="6.140625" style="363" customWidth="1"/>
    <col min="11" max="13" width="9.140625" style="363"/>
    <col min="14" max="14" width="9.140625" style="2"/>
    <col min="15" max="15" width="5.7109375" style="2" customWidth="1"/>
    <col min="16" max="16" width="4.42578125" style="458" customWidth="1"/>
    <col min="17" max="17" width="4.28515625" style="460" customWidth="1"/>
    <col min="18" max="18" width="6.5703125" style="462" bestFit="1" customWidth="1"/>
    <col min="19" max="19" width="3.7109375" style="465" customWidth="1"/>
    <col min="20" max="20" width="5.140625" style="474" customWidth="1"/>
    <col min="21" max="21" width="6.140625" style="474" customWidth="1"/>
    <col min="22" max="22" width="6.28515625" style="476" bestFit="1" customWidth="1"/>
    <col min="23" max="23" width="6.5703125" style="478" bestFit="1" customWidth="1"/>
    <col min="24" max="24" width="9.140625" style="452"/>
    <col min="25" max="26" width="8.7109375" style="452" customWidth="1"/>
    <col min="27" max="28" width="9.140625" style="363" customWidth="1"/>
    <col min="29" max="29" width="8.5703125" style="363" customWidth="1"/>
    <col min="30" max="30" width="5.28515625" style="363" customWidth="1"/>
    <col min="31" max="31" width="9.140625" style="363"/>
    <col min="32" max="32" width="7.28515625" style="363" customWidth="1"/>
    <col min="33" max="33" width="10" style="363" customWidth="1"/>
    <col min="34" max="35" width="10" style="363" hidden="1" customWidth="1"/>
    <col min="36" max="36" width="10" style="363" customWidth="1"/>
    <col min="37" max="42" width="9.140625" style="2"/>
    <col min="43" max="43" width="9.140625" style="270"/>
    <col min="44" max="44" width="10.42578125" style="2" customWidth="1"/>
    <col min="45" max="16384" width="9.140625" style="2"/>
  </cols>
  <sheetData>
    <row r="1" spans="1:44" ht="15" customHeight="1" x14ac:dyDescent="0.25">
      <c r="A1" s="1071" t="s">
        <v>286</v>
      </c>
      <c r="B1" s="1202"/>
      <c r="C1" s="1202"/>
      <c r="D1" s="1202"/>
      <c r="E1" s="1202"/>
      <c r="F1" s="1202"/>
      <c r="G1" s="1202"/>
      <c r="H1" s="1202"/>
      <c r="I1" s="1202"/>
    </row>
    <row r="2" spans="1:44" ht="12.75" customHeight="1" x14ac:dyDescent="0.25">
      <c r="A2" s="1013" t="s">
        <v>0</v>
      </c>
      <c r="B2" s="1068" t="s">
        <v>25</v>
      </c>
      <c r="C2" s="1066" t="s">
        <v>29</v>
      </c>
      <c r="D2" s="1066" t="s">
        <v>72</v>
      </c>
      <c r="E2" s="1203" t="s">
        <v>73</v>
      </c>
      <c r="F2" s="1068" t="s">
        <v>139</v>
      </c>
      <c r="G2" s="1068" t="s">
        <v>7</v>
      </c>
      <c r="H2" s="1066" t="s">
        <v>112</v>
      </c>
      <c r="I2" s="1068" t="s">
        <v>96</v>
      </c>
      <c r="J2" s="1068" t="s">
        <v>27</v>
      </c>
      <c r="K2" s="1195" t="s">
        <v>24</v>
      </c>
      <c r="L2" s="1196"/>
      <c r="M2" s="1197"/>
      <c r="N2" s="1017" t="s">
        <v>3</v>
      </c>
      <c r="O2" s="1073"/>
      <c r="P2" s="1073"/>
      <c r="Q2" s="1073"/>
      <c r="R2" s="1073"/>
      <c r="S2" s="1073"/>
      <c r="T2" s="1073"/>
      <c r="U2" s="1073"/>
      <c r="V2" s="1073"/>
      <c r="W2" s="1074"/>
      <c r="X2" s="1200" t="s">
        <v>87</v>
      </c>
      <c r="Y2" s="1198" t="s">
        <v>28</v>
      </c>
      <c r="Z2" s="1200" t="s">
        <v>207</v>
      </c>
      <c r="AA2" s="1066" t="s">
        <v>140</v>
      </c>
      <c r="AB2" s="1068" t="s">
        <v>30</v>
      </c>
      <c r="AC2" s="1066" t="s">
        <v>88</v>
      </c>
      <c r="AD2" s="1068" t="s">
        <v>31</v>
      </c>
      <c r="AE2" s="1066" t="s">
        <v>135</v>
      </c>
      <c r="AF2" s="1068" t="s">
        <v>33</v>
      </c>
      <c r="AG2" s="1083" t="s">
        <v>170</v>
      </c>
      <c r="AH2" s="1083" t="s">
        <v>226</v>
      </c>
      <c r="AI2" s="1083" t="s">
        <v>171</v>
      </c>
      <c r="AJ2" s="1083" t="s">
        <v>234</v>
      </c>
      <c r="AK2" s="103" t="s">
        <v>144</v>
      </c>
    </row>
    <row r="3" spans="1:44" ht="31.5" customHeight="1" x14ac:dyDescent="0.25">
      <c r="A3" s="1020"/>
      <c r="B3" s="1069"/>
      <c r="C3" s="1070"/>
      <c r="D3" s="1067"/>
      <c r="E3" s="1204"/>
      <c r="F3" s="1069"/>
      <c r="G3" s="1069"/>
      <c r="H3" s="1075"/>
      <c r="I3" s="1069"/>
      <c r="J3" s="1069"/>
      <c r="K3" s="456" t="s">
        <v>26</v>
      </c>
      <c r="L3" s="456" t="s">
        <v>34</v>
      </c>
      <c r="M3" s="456" t="s">
        <v>35</v>
      </c>
      <c r="N3" s="32" t="s">
        <v>5</v>
      </c>
      <c r="O3" s="27" t="s">
        <v>93</v>
      </c>
      <c r="P3" s="409" t="s">
        <v>91</v>
      </c>
      <c r="Q3" s="28" t="s">
        <v>95</v>
      </c>
      <c r="R3" s="406" t="s">
        <v>202</v>
      </c>
      <c r="S3" s="466" t="s">
        <v>206</v>
      </c>
      <c r="T3" s="188" t="s">
        <v>205</v>
      </c>
      <c r="U3" s="906" t="s">
        <v>864</v>
      </c>
      <c r="V3" s="31" t="s">
        <v>61</v>
      </c>
      <c r="W3" s="277" t="s">
        <v>62</v>
      </c>
      <c r="X3" s="1201"/>
      <c r="Y3" s="1199"/>
      <c r="Z3" s="1201"/>
      <c r="AA3" s="1075"/>
      <c r="AB3" s="1069"/>
      <c r="AC3" s="1075"/>
      <c r="AD3" s="1069"/>
      <c r="AE3" s="1067"/>
      <c r="AF3" s="1069"/>
      <c r="AG3" s="1084"/>
      <c r="AH3" s="1085"/>
      <c r="AI3" s="1075"/>
      <c r="AJ3" s="1085"/>
      <c r="AK3" s="216"/>
      <c r="AL3" s="29" t="s">
        <v>115</v>
      </c>
      <c r="AM3" s="31" t="s">
        <v>116</v>
      </c>
      <c r="AN3" s="26" t="s">
        <v>117</v>
      </c>
      <c r="AO3" s="27" t="s">
        <v>145</v>
      </c>
      <c r="AP3" s="121" t="s">
        <v>119</v>
      </c>
      <c r="AQ3" s="442" t="s">
        <v>247</v>
      </c>
      <c r="AR3" s="40" t="s">
        <v>3</v>
      </c>
    </row>
    <row r="4" spans="1:44" ht="15" customHeight="1" x14ac:dyDescent="0.25">
      <c r="A4" s="1079" t="s">
        <v>201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80"/>
      <c r="N4" s="32">
        <f>SUM(O4:V4)</f>
        <v>6540.5800000000017</v>
      </c>
      <c r="O4" s="27">
        <f t="shared" ref="O4:W4" si="0">SUM(O5:O350)</f>
        <v>5696.3800000000019</v>
      </c>
      <c r="P4" s="409">
        <f t="shared" si="0"/>
        <v>0</v>
      </c>
      <c r="Q4" s="28">
        <f t="shared" si="0"/>
        <v>1.3</v>
      </c>
      <c r="R4" s="406">
        <f t="shared" si="0"/>
        <v>1</v>
      </c>
      <c r="S4" s="466">
        <f t="shared" si="0"/>
        <v>0</v>
      </c>
      <c r="T4" s="188">
        <f t="shared" si="0"/>
        <v>0.2</v>
      </c>
      <c r="U4" s="906">
        <f t="shared" si="0"/>
        <v>839</v>
      </c>
      <c r="V4" s="31">
        <f t="shared" si="0"/>
        <v>2.7</v>
      </c>
      <c r="W4" s="277">
        <f t="shared" si="0"/>
        <v>5852.8700000000008</v>
      </c>
      <c r="X4" s="574"/>
      <c r="Y4" s="497"/>
      <c r="Z4" s="575"/>
      <c r="AA4" s="498"/>
      <c r="AB4" s="375"/>
      <c r="AC4" s="498"/>
      <c r="AD4" s="375"/>
      <c r="AE4" s="499"/>
      <c r="AF4" s="375"/>
      <c r="AG4" s="375"/>
      <c r="AH4" s="375">
        <f>COUNTIF(AH5:AH332,"Y")</f>
        <v>0</v>
      </c>
      <c r="AI4" s="375">
        <f>COUNTIF(AI5:AI332,"Y")</f>
        <v>0</v>
      </c>
      <c r="AJ4" s="375"/>
      <c r="AK4" s="216" t="s">
        <v>154</v>
      </c>
      <c r="AL4" s="29"/>
      <c r="AM4" s="31"/>
      <c r="AN4" s="26"/>
      <c r="AO4" s="27"/>
      <c r="AP4" s="181"/>
      <c r="AQ4" s="442"/>
      <c r="AR4" s="40"/>
    </row>
    <row r="5" spans="1:44" ht="15" customHeight="1" x14ac:dyDescent="0.25">
      <c r="A5" s="358">
        <v>43144</v>
      </c>
      <c r="B5" s="358" t="s">
        <v>318</v>
      </c>
      <c r="C5" s="729" t="s">
        <v>265</v>
      </c>
      <c r="D5" s="359">
        <v>17</v>
      </c>
      <c r="E5" s="359">
        <v>1</v>
      </c>
      <c r="F5" s="729">
        <v>6</v>
      </c>
      <c r="G5" s="78" t="s">
        <v>317</v>
      </c>
      <c r="H5" s="729" t="s">
        <v>324</v>
      </c>
      <c r="I5" s="729"/>
      <c r="J5" s="729" t="s">
        <v>8</v>
      </c>
      <c r="K5" s="363" t="s">
        <v>319</v>
      </c>
      <c r="L5" s="729" t="s">
        <v>320</v>
      </c>
      <c r="M5" s="729" t="s">
        <v>335</v>
      </c>
      <c r="N5" s="32">
        <f>SUM(O5:W5)</f>
        <v>11.9</v>
      </c>
      <c r="O5" s="16">
        <v>11</v>
      </c>
      <c r="P5" s="410"/>
      <c r="Q5" s="17"/>
      <c r="R5" s="407">
        <v>0.9</v>
      </c>
      <c r="S5" s="84"/>
      <c r="T5" s="187"/>
      <c r="U5" s="76"/>
      <c r="V5" s="445"/>
      <c r="W5" s="82"/>
      <c r="X5" s="733">
        <v>43144</v>
      </c>
      <c r="Y5" s="733">
        <v>43145</v>
      </c>
      <c r="Z5" s="733">
        <v>43146</v>
      </c>
      <c r="AA5" s="730" t="s">
        <v>311</v>
      </c>
      <c r="AB5" s="730" t="s">
        <v>312</v>
      </c>
      <c r="AC5" s="730" t="s">
        <v>313</v>
      </c>
      <c r="AD5" s="730" t="s">
        <v>313</v>
      </c>
      <c r="AE5" s="730" t="s">
        <v>313</v>
      </c>
      <c r="AF5" s="730" t="s">
        <v>315</v>
      </c>
      <c r="AG5" s="730" t="s">
        <v>315</v>
      </c>
      <c r="AH5" s="730"/>
      <c r="AI5" s="730"/>
      <c r="AJ5" s="730" t="s">
        <v>321</v>
      </c>
      <c r="AK5" s="320" t="s">
        <v>120</v>
      </c>
      <c r="AL5" s="18"/>
      <c r="AM5" s="120"/>
      <c r="AN5" s="15"/>
      <c r="AO5" s="16"/>
      <c r="AP5" s="119"/>
      <c r="AQ5" s="185"/>
      <c r="AR5" s="41"/>
    </row>
    <row r="6" spans="1:44" s="270" customFormat="1" ht="15" customHeight="1" x14ac:dyDescent="0.25">
      <c r="A6" s="358">
        <v>43217</v>
      </c>
      <c r="B6" s="358" t="s">
        <v>361</v>
      </c>
      <c r="C6" s="729" t="s">
        <v>93</v>
      </c>
      <c r="D6" s="359">
        <v>112</v>
      </c>
      <c r="E6" s="359">
        <v>2</v>
      </c>
      <c r="F6" s="830"/>
      <c r="G6" s="17" t="s">
        <v>366</v>
      </c>
      <c r="H6" s="729" t="s">
        <v>363</v>
      </c>
      <c r="I6" s="729"/>
      <c r="J6" s="729" t="s">
        <v>367</v>
      </c>
      <c r="K6" s="729" t="s">
        <v>368</v>
      </c>
      <c r="L6" s="729" t="s">
        <v>395</v>
      </c>
      <c r="M6" s="729" t="s">
        <v>364</v>
      </c>
      <c r="N6" s="32">
        <f t="shared" ref="N6:N77" si="1">SUM(O6:W6)</f>
        <v>0.3</v>
      </c>
      <c r="O6" s="16">
        <v>0.3</v>
      </c>
      <c r="P6" s="410"/>
      <c r="Q6" s="17"/>
      <c r="R6" s="407"/>
      <c r="S6" s="84"/>
      <c r="T6" s="187"/>
      <c r="U6" s="76"/>
      <c r="V6" s="445"/>
      <c r="W6" s="82"/>
      <c r="X6" s="833"/>
      <c r="Y6" s="833"/>
      <c r="Z6" s="833"/>
      <c r="AA6" s="834"/>
      <c r="AB6" s="834"/>
      <c r="AC6" s="834"/>
      <c r="AD6" s="834"/>
      <c r="AE6" s="834"/>
      <c r="AF6" s="834"/>
      <c r="AG6" s="834"/>
      <c r="AH6" s="834"/>
      <c r="AI6" s="834"/>
      <c r="AJ6" s="834"/>
      <c r="AK6" s="320" t="s">
        <v>121</v>
      </c>
      <c r="AL6" s="18"/>
      <c r="AM6" s="120"/>
      <c r="AN6" s="15"/>
      <c r="AO6" s="16"/>
      <c r="AP6" s="119"/>
      <c r="AQ6" s="185"/>
      <c r="AR6" s="41"/>
    </row>
    <row r="7" spans="1:44" s="481" customFormat="1" ht="15" customHeight="1" x14ac:dyDescent="0.25">
      <c r="A7" s="832">
        <v>43223</v>
      </c>
      <c r="B7" s="201" t="s">
        <v>397</v>
      </c>
      <c r="C7" s="201" t="s">
        <v>93</v>
      </c>
      <c r="D7" s="201">
        <v>133</v>
      </c>
      <c r="E7" s="827"/>
      <c r="F7" s="201"/>
      <c r="G7" s="201" t="s">
        <v>371</v>
      </c>
      <c r="H7" s="201"/>
      <c r="I7" s="201"/>
      <c r="J7" s="201" t="s">
        <v>327</v>
      </c>
      <c r="K7" s="201" t="s">
        <v>374</v>
      </c>
      <c r="L7" s="201" t="s">
        <v>372</v>
      </c>
      <c r="M7" s="201" t="s">
        <v>373</v>
      </c>
      <c r="N7" s="32">
        <f t="shared" si="1"/>
        <v>0</v>
      </c>
      <c r="O7" s="849"/>
      <c r="P7" s="850"/>
      <c r="Q7" s="849"/>
      <c r="R7" s="850"/>
      <c r="S7" s="849"/>
      <c r="T7" s="849"/>
      <c r="U7" s="76"/>
      <c r="V7" s="849"/>
      <c r="W7" s="849"/>
      <c r="X7" s="833"/>
      <c r="Y7" s="833"/>
      <c r="Z7" s="833"/>
      <c r="AA7" s="833"/>
      <c r="AB7" s="833"/>
      <c r="AC7" s="833"/>
      <c r="AD7" s="833"/>
      <c r="AE7" s="833"/>
      <c r="AF7" s="833"/>
      <c r="AG7" s="833"/>
      <c r="AH7" s="833"/>
      <c r="AI7" s="833"/>
      <c r="AJ7" s="833"/>
      <c r="AK7" s="852" t="s">
        <v>122</v>
      </c>
      <c r="AL7" s="849"/>
      <c r="AM7" s="849"/>
      <c r="AN7" s="849"/>
      <c r="AO7" s="849"/>
      <c r="AP7" s="849"/>
      <c r="AQ7" s="849"/>
      <c r="AR7" s="849"/>
    </row>
    <row r="8" spans="1:44" s="481" customFormat="1" ht="15" customHeight="1" x14ac:dyDescent="0.25">
      <c r="A8" s="817">
        <v>43242</v>
      </c>
      <c r="B8" s="817" t="s">
        <v>397</v>
      </c>
      <c r="C8" s="849" t="s">
        <v>93</v>
      </c>
      <c r="D8" s="819">
        <v>202</v>
      </c>
      <c r="E8" s="849"/>
      <c r="F8" s="849"/>
      <c r="G8" s="849" t="s">
        <v>396</v>
      </c>
      <c r="H8" s="849"/>
      <c r="I8" s="849"/>
      <c r="J8" s="849" t="s">
        <v>327</v>
      </c>
      <c r="K8" s="849" t="s">
        <v>398</v>
      </c>
      <c r="L8" s="849" t="s">
        <v>399</v>
      </c>
      <c r="M8" s="849" t="s">
        <v>400</v>
      </c>
      <c r="N8" s="32">
        <f t="shared" si="1"/>
        <v>0</v>
      </c>
      <c r="O8" s="849"/>
      <c r="P8" s="850"/>
      <c r="Q8" s="849"/>
      <c r="R8" s="850"/>
      <c r="S8" s="849"/>
      <c r="T8" s="849"/>
      <c r="U8" s="76"/>
      <c r="V8" s="849"/>
      <c r="W8" s="849"/>
      <c r="X8" s="833"/>
      <c r="Y8" s="833"/>
      <c r="Z8" s="833"/>
      <c r="AA8" s="834"/>
      <c r="AB8" s="834"/>
      <c r="AC8" s="834"/>
      <c r="AD8" s="834"/>
      <c r="AE8" s="834"/>
      <c r="AF8" s="834"/>
      <c r="AG8" s="834"/>
      <c r="AH8" s="834"/>
      <c r="AI8" s="834"/>
      <c r="AJ8" s="834"/>
      <c r="AK8" s="852" t="s">
        <v>123</v>
      </c>
      <c r="AL8" s="849"/>
      <c r="AM8" s="849"/>
      <c r="AN8" s="849"/>
      <c r="AO8" s="849"/>
      <c r="AP8" s="849"/>
      <c r="AQ8" s="849"/>
      <c r="AR8" s="849"/>
    </row>
    <row r="9" spans="1:44" ht="15" customHeight="1" x14ac:dyDescent="0.25">
      <c r="A9" s="358">
        <v>43243</v>
      </c>
      <c r="B9" s="358" t="s">
        <v>397</v>
      </c>
      <c r="C9" s="729" t="s">
        <v>93</v>
      </c>
      <c r="D9" s="359">
        <v>213</v>
      </c>
      <c r="E9" s="729">
        <v>3</v>
      </c>
      <c r="F9" s="729">
        <v>6</v>
      </c>
      <c r="G9" s="78" t="s">
        <v>43</v>
      </c>
      <c r="H9" s="729" t="s">
        <v>405</v>
      </c>
      <c r="I9" s="729" t="s">
        <v>523</v>
      </c>
      <c r="J9" s="729" t="s">
        <v>9</v>
      </c>
      <c r="K9" s="729" t="s">
        <v>406</v>
      </c>
      <c r="L9" s="729" t="s">
        <v>407</v>
      </c>
      <c r="M9" s="729" t="s">
        <v>429</v>
      </c>
      <c r="N9" s="32">
        <f t="shared" si="1"/>
        <v>0.6</v>
      </c>
      <c r="O9" s="16">
        <v>0.6</v>
      </c>
      <c r="P9" s="410"/>
      <c r="Q9" s="17"/>
      <c r="R9" s="407"/>
      <c r="S9" s="84"/>
      <c r="T9" s="187"/>
      <c r="U9" s="76"/>
      <c r="V9" s="445"/>
      <c r="W9" s="82"/>
      <c r="X9" s="733">
        <v>43244</v>
      </c>
      <c r="Y9" s="733">
        <v>43245</v>
      </c>
      <c r="Z9" s="733">
        <v>43245</v>
      </c>
      <c r="AA9" s="730" t="s">
        <v>311</v>
      </c>
      <c r="AB9" s="730" t="s">
        <v>312</v>
      </c>
      <c r="AC9" s="730" t="s">
        <v>313</v>
      </c>
      <c r="AD9" s="730" t="s">
        <v>314</v>
      </c>
      <c r="AE9" s="730" t="s">
        <v>314</v>
      </c>
      <c r="AF9" s="730" t="s">
        <v>313</v>
      </c>
      <c r="AG9" s="730" t="s">
        <v>315</v>
      </c>
      <c r="AH9" s="730"/>
      <c r="AI9" s="730"/>
      <c r="AJ9" s="730" t="s">
        <v>316</v>
      </c>
      <c r="AK9" s="320" t="s">
        <v>124</v>
      </c>
      <c r="AL9" s="18"/>
      <c r="AM9" s="120"/>
      <c r="AN9" s="15"/>
      <c r="AO9" s="16"/>
      <c r="AP9" s="119"/>
      <c r="AQ9" s="185"/>
      <c r="AR9" s="41"/>
    </row>
    <row r="10" spans="1:44" s="270" customFormat="1" ht="15" customHeight="1" x14ac:dyDescent="0.25">
      <c r="A10" s="817">
        <v>43245</v>
      </c>
      <c r="B10" s="817" t="s">
        <v>410</v>
      </c>
      <c r="C10" s="838" t="s">
        <v>266</v>
      </c>
      <c r="D10" s="819">
        <v>220</v>
      </c>
      <c r="E10" s="838"/>
      <c r="F10" s="838"/>
      <c r="G10" s="813" t="s">
        <v>419</v>
      </c>
      <c r="H10" s="842" t="s">
        <v>411</v>
      </c>
      <c r="I10" s="842"/>
      <c r="J10" s="842" t="s">
        <v>172</v>
      </c>
      <c r="K10" s="842" t="s">
        <v>423</v>
      </c>
      <c r="L10" s="842" t="s">
        <v>424</v>
      </c>
      <c r="M10" s="842" t="s">
        <v>425</v>
      </c>
      <c r="N10" s="32">
        <f t="shared" si="1"/>
        <v>1</v>
      </c>
      <c r="O10" s="16"/>
      <c r="P10" s="410"/>
      <c r="Q10" s="17"/>
      <c r="R10" s="407"/>
      <c r="S10" s="84"/>
      <c r="T10" s="187"/>
      <c r="U10" s="76"/>
      <c r="V10" s="837"/>
      <c r="W10" s="82">
        <v>1</v>
      </c>
      <c r="X10" s="833"/>
      <c r="Y10" s="833"/>
      <c r="Z10" s="833"/>
      <c r="AA10" s="834"/>
      <c r="AB10" s="834"/>
      <c r="AC10" s="834"/>
      <c r="AD10" s="834"/>
      <c r="AE10" s="834"/>
      <c r="AF10" s="834"/>
      <c r="AG10" s="834"/>
      <c r="AH10" s="834"/>
      <c r="AI10" s="834"/>
      <c r="AJ10" s="834"/>
      <c r="AK10" s="320"/>
      <c r="AL10" s="18"/>
      <c r="AM10" s="837"/>
      <c r="AN10" s="15"/>
      <c r="AO10" s="16"/>
      <c r="AP10" s="836"/>
      <c r="AQ10" s="185"/>
      <c r="AR10" s="41"/>
    </row>
    <row r="11" spans="1:44" ht="15" customHeight="1" x14ac:dyDescent="0.25">
      <c r="A11" s="358">
        <v>43246</v>
      </c>
      <c r="B11" s="358" t="s">
        <v>397</v>
      </c>
      <c r="C11" s="729" t="s">
        <v>93</v>
      </c>
      <c r="D11" s="359">
        <v>227</v>
      </c>
      <c r="E11" s="359">
        <v>4</v>
      </c>
      <c r="F11" s="729">
        <v>4</v>
      </c>
      <c r="G11" s="78" t="s">
        <v>414</v>
      </c>
      <c r="H11" s="729" t="s">
        <v>415</v>
      </c>
      <c r="I11" s="729" t="s">
        <v>416</v>
      </c>
      <c r="J11" s="729" t="s">
        <v>9</v>
      </c>
      <c r="K11" s="729" t="s">
        <v>417</v>
      </c>
      <c r="L11" s="729" t="s">
        <v>418</v>
      </c>
      <c r="M11" s="729" t="s">
        <v>524</v>
      </c>
      <c r="N11" s="32">
        <f t="shared" si="1"/>
        <v>0.1</v>
      </c>
      <c r="O11" s="16">
        <v>0.1</v>
      </c>
      <c r="P11" s="410"/>
      <c r="Q11" s="17"/>
      <c r="R11" s="407"/>
      <c r="S11" s="84"/>
      <c r="T11" s="187"/>
      <c r="U11" s="76"/>
      <c r="V11" s="509"/>
      <c r="W11" s="82"/>
      <c r="X11" s="733">
        <v>43246</v>
      </c>
      <c r="Y11" s="733">
        <v>43246</v>
      </c>
      <c r="Z11" s="733">
        <v>43247</v>
      </c>
      <c r="AA11" s="730" t="s">
        <v>311</v>
      </c>
      <c r="AB11" s="730" t="s">
        <v>94</v>
      </c>
      <c r="AC11" s="730" t="s">
        <v>313</v>
      </c>
      <c r="AD11" s="730" t="s">
        <v>314</v>
      </c>
      <c r="AE11" s="730" t="s">
        <v>314</v>
      </c>
      <c r="AF11" s="730" t="s">
        <v>313</v>
      </c>
      <c r="AG11" s="730" t="s">
        <v>315</v>
      </c>
      <c r="AH11" s="730"/>
      <c r="AI11" s="730"/>
      <c r="AJ11" s="730" t="s">
        <v>392</v>
      </c>
      <c r="AK11" s="320" t="s">
        <v>125</v>
      </c>
      <c r="AL11" s="18"/>
      <c r="AM11" s="120"/>
      <c r="AN11" s="15"/>
      <c r="AO11" s="16"/>
      <c r="AP11" s="119"/>
      <c r="AQ11" s="185"/>
      <c r="AR11" s="41"/>
    </row>
    <row r="12" spans="1:44" s="270" customFormat="1" ht="16.5" customHeight="1" x14ac:dyDescent="0.25">
      <c r="A12" s="817">
        <v>43248</v>
      </c>
      <c r="B12" s="817" t="s">
        <v>434</v>
      </c>
      <c r="C12" s="842" t="s">
        <v>93</v>
      </c>
      <c r="D12" s="819">
        <v>230</v>
      </c>
      <c r="E12" s="359">
        <v>5</v>
      </c>
      <c r="F12" s="842"/>
      <c r="G12" s="17" t="s">
        <v>432</v>
      </c>
      <c r="H12" s="848" t="s">
        <v>436</v>
      </c>
      <c r="I12" s="848"/>
      <c r="J12" s="848" t="s">
        <v>367</v>
      </c>
      <c r="K12" s="848" t="s">
        <v>437</v>
      </c>
      <c r="L12" s="848" t="s">
        <v>438</v>
      </c>
      <c r="M12" s="848" t="s">
        <v>439</v>
      </c>
      <c r="N12" s="32">
        <f t="shared" si="1"/>
        <v>0.1</v>
      </c>
      <c r="O12" s="16">
        <v>0.1</v>
      </c>
      <c r="P12" s="410"/>
      <c r="Q12" s="17"/>
      <c r="R12" s="407"/>
      <c r="S12" s="84"/>
      <c r="T12" s="187"/>
      <c r="U12" s="76"/>
      <c r="V12" s="445"/>
      <c r="W12" s="82"/>
      <c r="X12" s="817"/>
      <c r="Y12" s="817"/>
      <c r="Z12" s="817"/>
      <c r="AA12" s="849"/>
      <c r="AB12" s="849"/>
      <c r="AC12" s="849"/>
      <c r="AD12" s="849"/>
      <c r="AE12" s="849"/>
      <c r="AF12" s="849"/>
      <c r="AG12" s="849"/>
      <c r="AH12" s="849"/>
      <c r="AI12" s="851"/>
      <c r="AJ12" s="849"/>
      <c r="AK12" s="320" t="s">
        <v>126</v>
      </c>
      <c r="AL12" s="18"/>
      <c r="AM12" s="120"/>
      <c r="AN12" s="15"/>
      <c r="AO12" s="16"/>
      <c r="AP12" s="119"/>
      <c r="AQ12" s="185"/>
      <c r="AR12" s="41"/>
    </row>
    <row r="13" spans="1:44" s="270" customFormat="1" ht="15" customHeight="1" x14ac:dyDescent="0.25">
      <c r="A13" s="817">
        <v>43248</v>
      </c>
      <c r="B13" s="817" t="s">
        <v>435</v>
      </c>
      <c r="C13" s="842" t="s">
        <v>265</v>
      </c>
      <c r="D13" s="819">
        <v>233</v>
      </c>
      <c r="E13" s="819"/>
      <c r="F13" s="842"/>
      <c r="G13" s="17" t="s">
        <v>443</v>
      </c>
      <c r="H13" s="916" t="s">
        <v>442</v>
      </c>
      <c r="I13" s="916"/>
      <c r="J13" s="916" t="s">
        <v>172</v>
      </c>
      <c r="K13" s="916" t="s">
        <v>440</v>
      </c>
      <c r="L13" s="916" t="s">
        <v>441</v>
      </c>
      <c r="M13" s="916" t="s">
        <v>919</v>
      </c>
      <c r="N13" s="32">
        <f t="shared" si="1"/>
        <v>0.18</v>
      </c>
      <c r="O13" s="16"/>
      <c r="P13" s="410"/>
      <c r="Q13" s="17"/>
      <c r="R13" s="407"/>
      <c r="S13" s="84"/>
      <c r="T13" s="187"/>
      <c r="U13" s="76"/>
      <c r="V13" s="445"/>
      <c r="W13" s="82">
        <v>0.18</v>
      </c>
      <c r="X13" s="817"/>
      <c r="Y13" s="817"/>
      <c r="Z13" s="817"/>
      <c r="AA13" s="849"/>
      <c r="AB13" s="849"/>
      <c r="AC13" s="849"/>
      <c r="AD13" s="849"/>
      <c r="AE13" s="849"/>
      <c r="AF13" s="849"/>
      <c r="AG13" s="849"/>
      <c r="AH13" s="849"/>
      <c r="AI13" s="851"/>
      <c r="AJ13" s="849"/>
      <c r="AK13" s="320" t="s">
        <v>127</v>
      </c>
      <c r="AL13" s="18"/>
      <c r="AM13" s="120"/>
      <c r="AN13" s="15"/>
      <c r="AO13" s="16"/>
      <c r="AP13" s="119"/>
      <c r="AQ13" s="185"/>
      <c r="AR13" s="41"/>
    </row>
    <row r="14" spans="1:44" ht="15" customHeight="1" x14ac:dyDescent="0.25">
      <c r="A14" s="817">
        <v>43249</v>
      </c>
      <c r="B14" s="843" t="s">
        <v>446</v>
      </c>
      <c r="C14" s="843" t="s">
        <v>265</v>
      </c>
      <c r="D14" s="843">
        <v>237</v>
      </c>
      <c r="E14" s="843"/>
      <c r="F14" s="843"/>
      <c r="G14" s="17" t="s">
        <v>445</v>
      </c>
      <c r="H14" s="916" t="s">
        <v>436</v>
      </c>
      <c r="I14" s="916"/>
      <c r="J14" s="916" t="s">
        <v>172</v>
      </c>
      <c r="K14" s="916" t="s">
        <v>447</v>
      </c>
      <c r="L14" s="916" t="s">
        <v>448</v>
      </c>
      <c r="M14" s="834" t="s">
        <v>449</v>
      </c>
      <c r="N14" s="32">
        <f t="shared" si="1"/>
        <v>1.69</v>
      </c>
      <c r="O14" s="16"/>
      <c r="P14" s="459"/>
      <c r="Q14" s="461"/>
      <c r="R14" s="463"/>
      <c r="S14" s="467"/>
      <c r="T14" s="475"/>
      <c r="U14" s="911"/>
      <c r="V14" s="457"/>
      <c r="W14" s="845">
        <v>1.69</v>
      </c>
      <c r="X14" s="833"/>
      <c r="Y14" s="833"/>
      <c r="Z14" s="833"/>
      <c r="AA14" s="834"/>
      <c r="AB14" s="834"/>
      <c r="AC14" s="834"/>
      <c r="AD14" s="834"/>
      <c r="AE14" s="834"/>
      <c r="AF14" s="834"/>
      <c r="AG14" s="834"/>
      <c r="AH14" s="834"/>
      <c r="AI14" s="834"/>
      <c r="AJ14" s="834"/>
      <c r="AK14" s="320" t="s">
        <v>128</v>
      </c>
      <c r="AL14" s="18"/>
      <c r="AM14" s="120"/>
      <c r="AN14" s="15"/>
      <c r="AO14" s="16"/>
      <c r="AP14" s="119"/>
      <c r="AQ14" s="185"/>
      <c r="AR14" s="41"/>
    </row>
    <row r="15" spans="1:44" s="481" customFormat="1" ht="15" customHeight="1" x14ac:dyDescent="0.25">
      <c r="A15" s="817">
        <v>43251</v>
      </c>
      <c r="B15" s="817" t="s">
        <v>397</v>
      </c>
      <c r="C15" s="847" t="s">
        <v>93</v>
      </c>
      <c r="D15" s="819">
        <v>274</v>
      </c>
      <c r="E15" s="819"/>
      <c r="F15" s="847"/>
      <c r="G15" s="847" t="s">
        <v>463</v>
      </c>
      <c r="H15" s="847"/>
      <c r="I15" s="847"/>
      <c r="J15" s="847" t="s">
        <v>327</v>
      </c>
      <c r="K15" s="847" t="s">
        <v>467</v>
      </c>
      <c r="L15" s="847" t="s">
        <v>468</v>
      </c>
      <c r="M15" s="847" t="s">
        <v>469</v>
      </c>
      <c r="N15" s="32">
        <f t="shared" si="1"/>
        <v>0</v>
      </c>
      <c r="O15" s="16"/>
      <c r="P15" s="459"/>
      <c r="Q15" s="461"/>
      <c r="R15" s="463"/>
      <c r="S15" s="467"/>
      <c r="T15" s="475"/>
      <c r="U15" s="911"/>
      <c r="V15" s="457"/>
      <c r="W15" s="82"/>
      <c r="X15" s="817"/>
      <c r="Y15" s="817"/>
      <c r="Z15" s="817"/>
      <c r="AA15" s="847"/>
      <c r="AB15" s="847"/>
      <c r="AC15" s="847"/>
      <c r="AD15" s="847"/>
      <c r="AE15" s="847"/>
      <c r="AF15" s="847"/>
      <c r="AG15" s="847"/>
      <c r="AH15" s="847"/>
      <c r="AI15" s="851"/>
      <c r="AJ15" s="847"/>
      <c r="AK15" s="852" t="s">
        <v>129</v>
      </c>
      <c r="AL15" s="847"/>
      <c r="AM15" s="847"/>
      <c r="AN15" s="847"/>
      <c r="AO15" s="847"/>
      <c r="AP15" s="847"/>
      <c r="AQ15" s="847"/>
      <c r="AR15" s="847"/>
    </row>
    <row r="16" spans="1:44" s="270" customFormat="1" ht="15" customHeight="1" x14ac:dyDescent="0.25">
      <c r="A16" s="358">
        <v>43256</v>
      </c>
      <c r="B16" s="358" t="s">
        <v>397</v>
      </c>
      <c r="C16" s="729" t="s">
        <v>93</v>
      </c>
      <c r="D16" s="359">
        <v>273</v>
      </c>
      <c r="E16" s="359">
        <v>6</v>
      </c>
      <c r="F16" s="729">
        <v>6</v>
      </c>
      <c r="G16" s="78" t="s">
        <v>487</v>
      </c>
      <c r="H16" s="729" t="s">
        <v>488</v>
      </c>
      <c r="I16" s="729" t="s">
        <v>489</v>
      </c>
      <c r="J16" s="729" t="s">
        <v>9</v>
      </c>
      <c r="K16" s="729" t="s">
        <v>490</v>
      </c>
      <c r="L16" s="729" t="s">
        <v>491</v>
      </c>
      <c r="M16" s="729" t="s">
        <v>492</v>
      </c>
      <c r="N16" s="32">
        <f t="shared" si="1"/>
        <v>0.1</v>
      </c>
      <c r="O16" s="16">
        <v>0.1</v>
      </c>
      <c r="P16" s="410"/>
      <c r="Q16" s="17"/>
      <c r="R16" s="407"/>
      <c r="S16" s="84"/>
      <c r="T16" s="187"/>
      <c r="U16" s="76"/>
      <c r="V16" s="445"/>
      <c r="W16" s="82"/>
      <c r="X16" s="358">
        <v>43256</v>
      </c>
      <c r="Y16" s="358">
        <v>43257</v>
      </c>
      <c r="Z16" s="358">
        <v>43257</v>
      </c>
      <c r="AA16" s="729" t="s">
        <v>311</v>
      </c>
      <c r="AB16" s="729" t="s">
        <v>94</v>
      </c>
      <c r="AC16" s="729" t="s">
        <v>313</v>
      </c>
      <c r="AD16" s="729" t="s">
        <v>314</v>
      </c>
      <c r="AE16" s="729" t="s">
        <v>314</v>
      </c>
      <c r="AF16" s="729" t="s">
        <v>315</v>
      </c>
      <c r="AG16" s="729" t="s">
        <v>315</v>
      </c>
      <c r="AH16" s="729"/>
      <c r="AI16" s="366"/>
      <c r="AJ16" s="729" t="s">
        <v>392</v>
      </c>
      <c r="AK16" s="320"/>
      <c r="AL16" s="18"/>
      <c r="AM16" s="437"/>
      <c r="AN16" s="15"/>
      <c r="AO16" s="16"/>
      <c r="AP16" s="436"/>
      <c r="AQ16" s="185"/>
      <c r="AR16" s="41"/>
    </row>
    <row r="17" spans="1:44" s="481" customFormat="1" ht="15" customHeight="1" x14ac:dyDescent="0.25">
      <c r="A17" s="817">
        <v>43264</v>
      </c>
      <c r="B17" s="817" t="s">
        <v>397</v>
      </c>
      <c r="C17" s="864" t="s">
        <v>93</v>
      </c>
      <c r="D17" s="819">
        <v>317</v>
      </c>
      <c r="E17" s="819"/>
      <c r="F17" s="864"/>
      <c r="G17" s="864" t="s">
        <v>531</v>
      </c>
      <c r="H17" s="864"/>
      <c r="I17" s="864"/>
      <c r="J17" s="864" t="s">
        <v>327</v>
      </c>
      <c r="K17" s="864" t="s">
        <v>357</v>
      </c>
      <c r="L17" s="864" t="s">
        <v>532</v>
      </c>
      <c r="M17" s="864" t="s">
        <v>533</v>
      </c>
      <c r="N17" s="32">
        <f t="shared" si="1"/>
        <v>0</v>
      </c>
      <c r="O17" s="864"/>
      <c r="P17" s="850"/>
      <c r="Q17" s="864"/>
      <c r="R17" s="850"/>
      <c r="S17" s="864"/>
      <c r="T17" s="864"/>
      <c r="U17" s="76"/>
      <c r="V17" s="864"/>
      <c r="W17" s="864"/>
      <c r="X17" s="817"/>
      <c r="Y17" s="817"/>
      <c r="Z17" s="817"/>
      <c r="AA17" s="864"/>
      <c r="AB17" s="864"/>
      <c r="AC17" s="864"/>
      <c r="AD17" s="864"/>
      <c r="AE17" s="864"/>
      <c r="AF17" s="864"/>
      <c r="AG17" s="864"/>
      <c r="AH17" s="864"/>
      <c r="AI17" s="851"/>
      <c r="AJ17" s="864"/>
      <c r="AK17" s="852" t="s">
        <v>5</v>
      </c>
      <c r="AL17" s="864"/>
      <c r="AM17" s="864"/>
      <c r="AN17" s="864"/>
      <c r="AO17" s="864"/>
      <c r="AP17" s="864"/>
      <c r="AQ17" s="864"/>
      <c r="AR17" s="864"/>
    </row>
    <row r="18" spans="1:44" s="481" customFormat="1" ht="15" customHeight="1" x14ac:dyDescent="0.25">
      <c r="A18" s="817">
        <v>43264</v>
      </c>
      <c r="B18" s="817" t="s">
        <v>397</v>
      </c>
      <c r="C18" s="864" t="s">
        <v>93</v>
      </c>
      <c r="D18" s="819">
        <v>318</v>
      </c>
      <c r="E18" s="819"/>
      <c r="F18" s="864"/>
      <c r="G18" s="864" t="s">
        <v>534</v>
      </c>
      <c r="H18" s="864"/>
      <c r="I18" s="864"/>
      <c r="J18" s="864" t="s">
        <v>327</v>
      </c>
      <c r="K18" s="481" t="s">
        <v>537</v>
      </c>
      <c r="L18" s="864" t="s">
        <v>535</v>
      </c>
      <c r="M18" s="864" t="s">
        <v>536</v>
      </c>
      <c r="N18" s="32">
        <f t="shared" si="1"/>
        <v>0</v>
      </c>
      <c r="O18" s="201"/>
      <c r="P18" s="850"/>
      <c r="Q18" s="864"/>
      <c r="R18" s="850"/>
      <c r="S18" s="864"/>
      <c r="T18" s="864"/>
      <c r="U18" s="76"/>
      <c r="V18" s="864"/>
      <c r="W18" s="201"/>
      <c r="X18" s="817"/>
      <c r="Y18" s="817"/>
      <c r="Z18" s="817"/>
      <c r="AA18" s="864"/>
      <c r="AB18" s="864"/>
      <c r="AC18" s="864"/>
      <c r="AD18" s="864"/>
      <c r="AE18" s="864"/>
      <c r="AF18" s="864"/>
      <c r="AG18" s="864"/>
      <c r="AH18" s="864"/>
      <c r="AI18" s="851"/>
      <c r="AJ18" s="864"/>
      <c r="AK18" s="865"/>
      <c r="AL18" s="866"/>
      <c r="AM18" s="866"/>
      <c r="AN18" s="866"/>
      <c r="AO18" s="866"/>
      <c r="AP18" s="866"/>
      <c r="AQ18" s="866"/>
      <c r="AR18" s="866"/>
    </row>
    <row r="19" spans="1:44" ht="15" customHeight="1" x14ac:dyDescent="0.25">
      <c r="A19" s="358">
        <v>43266</v>
      </c>
      <c r="B19" s="358" t="s">
        <v>546</v>
      </c>
      <c r="C19" s="729" t="s">
        <v>93</v>
      </c>
      <c r="D19" s="359">
        <v>327</v>
      </c>
      <c r="E19" s="359">
        <v>7</v>
      </c>
      <c r="F19" s="729">
        <v>4</v>
      </c>
      <c r="G19" s="78" t="s">
        <v>545</v>
      </c>
      <c r="H19" s="729" t="s">
        <v>547</v>
      </c>
      <c r="I19" s="729"/>
      <c r="J19" s="729" t="s">
        <v>8</v>
      </c>
      <c r="K19" s="729" t="s">
        <v>548</v>
      </c>
      <c r="L19" s="729" t="s">
        <v>549</v>
      </c>
      <c r="M19" s="729" t="s">
        <v>550</v>
      </c>
      <c r="N19" s="32">
        <f t="shared" si="1"/>
        <v>0.25</v>
      </c>
      <c r="O19" s="134">
        <v>0.25</v>
      </c>
      <c r="P19" s="410"/>
      <c r="Q19" s="17"/>
      <c r="R19" s="407"/>
      <c r="S19" s="84"/>
      <c r="T19" s="187"/>
      <c r="U19" s="76"/>
      <c r="V19" s="445"/>
      <c r="W19" s="306"/>
      <c r="X19" s="358">
        <v>43266</v>
      </c>
      <c r="Y19" s="358">
        <v>43266</v>
      </c>
      <c r="Z19" s="358">
        <v>43280</v>
      </c>
      <c r="AA19" s="729" t="s">
        <v>311</v>
      </c>
      <c r="AB19" s="729" t="s">
        <v>2</v>
      </c>
      <c r="AC19" s="729" t="s">
        <v>313</v>
      </c>
      <c r="AD19" s="729" t="s">
        <v>314</v>
      </c>
      <c r="AE19" s="729" t="s">
        <v>313</v>
      </c>
      <c r="AF19" s="729" t="s">
        <v>313</v>
      </c>
      <c r="AG19" s="729" t="s">
        <v>315</v>
      </c>
      <c r="AH19" s="729"/>
      <c r="AI19" s="366"/>
      <c r="AJ19" s="729" t="s">
        <v>392</v>
      </c>
      <c r="AK19" s="213"/>
      <c r="AL19" s="21"/>
      <c r="AM19" s="21"/>
      <c r="AN19" s="21"/>
      <c r="AO19" s="21"/>
      <c r="AP19" s="21"/>
      <c r="AQ19" s="21"/>
      <c r="AR19" s="21"/>
    </row>
    <row r="20" spans="1:44" s="481" customFormat="1" ht="15" customHeight="1" x14ac:dyDescent="0.25">
      <c r="A20" s="817">
        <v>43266</v>
      </c>
      <c r="B20" s="817" t="s">
        <v>397</v>
      </c>
      <c r="C20" s="867" t="s">
        <v>93</v>
      </c>
      <c r="D20" s="819">
        <v>328</v>
      </c>
      <c r="E20" s="819"/>
      <c r="F20" s="867"/>
      <c r="G20" s="867" t="s">
        <v>551</v>
      </c>
      <c r="H20" s="867"/>
      <c r="I20" s="867"/>
      <c r="J20" s="867" t="s">
        <v>327</v>
      </c>
      <c r="K20" s="867" t="s">
        <v>552</v>
      </c>
      <c r="L20" s="867" t="s">
        <v>553</v>
      </c>
      <c r="M20" s="867" t="s">
        <v>554</v>
      </c>
      <c r="N20" s="32">
        <f t="shared" si="1"/>
        <v>0</v>
      </c>
      <c r="O20" s="201"/>
      <c r="P20" s="850"/>
      <c r="Q20" s="867"/>
      <c r="R20" s="850"/>
      <c r="S20" s="867"/>
      <c r="T20" s="867"/>
      <c r="U20" s="76"/>
      <c r="V20" s="867"/>
      <c r="W20" s="201"/>
      <c r="X20" s="817"/>
      <c r="Y20" s="817"/>
      <c r="Z20" s="817"/>
      <c r="AA20" s="867"/>
      <c r="AB20" s="867"/>
      <c r="AC20" s="867"/>
      <c r="AD20" s="867"/>
      <c r="AE20" s="867"/>
      <c r="AF20" s="867"/>
      <c r="AG20" s="867"/>
      <c r="AH20" s="867"/>
      <c r="AI20" s="851"/>
      <c r="AJ20" s="867"/>
    </row>
    <row r="21" spans="1:44" ht="15" customHeight="1" x14ac:dyDescent="0.25">
      <c r="A21" s="817">
        <v>43267</v>
      </c>
      <c r="B21" s="872" t="s">
        <v>397</v>
      </c>
      <c r="C21" s="872" t="s">
        <v>93</v>
      </c>
      <c r="D21" s="872">
        <v>330</v>
      </c>
      <c r="E21" s="872"/>
      <c r="F21" s="872"/>
      <c r="G21" s="872" t="s">
        <v>560</v>
      </c>
      <c r="H21" s="872"/>
      <c r="I21" s="872"/>
      <c r="J21" s="872" t="s">
        <v>327</v>
      </c>
      <c r="K21" s="872" t="s">
        <v>561</v>
      </c>
      <c r="L21" s="872" t="s">
        <v>562</v>
      </c>
      <c r="M21" s="872" t="s">
        <v>563</v>
      </c>
      <c r="N21" s="32">
        <f t="shared" si="1"/>
        <v>0</v>
      </c>
      <c r="O21" s="134"/>
      <c r="P21" s="410"/>
      <c r="Q21" s="17"/>
      <c r="R21" s="407"/>
      <c r="S21" s="84"/>
      <c r="T21" s="187"/>
      <c r="U21" s="76"/>
      <c r="V21" s="445"/>
      <c r="W21" s="82"/>
      <c r="X21" s="817"/>
      <c r="Y21" s="817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213"/>
      <c r="AL21" s="21"/>
      <c r="AM21" s="21"/>
      <c r="AN21" s="21"/>
      <c r="AO21" s="21"/>
      <c r="AP21" s="21"/>
      <c r="AQ21" s="21"/>
      <c r="AR21" s="21"/>
    </row>
    <row r="22" spans="1:44" ht="15.75" customHeight="1" x14ac:dyDescent="0.25">
      <c r="A22" s="358">
        <v>43268</v>
      </c>
      <c r="B22" s="358" t="s">
        <v>570</v>
      </c>
      <c r="C22" s="729" t="s">
        <v>93</v>
      </c>
      <c r="D22" s="359">
        <v>336</v>
      </c>
      <c r="E22" s="359">
        <v>8</v>
      </c>
      <c r="F22" s="729">
        <v>5</v>
      </c>
      <c r="G22" s="78" t="s">
        <v>569</v>
      </c>
      <c r="H22" s="729" t="s">
        <v>571</v>
      </c>
      <c r="I22" s="729"/>
      <c r="J22" s="729" t="s">
        <v>8</v>
      </c>
      <c r="K22" s="729" t="s">
        <v>572</v>
      </c>
      <c r="L22" s="729" t="s">
        <v>950</v>
      </c>
      <c r="M22" s="729" t="s">
        <v>951</v>
      </c>
      <c r="N22" s="32">
        <f t="shared" si="1"/>
        <v>0.1</v>
      </c>
      <c r="O22" s="16">
        <v>0.1</v>
      </c>
      <c r="P22" s="410"/>
      <c r="Q22" s="17"/>
      <c r="R22" s="407"/>
      <c r="S22" s="84"/>
      <c r="T22" s="187"/>
      <c r="U22" s="76"/>
      <c r="V22" s="445"/>
      <c r="W22" s="82"/>
      <c r="X22" s="358">
        <v>43268</v>
      </c>
      <c r="Y22" s="358">
        <v>43268</v>
      </c>
      <c r="Z22" s="358">
        <v>43268</v>
      </c>
      <c r="AA22" s="745" t="s">
        <v>311</v>
      </c>
      <c r="AB22" s="745" t="s">
        <v>94</v>
      </c>
      <c r="AC22" s="745" t="s">
        <v>313</v>
      </c>
      <c r="AD22" s="729" t="s">
        <v>314</v>
      </c>
      <c r="AE22" s="729" t="s">
        <v>314</v>
      </c>
      <c r="AF22" s="729" t="s">
        <v>315</v>
      </c>
      <c r="AG22" s="729" t="s">
        <v>315</v>
      </c>
      <c r="AH22" s="729"/>
      <c r="AI22" s="366"/>
      <c r="AJ22" s="729" t="s">
        <v>392</v>
      </c>
      <c r="AK22" s="321"/>
      <c r="AL22" s="268" t="s">
        <v>8</v>
      </c>
      <c r="AM22" s="268" t="s">
        <v>9</v>
      </c>
      <c r="AN22" s="268" t="s">
        <v>151</v>
      </c>
      <c r="AO22" s="268" t="s">
        <v>197</v>
      </c>
      <c r="AP22" s="268" t="s">
        <v>153</v>
      </c>
      <c r="AQ22" s="435"/>
    </row>
    <row r="23" spans="1:44" s="270" customFormat="1" ht="15.75" customHeight="1" x14ac:dyDescent="0.25">
      <c r="A23" s="358">
        <v>43275</v>
      </c>
      <c r="B23" s="358" t="s">
        <v>594</v>
      </c>
      <c r="C23" s="729" t="s">
        <v>93</v>
      </c>
      <c r="D23" s="359">
        <v>361</v>
      </c>
      <c r="E23" s="361">
        <v>9</v>
      </c>
      <c r="F23" s="183">
        <v>1</v>
      </c>
      <c r="G23" s="78" t="s">
        <v>592</v>
      </c>
      <c r="H23" s="729" t="s">
        <v>618</v>
      </c>
      <c r="I23" s="729" t="s">
        <v>619</v>
      </c>
      <c r="J23" s="729" t="s">
        <v>8</v>
      </c>
      <c r="K23" s="729" t="s">
        <v>595</v>
      </c>
      <c r="L23" s="729" t="s">
        <v>596</v>
      </c>
      <c r="M23" s="729" t="s">
        <v>597</v>
      </c>
      <c r="N23" s="32">
        <f t="shared" si="1"/>
        <v>64</v>
      </c>
      <c r="O23" s="16">
        <v>64</v>
      </c>
      <c r="P23" s="410"/>
      <c r="Q23" s="17"/>
      <c r="R23" s="407"/>
      <c r="S23" s="84"/>
      <c r="T23" s="187"/>
      <c r="U23" s="76"/>
      <c r="V23" s="445"/>
      <c r="W23" s="82"/>
      <c r="X23" s="358">
        <v>43277</v>
      </c>
      <c r="Y23" s="358">
        <v>43278</v>
      </c>
      <c r="Z23" s="358">
        <v>43278</v>
      </c>
      <c r="AA23" s="745" t="s">
        <v>311</v>
      </c>
      <c r="AB23" s="745" t="s">
        <v>312</v>
      </c>
      <c r="AC23" s="745" t="s">
        <v>313</v>
      </c>
      <c r="AD23" s="729" t="s">
        <v>314</v>
      </c>
      <c r="AE23" s="729" t="s">
        <v>314</v>
      </c>
      <c r="AF23" s="729" t="s">
        <v>315</v>
      </c>
      <c r="AG23" s="729" t="s">
        <v>315</v>
      </c>
      <c r="AH23" s="729"/>
      <c r="AI23" s="366"/>
      <c r="AJ23" s="729" t="s">
        <v>321</v>
      </c>
      <c r="AK23" s="322">
        <v>41334</v>
      </c>
      <c r="AL23" s="268"/>
      <c r="AM23" s="268"/>
      <c r="AN23" s="268"/>
      <c r="AO23" s="268"/>
      <c r="AP23" s="268"/>
      <c r="AQ23" s="435"/>
      <c r="AR23" s="2"/>
    </row>
    <row r="24" spans="1:44" ht="15" customHeight="1" x14ac:dyDescent="0.25">
      <c r="A24" s="817">
        <v>43281</v>
      </c>
      <c r="B24" s="817" t="s">
        <v>624</v>
      </c>
      <c r="C24" s="881" t="s">
        <v>91</v>
      </c>
      <c r="D24" s="819">
        <v>399</v>
      </c>
      <c r="E24" s="819"/>
      <c r="F24" s="881"/>
      <c r="G24" s="813" t="s">
        <v>630</v>
      </c>
      <c r="H24" s="881" t="s">
        <v>383</v>
      </c>
      <c r="I24" s="881" t="s">
        <v>631</v>
      </c>
      <c r="J24" s="881" t="s">
        <v>172</v>
      </c>
      <c r="K24" s="881" t="s">
        <v>627</v>
      </c>
      <c r="L24" s="881" t="s">
        <v>628</v>
      </c>
      <c r="M24" s="881" t="s">
        <v>629</v>
      </c>
      <c r="N24" s="32">
        <f t="shared" si="1"/>
        <v>2.7</v>
      </c>
      <c r="O24" s="134"/>
      <c r="P24" s="410"/>
      <c r="Q24" s="17"/>
      <c r="R24" s="407"/>
      <c r="S24" s="84"/>
      <c r="T24" s="187"/>
      <c r="U24" s="76"/>
      <c r="V24" s="445"/>
      <c r="W24" s="82">
        <v>2.7</v>
      </c>
      <c r="X24" s="817"/>
      <c r="Y24" s="817"/>
      <c r="Z24" s="817"/>
      <c r="AA24" s="882"/>
      <c r="AB24" s="882"/>
      <c r="AC24" s="882"/>
      <c r="AD24" s="882"/>
      <c r="AE24" s="882"/>
      <c r="AF24" s="882"/>
      <c r="AG24" s="882"/>
      <c r="AH24" s="882"/>
      <c r="AI24" s="851"/>
      <c r="AJ24" s="882"/>
      <c r="AK24" s="322">
        <v>41713</v>
      </c>
      <c r="AL24" s="268"/>
      <c r="AM24" s="268"/>
      <c r="AN24" s="268"/>
      <c r="AO24" s="268"/>
      <c r="AP24" s="268"/>
      <c r="AQ24" s="435"/>
      <c r="AR24" s="270"/>
    </row>
    <row r="25" spans="1:44" s="270" customFormat="1" ht="15" customHeight="1" x14ac:dyDescent="0.25">
      <c r="A25" s="817">
        <v>43281</v>
      </c>
      <c r="B25" s="817" t="s">
        <v>650</v>
      </c>
      <c r="C25" s="882" t="s">
        <v>271</v>
      </c>
      <c r="D25" s="819">
        <v>402</v>
      </c>
      <c r="E25" s="819"/>
      <c r="F25" s="882"/>
      <c r="G25" s="813" t="s">
        <v>636</v>
      </c>
      <c r="H25" s="882" t="s">
        <v>638</v>
      </c>
      <c r="I25" s="882"/>
      <c r="J25" s="882" t="s">
        <v>172</v>
      </c>
      <c r="K25" s="882" t="s">
        <v>639</v>
      </c>
      <c r="L25" s="882" t="s">
        <v>640</v>
      </c>
      <c r="M25" s="882" t="s">
        <v>641</v>
      </c>
      <c r="N25" s="32">
        <f t="shared" si="1"/>
        <v>0.1</v>
      </c>
      <c r="O25" s="134"/>
      <c r="P25" s="410"/>
      <c r="Q25" s="17"/>
      <c r="R25" s="407"/>
      <c r="S25" s="84"/>
      <c r="T25" s="187"/>
      <c r="U25" s="76"/>
      <c r="V25" s="445"/>
      <c r="W25" s="82">
        <v>0.1</v>
      </c>
      <c r="X25" s="817"/>
      <c r="Y25" s="817"/>
      <c r="Z25" s="817"/>
      <c r="AA25" s="882"/>
      <c r="AB25" s="882"/>
      <c r="AC25" s="882"/>
      <c r="AD25" s="882"/>
      <c r="AE25" s="882"/>
      <c r="AF25" s="882"/>
      <c r="AG25" s="882"/>
      <c r="AH25" s="882"/>
      <c r="AI25" s="851"/>
      <c r="AJ25" s="882"/>
      <c r="AK25" s="322">
        <v>41730</v>
      </c>
      <c r="AL25" s="331"/>
      <c r="AM25" s="331"/>
      <c r="AN25" s="331"/>
      <c r="AO25" s="331"/>
      <c r="AP25" s="331"/>
      <c r="AQ25" s="435"/>
    </row>
    <row r="26" spans="1:44" s="270" customFormat="1" ht="15" customHeight="1" x14ac:dyDescent="0.25">
      <c r="A26" s="358">
        <v>43284</v>
      </c>
      <c r="B26" s="358" t="s">
        <v>767</v>
      </c>
      <c r="C26" s="729" t="s">
        <v>205</v>
      </c>
      <c r="D26" s="359">
        <v>431</v>
      </c>
      <c r="E26" s="359">
        <v>10</v>
      </c>
      <c r="F26" s="729">
        <v>4</v>
      </c>
      <c r="G26" s="78" t="s">
        <v>761</v>
      </c>
      <c r="H26" s="729" t="s">
        <v>762</v>
      </c>
      <c r="I26" s="729" t="s">
        <v>763</v>
      </c>
      <c r="J26" s="729" t="s">
        <v>8</v>
      </c>
      <c r="K26" s="729" t="s">
        <v>764</v>
      </c>
      <c r="L26" s="729" t="s">
        <v>765</v>
      </c>
      <c r="M26" s="729" t="s">
        <v>766</v>
      </c>
      <c r="N26" s="32">
        <f t="shared" si="1"/>
        <v>0.1</v>
      </c>
      <c r="O26" s="134"/>
      <c r="P26" s="410"/>
      <c r="Q26" s="17"/>
      <c r="R26" s="407"/>
      <c r="S26" s="84"/>
      <c r="T26" s="187">
        <v>0.1</v>
      </c>
      <c r="U26" s="76"/>
      <c r="V26" s="445"/>
      <c r="W26" s="82"/>
      <c r="X26" s="358">
        <v>43284</v>
      </c>
      <c r="Y26" s="358">
        <v>43284</v>
      </c>
      <c r="Z26" s="358">
        <v>43284</v>
      </c>
      <c r="AA26" s="729" t="s">
        <v>311</v>
      </c>
      <c r="AB26" s="729" t="s">
        <v>94</v>
      </c>
      <c r="AC26" s="729" t="s">
        <v>313</v>
      </c>
      <c r="AD26" s="729" t="s">
        <v>314</v>
      </c>
      <c r="AE26" s="729" t="s">
        <v>313</v>
      </c>
      <c r="AF26" s="729" t="s">
        <v>313</v>
      </c>
      <c r="AG26" s="729" t="s">
        <v>315</v>
      </c>
      <c r="AH26" s="729"/>
      <c r="AI26" s="366"/>
      <c r="AJ26" s="729" t="s">
        <v>392</v>
      </c>
      <c r="AK26" s="322">
        <v>41744</v>
      </c>
      <c r="AL26" s="268"/>
      <c r="AM26" s="268"/>
      <c r="AN26" s="268"/>
      <c r="AO26" s="268"/>
      <c r="AP26" s="268"/>
      <c r="AQ26" s="435"/>
      <c r="AR26" s="2"/>
    </row>
    <row r="27" spans="1:44" ht="15" customHeight="1" x14ac:dyDescent="0.25">
      <c r="A27" s="817">
        <v>43285</v>
      </c>
      <c r="B27" s="817" t="s">
        <v>682</v>
      </c>
      <c r="C27" s="883" t="s">
        <v>206</v>
      </c>
      <c r="D27" s="819">
        <v>441</v>
      </c>
      <c r="E27" s="819"/>
      <c r="F27" s="883"/>
      <c r="G27" s="813" t="s">
        <v>690</v>
      </c>
      <c r="H27" s="883" t="s">
        <v>683</v>
      </c>
      <c r="I27" s="883"/>
      <c r="J27" s="883" t="s">
        <v>172</v>
      </c>
      <c r="K27" s="883" t="s">
        <v>684</v>
      </c>
      <c r="L27" s="883" t="s">
        <v>723</v>
      </c>
      <c r="M27" s="883" t="s">
        <v>1018</v>
      </c>
      <c r="N27" s="32">
        <f t="shared" si="1"/>
        <v>43</v>
      </c>
      <c r="O27" s="16"/>
      <c r="P27" s="410"/>
      <c r="Q27" s="17"/>
      <c r="R27" s="407"/>
      <c r="S27" s="84"/>
      <c r="T27" s="187"/>
      <c r="U27" s="76"/>
      <c r="V27" s="445"/>
      <c r="W27" s="306">
        <v>43</v>
      </c>
      <c r="X27" s="817"/>
      <c r="Y27" s="817"/>
      <c r="Z27" s="817"/>
      <c r="AA27" s="895"/>
      <c r="AB27" s="895"/>
      <c r="AC27" s="895"/>
      <c r="AD27" s="895"/>
      <c r="AE27" s="895"/>
      <c r="AF27" s="895"/>
      <c r="AG27" s="895"/>
      <c r="AH27" s="895"/>
      <c r="AI27" s="851"/>
      <c r="AJ27" s="895"/>
      <c r="AK27" s="322">
        <v>41760</v>
      </c>
      <c r="AL27" s="268"/>
      <c r="AM27" s="268"/>
      <c r="AN27" s="268"/>
      <c r="AO27" s="268"/>
      <c r="AP27" s="268"/>
      <c r="AQ27" s="435"/>
      <c r="AR27" s="270"/>
    </row>
    <row r="28" spans="1:44" ht="15" customHeight="1" x14ac:dyDescent="0.25">
      <c r="A28" s="817">
        <v>43285</v>
      </c>
      <c r="B28" s="817" t="s">
        <v>685</v>
      </c>
      <c r="C28" s="883" t="s">
        <v>91</v>
      </c>
      <c r="D28" s="819">
        <v>445</v>
      </c>
      <c r="E28" s="819"/>
      <c r="F28" s="883"/>
      <c r="G28" s="813" t="s">
        <v>694</v>
      </c>
      <c r="H28" s="883" t="s">
        <v>686</v>
      </c>
      <c r="I28" s="883"/>
      <c r="J28" s="883" t="s">
        <v>172</v>
      </c>
      <c r="K28" s="883" t="s">
        <v>687</v>
      </c>
      <c r="L28" s="883" t="s">
        <v>688</v>
      </c>
      <c r="M28" s="883" t="s">
        <v>689</v>
      </c>
      <c r="N28" s="32">
        <f t="shared" si="1"/>
        <v>2642</v>
      </c>
      <c r="O28" s="16"/>
      <c r="P28" s="410"/>
      <c r="Q28" s="17"/>
      <c r="R28" s="407"/>
      <c r="S28" s="84"/>
      <c r="T28" s="187"/>
      <c r="U28" s="76"/>
      <c r="V28" s="445"/>
      <c r="W28" s="306">
        <v>2642</v>
      </c>
      <c r="X28" s="817"/>
      <c r="Y28" s="817"/>
      <c r="Z28" s="817"/>
      <c r="AA28" s="895"/>
      <c r="AB28" s="895"/>
      <c r="AC28" s="895"/>
      <c r="AD28" s="895"/>
      <c r="AE28" s="895"/>
      <c r="AF28" s="895"/>
      <c r="AG28" s="895"/>
      <c r="AH28" s="895"/>
      <c r="AI28" s="851"/>
      <c r="AJ28" s="895"/>
      <c r="AK28" s="322">
        <v>41774</v>
      </c>
      <c r="AL28" s="268"/>
      <c r="AM28" s="268"/>
      <c r="AN28" s="352"/>
      <c r="AO28" s="268"/>
      <c r="AP28" s="268"/>
      <c r="AQ28" s="435"/>
      <c r="AR28" s="270"/>
    </row>
    <row r="29" spans="1:44" s="270" customFormat="1" ht="15" customHeight="1" x14ac:dyDescent="0.25">
      <c r="A29" s="358">
        <v>43286</v>
      </c>
      <c r="B29" s="358" t="s">
        <v>708</v>
      </c>
      <c r="C29" s="729" t="s">
        <v>93</v>
      </c>
      <c r="D29" s="359">
        <v>450</v>
      </c>
      <c r="E29" s="359">
        <v>11</v>
      </c>
      <c r="F29" s="729">
        <v>4</v>
      </c>
      <c r="G29" s="78" t="s">
        <v>709</v>
      </c>
      <c r="H29" s="729" t="s">
        <v>768</v>
      </c>
      <c r="I29" s="729"/>
      <c r="J29" s="729" t="s">
        <v>8</v>
      </c>
      <c r="K29" s="729" t="s">
        <v>710</v>
      </c>
      <c r="L29" s="729" t="s">
        <v>1061</v>
      </c>
      <c r="M29" s="729" t="s">
        <v>711</v>
      </c>
      <c r="N29" s="32">
        <f t="shared" si="1"/>
        <v>0.1</v>
      </c>
      <c r="O29" s="16">
        <v>0.1</v>
      </c>
      <c r="P29" s="410"/>
      <c r="Q29" s="17"/>
      <c r="R29" s="407"/>
      <c r="S29" s="84"/>
      <c r="T29" s="187"/>
      <c r="U29" s="76"/>
      <c r="V29" s="628"/>
      <c r="W29" s="306"/>
      <c r="X29" s="358">
        <v>43286</v>
      </c>
      <c r="Y29" s="358">
        <v>43286</v>
      </c>
      <c r="Z29" s="358">
        <v>43286</v>
      </c>
      <c r="AA29" s="729" t="s">
        <v>311</v>
      </c>
      <c r="AB29" s="729" t="s">
        <v>94</v>
      </c>
      <c r="AC29" s="729" t="s">
        <v>313</v>
      </c>
      <c r="AD29" s="729" t="s">
        <v>314</v>
      </c>
      <c r="AE29" s="729" t="s">
        <v>314</v>
      </c>
      <c r="AF29" s="729" t="s">
        <v>315</v>
      </c>
      <c r="AG29" s="729" t="s">
        <v>315</v>
      </c>
      <c r="AH29" s="729"/>
      <c r="AI29" s="366"/>
      <c r="AJ29" s="729" t="s">
        <v>392</v>
      </c>
      <c r="AK29" s="322"/>
      <c r="AL29" s="627"/>
      <c r="AM29" s="627"/>
      <c r="AN29" s="627"/>
      <c r="AO29" s="627"/>
      <c r="AP29" s="627"/>
      <c r="AQ29" s="435"/>
    </row>
    <row r="30" spans="1:44" s="270" customFormat="1" ht="15" customHeight="1" x14ac:dyDescent="0.25">
      <c r="A30" s="817">
        <v>43288</v>
      </c>
      <c r="B30" s="817" t="s">
        <v>705</v>
      </c>
      <c r="C30" s="895" t="s">
        <v>266</v>
      </c>
      <c r="D30" s="819">
        <v>465</v>
      </c>
      <c r="E30" s="819"/>
      <c r="F30" s="895"/>
      <c r="G30" s="813" t="s">
        <v>721</v>
      </c>
      <c r="H30" s="895" t="s">
        <v>344</v>
      </c>
      <c r="I30" s="895"/>
      <c r="J30" s="895" t="s">
        <v>172</v>
      </c>
      <c r="K30" s="895" t="s">
        <v>423</v>
      </c>
      <c r="L30" s="895" t="s">
        <v>983</v>
      </c>
      <c r="M30" s="895" t="s">
        <v>707</v>
      </c>
      <c r="N30" s="32">
        <f t="shared" si="1"/>
        <v>3.2</v>
      </c>
      <c r="O30" s="16"/>
      <c r="P30" s="410"/>
      <c r="Q30" s="17"/>
      <c r="R30" s="407"/>
      <c r="S30" s="84"/>
      <c r="T30" s="187"/>
      <c r="U30" s="76"/>
      <c r="V30" s="628"/>
      <c r="W30" s="306">
        <v>3.2</v>
      </c>
      <c r="X30" s="817"/>
      <c r="Y30" s="817"/>
      <c r="Z30" s="817"/>
      <c r="AA30" s="895"/>
      <c r="AB30" s="895"/>
      <c r="AC30" s="895"/>
      <c r="AD30" s="895"/>
      <c r="AE30" s="895"/>
      <c r="AF30" s="895"/>
      <c r="AG30" s="895"/>
      <c r="AH30" s="895"/>
      <c r="AI30" s="851"/>
      <c r="AJ30" s="895"/>
      <c r="AK30" s="322"/>
      <c r="AL30" s="627"/>
      <c r="AM30" s="627"/>
      <c r="AN30" s="627"/>
      <c r="AO30" s="627"/>
      <c r="AP30" s="627"/>
      <c r="AQ30" s="435"/>
    </row>
    <row r="31" spans="1:44" ht="15" customHeight="1" x14ac:dyDescent="0.25">
      <c r="A31" s="817">
        <v>43294</v>
      </c>
      <c r="B31" s="817" t="s">
        <v>397</v>
      </c>
      <c r="C31" s="892" t="s">
        <v>93</v>
      </c>
      <c r="D31" s="819">
        <v>515</v>
      </c>
      <c r="E31" s="819"/>
      <c r="F31" s="892"/>
      <c r="G31" s="892" t="s">
        <v>743</v>
      </c>
      <c r="H31" s="892"/>
      <c r="I31" s="892"/>
      <c r="J31" s="892" t="s">
        <v>327</v>
      </c>
      <c r="K31" s="892" t="s">
        <v>984</v>
      </c>
      <c r="L31" s="892" t="s">
        <v>985</v>
      </c>
      <c r="M31" s="892" t="s">
        <v>986</v>
      </c>
      <c r="N31" s="32">
        <f t="shared" si="1"/>
        <v>0</v>
      </c>
      <c r="O31" s="16"/>
      <c r="P31" s="410"/>
      <c r="Q31" s="17"/>
      <c r="R31" s="407"/>
      <c r="S31" s="84"/>
      <c r="T31" s="187"/>
      <c r="U31" s="76"/>
      <c r="V31" s="445"/>
      <c r="W31" s="306"/>
      <c r="X31" s="817"/>
      <c r="Y31" s="817"/>
      <c r="Z31" s="817"/>
      <c r="AA31" s="895"/>
      <c r="AB31" s="895"/>
      <c r="AC31" s="895"/>
      <c r="AD31" s="895"/>
      <c r="AE31" s="895"/>
      <c r="AF31" s="895"/>
      <c r="AG31" s="895"/>
      <c r="AH31" s="895"/>
      <c r="AI31" s="851"/>
      <c r="AJ31" s="895"/>
      <c r="AK31" s="322">
        <v>41791</v>
      </c>
      <c r="AL31" s="268"/>
      <c r="AM31" s="268"/>
      <c r="AN31" s="352"/>
      <c r="AO31" s="268"/>
      <c r="AP31" s="268"/>
      <c r="AQ31" s="435"/>
    </row>
    <row r="32" spans="1:44" ht="15" customHeight="1" x14ac:dyDescent="0.25">
      <c r="A32" s="358">
        <v>43295</v>
      </c>
      <c r="B32" s="358" t="s">
        <v>1498</v>
      </c>
      <c r="C32" s="729" t="s">
        <v>93</v>
      </c>
      <c r="D32" s="359">
        <v>518</v>
      </c>
      <c r="E32" s="359">
        <v>12</v>
      </c>
      <c r="F32" s="729">
        <v>6</v>
      </c>
      <c r="G32" s="78" t="s">
        <v>358</v>
      </c>
      <c r="H32" s="729" t="s">
        <v>749</v>
      </c>
      <c r="I32" s="729"/>
      <c r="J32" s="729" t="s">
        <v>8</v>
      </c>
      <c r="K32" s="729" t="s">
        <v>750</v>
      </c>
      <c r="L32" s="729" t="s">
        <v>751</v>
      </c>
      <c r="M32" s="729" t="s">
        <v>752</v>
      </c>
      <c r="N32" s="32">
        <f t="shared" si="1"/>
        <v>1617</v>
      </c>
      <c r="O32" s="16">
        <v>1617</v>
      </c>
      <c r="P32" s="410"/>
      <c r="Q32" s="17"/>
      <c r="R32" s="407"/>
      <c r="S32" s="84"/>
      <c r="T32" s="187"/>
      <c r="U32" s="76"/>
      <c r="V32" s="445"/>
      <c r="W32" s="306"/>
      <c r="X32" s="358">
        <v>43331</v>
      </c>
      <c r="Y32" s="358">
        <v>43375</v>
      </c>
      <c r="Z32" s="358">
        <v>43375</v>
      </c>
      <c r="AA32" s="729" t="s">
        <v>311</v>
      </c>
      <c r="AB32" s="729" t="s">
        <v>94</v>
      </c>
      <c r="AC32" s="729" t="s">
        <v>314</v>
      </c>
      <c r="AD32" s="729" t="s">
        <v>313</v>
      </c>
      <c r="AE32" s="729" t="s">
        <v>314</v>
      </c>
      <c r="AF32" s="729" t="s">
        <v>315</v>
      </c>
      <c r="AG32" s="729" t="s">
        <v>313</v>
      </c>
      <c r="AH32" s="729"/>
      <c r="AI32" s="366"/>
      <c r="AJ32" s="729" t="s">
        <v>698</v>
      </c>
      <c r="AK32" s="322">
        <v>41805</v>
      </c>
      <c r="AL32" s="268"/>
      <c r="AM32" s="268"/>
      <c r="AN32" s="352"/>
      <c r="AO32" s="268"/>
      <c r="AP32" s="268"/>
      <c r="AQ32" s="435"/>
      <c r="AR32" s="270"/>
    </row>
    <row r="33" spans="1:44" s="270" customFormat="1" ht="15" customHeight="1" x14ac:dyDescent="0.25">
      <c r="A33" s="817">
        <v>43296</v>
      </c>
      <c r="B33" s="817" t="s">
        <v>773</v>
      </c>
      <c r="C33" s="896" t="s">
        <v>265</v>
      </c>
      <c r="D33" s="819">
        <v>527</v>
      </c>
      <c r="E33" s="819">
        <v>13</v>
      </c>
      <c r="F33" s="896"/>
      <c r="G33" s="17" t="s">
        <v>814</v>
      </c>
      <c r="H33" s="896" t="s">
        <v>427</v>
      </c>
      <c r="I33" s="896"/>
      <c r="J33" s="896" t="s">
        <v>367</v>
      </c>
      <c r="K33" s="896" t="s">
        <v>1134</v>
      </c>
      <c r="L33" s="896" t="s">
        <v>860</v>
      </c>
      <c r="M33" s="896" t="s">
        <v>1135</v>
      </c>
      <c r="N33" s="32">
        <f t="shared" si="1"/>
        <v>96</v>
      </c>
      <c r="O33" s="16">
        <v>96</v>
      </c>
      <c r="P33" s="410"/>
      <c r="Q33" s="17"/>
      <c r="R33" s="407"/>
      <c r="S33" s="84"/>
      <c r="T33" s="187"/>
      <c r="U33" s="76"/>
      <c r="V33" s="445"/>
      <c r="W33" s="306"/>
      <c r="X33" s="817"/>
      <c r="Y33" s="817"/>
      <c r="Z33" s="817"/>
      <c r="AA33" s="896"/>
      <c r="AB33" s="896"/>
      <c r="AC33" s="896"/>
      <c r="AD33" s="896"/>
      <c r="AE33" s="896"/>
      <c r="AF33" s="896"/>
      <c r="AG33" s="896"/>
      <c r="AH33" s="896"/>
      <c r="AI33" s="851"/>
      <c r="AJ33" s="896"/>
      <c r="AK33" s="322">
        <v>41821</v>
      </c>
      <c r="AL33" s="268"/>
      <c r="AM33" s="268"/>
      <c r="AN33" s="352"/>
      <c r="AO33" s="268"/>
      <c r="AP33" s="268"/>
      <c r="AQ33" s="435"/>
    </row>
    <row r="34" spans="1:44" s="270" customFormat="1" ht="15" customHeight="1" x14ac:dyDescent="0.25">
      <c r="A34" s="817">
        <v>43297</v>
      </c>
      <c r="B34" s="817" t="s">
        <v>987</v>
      </c>
      <c r="C34" s="900" t="s">
        <v>93</v>
      </c>
      <c r="D34" s="819">
        <v>542</v>
      </c>
      <c r="E34" s="819"/>
      <c r="F34" s="900"/>
      <c r="G34" s="900" t="s">
        <v>784</v>
      </c>
      <c r="H34" s="900"/>
      <c r="I34" s="900"/>
      <c r="J34" s="900" t="s">
        <v>327</v>
      </c>
      <c r="K34" s="900" t="s">
        <v>988</v>
      </c>
      <c r="L34" s="900" t="s">
        <v>989</v>
      </c>
      <c r="M34" s="900" t="s">
        <v>990</v>
      </c>
      <c r="N34" s="32">
        <f t="shared" si="1"/>
        <v>0</v>
      </c>
      <c r="O34" s="16"/>
      <c r="P34" s="410"/>
      <c r="Q34" s="17"/>
      <c r="R34" s="407"/>
      <c r="S34" s="84"/>
      <c r="T34" s="187"/>
      <c r="U34" s="76"/>
      <c r="V34" s="445"/>
      <c r="W34" s="306"/>
      <c r="X34" s="817"/>
      <c r="Y34" s="817"/>
      <c r="Z34" s="817"/>
      <c r="AA34" s="901"/>
      <c r="AB34" s="901"/>
      <c r="AC34" s="901"/>
      <c r="AD34" s="901"/>
      <c r="AE34" s="901"/>
      <c r="AF34" s="901"/>
      <c r="AG34" s="901"/>
      <c r="AH34" s="901"/>
      <c r="AI34" s="851"/>
      <c r="AJ34" s="901"/>
      <c r="AK34" s="322">
        <v>41835</v>
      </c>
      <c r="AL34" s="268"/>
      <c r="AM34" s="268"/>
      <c r="AN34" s="352"/>
      <c r="AO34" s="268"/>
      <c r="AP34" s="268"/>
      <c r="AQ34" s="435"/>
    </row>
    <row r="35" spans="1:44" s="270" customFormat="1" ht="15" customHeight="1" x14ac:dyDescent="0.25">
      <c r="A35" s="358">
        <v>43298</v>
      </c>
      <c r="B35" s="358" t="s">
        <v>397</v>
      </c>
      <c r="C35" s="729" t="s">
        <v>93</v>
      </c>
      <c r="D35" s="359">
        <v>550</v>
      </c>
      <c r="E35" s="359">
        <v>14</v>
      </c>
      <c r="F35" s="729">
        <v>4</v>
      </c>
      <c r="G35" s="78" t="s">
        <v>799</v>
      </c>
      <c r="H35" s="729" t="s">
        <v>835</v>
      </c>
      <c r="I35" s="729"/>
      <c r="J35" s="729" t="s">
        <v>9</v>
      </c>
      <c r="K35" s="729" t="s">
        <v>836</v>
      </c>
      <c r="L35" s="729" t="s">
        <v>837</v>
      </c>
      <c r="M35" s="729" t="s">
        <v>838</v>
      </c>
      <c r="N35" s="32">
        <f t="shared" si="1"/>
        <v>0.1</v>
      </c>
      <c r="O35" s="16">
        <v>0.1</v>
      </c>
      <c r="P35" s="410"/>
      <c r="Q35" s="17"/>
      <c r="R35" s="407"/>
      <c r="S35" s="84"/>
      <c r="T35" s="187"/>
      <c r="U35" s="76"/>
      <c r="V35" s="445"/>
      <c r="W35" s="306"/>
      <c r="X35" s="358">
        <v>43298</v>
      </c>
      <c r="Y35" s="358">
        <v>43299</v>
      </c>
      <c r="Z35" s="358">
        <v>43299</v>
      </c>
      <c r="AA35" s="729" t="s">
        <v>311</v>
      </c>
      <c r="AB35" s="729" t="s">
        <v>577</v>
      </c>
      <c r="AC35" s="729" t="s">
        <v>313</v>
      </c>
      <c r="AD35" s="729" t="s">
        <v>314</v>
      </c>
      <c r="AE35" s="729" t="s">
        <v>314</v>
      </c>
      <c r="AF35" s="729" t="s">
        <v>315</v>
      </c>
      <c r="AG35" s="729" t="s">
        <v>315</v>
      </c>
      <c r="AH35" s="729"/>
      <c r="AI35" s="366"/>
      <c r="AJ35" s="729" t="s">
        <v>392</v>
      </c>
      <c r="AK35" s="322">
        <v>41852</v>
      </c>
      <c r="AL35" s="268"/>
      <c r="AM35" s="268"/>
      <c r="AN35" s="352"/>
      <c r="AO35" s="268"/>
      <c r="AP35" s="268"/>
      <c r="AQ35" s="435"/>
      <c r="AR35" s="2"/>
    </row>
    <row r="36" spans="1:44" s="270" customFormat="1" ht="15" customHeight="1" x14ac:dyDescent="0.25">
      <c r="A36" s="358">
        <v>43302</v>
      </c>
      <c r="B36" s="358" t="s">
        <v>849</v>
      </c>
      <c r="C36" s="729" t="s">
        <v>93</v>
      </c>
      <c r="D36" s="359">
        <v>583</v>
      </c>
      <c r="E36" s="359">
        <v>15</v>
      </c>
      <c r="F36" s="729">
        <v>5</v>
      </c>
      <c r="G36" s="78" t="s">
        <v>834</v>
      </c>
      <c r="H36" s="729" t="s">
        <v>839</v>
      </c>
      <c r="I36" s="729"/>
      <c r="J36" s="729" t="s">
        <v>8</v>
      </c>
      <c r="K36" s="729" t="s">
        <v>852</v>
      </c>
      <c r="L36" s="729" t="s">
        <v>853</v>
      </c>
      <c r="M36" s="729" t="s">
        <v>1179</v>
      </c>
      <c r="N36" s="32">
        <f t="shared" si="1"/>
        <v>0.1</v>
      </c>
      <c r="O36" s="16">
        <v>0.1</v>
      </c>
      <c r="P36" s="410"/>
      <c r="Q36" s="17"/>
      <c r="R36" s="407"/>
      <c r="S36" s="84"/>
      <c r="T36" s="187"/>
      <c r="U36" s="76"/>
      <c r="V36" s="445"/>
      <c r="W36" s="306"/>
      <c r="X36" s="358">
        <v>43302</v>
      </c>
      <c r="Y36" s="358">
        <v>43302</v>
      </c>
      <c r="Z36" s="358">
        <v>43302</v>
      </c>
      <c r="AA36" s="729" t="s">
        <v>311</v>
      </c>
      <c r="AB36" s="729" t="s">
        <v>94</v>
      </c>
      <c r="AC36" s="729" t="s">
        <v>313</v>
      </c>
      <c r="AD36" s="729" t="s">
        <v>314</v>
      </c>
      <c r="AE36" s="729" t="s">
        <v>314</v>
      </c>
      <c r="AF36" s="729" t="s">
        <v>315</v>
      </c>
      <c r="AG36" s="729" t="s">
        <v>315</v>
      </c>
      <c r="AH36" s="729"/>
      <c r="AI36" s="366"/>
      <c r="AJ36" s="729" t="s">
        <v>392</v>
      </c>
      <c r="AK36" s="322">
        <v>41866</v>
      </c>
      <c r="AL36" s="268"/>
      <c r="AM36" s="268"/>
      <c r="AN36" s="352"/>
      <c r="AO36" s="268"/>
      <c r="AP36" s="268"/>
      <c r="AQ36" s="435"/>
      <c r="AR36" s="2"/>
    </row>
    <row r="37" spans="1:44" s="270" customFormat="1" ht="15" customHeight="1" x14ac:dyDescent="0.25">
      <c r="A37" s="905">
        <v>43302</v>
      </c>
      <c r="B37" s="902" t="s">
        <v>850</v>
      </c>
      <c r="C37" s="902" t="s">
        <v>265</v>
      </c>
      <c r="D37" s="902">
        <v>586</v>
      </c>
      <c r="E37" s="902"/>
      <c r="F37" s="902"/>
      <c r="G37" s="17" t="s">
        <v>848</v>
      </c>
      <c r="H37" s="902" t="s">
        <v>436</v>
      </c>
      <c r="I37" s="902" t="s">
        <v>851</v>
      </c>
      <c r="J37" s="902" t="s">
        <v>172</v>
      </c>
      <c r="K37" s="902" t="s">
        <v>856</v>
      </c>
      <c r="L37" s="902" t="s">
        <v>1180</v>
      </c>
      <c r="M37" s="902" t="s">
        <v>861</v>
      </c>
      <c r="N37" s="32">
        <f t="shared" si="1"/>
        <v>2.7</v>
      </c>
      <c r="O37" s="16"/>
      <c r="P37" s="410"/>
      <c r="Q37" s="17"/>
      <c r="R37" s="407"/>
      <c r="S37" s="84"/>
      <c r="T37" s="187"/>
      <c r="U37" s="76"/>
      <c r="V37" s="445">
        <v>2.7</v>
      </c>
      <c r="W37" s="306"/>
      <c r="X37" s="902"/>
      <c r="Y37" s="902"/>
      <c r="Z37" s="902"/>
      <c r="AA37" s="902"/>
      <c r="AB37" s="902"/>
      <c r="AC37" s="902"/>
      <c r="AD37" s="902"/>
      <c r="AE37" s="902"/>
      <c r="AF37" s="902"/>
      <c r="AG37" s="902"/>
      <c r="AH37" s="902"/>
      <c r="AI37" s="902"/>
      <c r="AJ37" s="902"/>
      <c r="AK37" s="322">
        <v>41883</v>
      </c>
      <c r="AL37" s="268"/>
      <c r="AM37" s="268"/>
      <c r="AN37" s="352"/>
      <c r="AO37" s="268"/>
      <c r="AP37" s="268"/>
      <c r="AQ37" s="435"/>
    </row>
    <row r="38" spans="1:44" s="270" customFormat="1" ht="15" customHeight="1" x14ac:dyDescent="0.25">
      <c r="A38" s="817">
        <v>43304</v>
      </c>
      <c r="B38" s="817" t="s">
        <v>934</v>
      </c>
      <c r="C38" s="917"/>
      <c r="D38" s="819">
        <v>599</v>
      </c>
      <c r="E38" s="819">
        <v>16</v>
      </c>
      <c r="F38" s="917"/>
      <c r="G38" s="814" t="s">
        <v>873</v>
      </c>
      <c r="H38" s="917"/>
      <c r="I38" s="917"/>
      <c r="J38" s="917" t="s">
        <v>367</v>
      </c>
      <c r="K38" s="917" t="s">
        <v>1515</v>
      </c>
      <c r="L38" s="917" t="s">
        <v>1516</v>
      </c>
      <c r="M38" s="917" t="s">
        <v>1517</v>
      </c>
      <c r="N38" s="32">
        <f t="shared" si="1"/>
        <v>17</v>
      </c>
      <c r="O38" s="16">
        <v>17</v>
      </c>
      <c r="P38" s="410"/>
      <c r="Q38" s="17"/>
      <c r="R38" s="407"/>
      <c r="S38" s="84"/>
      <c r="T38" s="187"/>
      <c r="U38" s="76"/>
      <c r="V38" s="445"/>
      <c r="W38" s="306"/>
      <c r="X38" s="917"/>
      <c r="Y38" s="917"/>
      <c r="Z38" s="917"/>
      <c r="AA38" s="917"/>
      <c r="AB38" s="917"/>
      <c r="AC38" s="917"/>
      <c r="AD38" s="917"/>
      <c r="AE38" s="917"/>
      <c r="AF38" s="917"/>
      <c r="AG38" s="917"/>
      <c r="AH38" s="917"/>
      <c r="AI38" s="917"/>
      <c r="AJ38" s="917"/>
      <c r="AK38" s="322">
        <v>41897</v>
      </c>
      <c r="AL38" s="268"/>
      <c r="AM38" s="268"/>
      <c r="AN38" s="352"/>
      <c r="AO38" s="268"/>
      <c r="AP38" s="268"/>
      <c r="AQ38" s="435"/>
    </row>
    <row r="39" spans="1:44" s="270" customFormat="1" ht="15" customHeight="1" x14ac:dyDescent="0.25">
      <c r="A39" s="817">
        <v>43306</v>
      </c>
      <c r="B39" s="817" t="s">
        <v>912</v>
      </c>
      <c r="C39" s="917" t="s">
        <v>265</v>
      </c>
      <c r="D39" s="819">
        <v>615</v>
      </c>
      <c r="E39" s="819"/>
      <c r="F39" s="917"/>
      <c r="G39" s="17" t="s">
        <v>897</v>
      </c>
      <c r="H39" s="917" t="s">
        <v>935</v>
      </c>
      <c r="I39" s="917"/>
      <c r="J39" s="917" t="s">
        <v>367</v>
      </c>
      <c r="K39" s="917" t="s">
        <v>913</v>
      </c>
      <c r="L39" s="917" t="s">
        <v>936</v>
      </c>
      <c r="M39" s="917" t="s">
        <v>937</v>
      </c>
      <c r="N39" s="32">
        <f t="shared" si="1"/>
        <v>0</v>
      </c>
      <c r="O39" s="16"/>
      <c r="P39" s="410"/>
      <c r="Q39" s="17"/>
      <c r="R39" s="407"/>
      <c r="S39" s="84"/>
      <c r="T39" s="187"/>
      <c r="U39" s="76"/>
      <c r="V39" s="445"/>
      <c r="W39" s="82"/>
      <c r="X39" s="917"/>
      <c r="Y39" s="917"/>
      <c r="Z39" s="917"/>
      <c r="AA39" s="917"/>
      <c r="AB39" s="917"/>
      <c r="AC39" s="917"/>
      <c r="AD39" s="917"/>
      <c r="AE39" s="917"/>
      <c r="AF39" s="917"/>
      <c r="AG39" s="917"/>
      <c r="AH39" s="917"/>
      <c r="AI39" s="917"/>
      <c r="AJ39" s="917"/>
      <c r="AK39" s="322">
        <v>41913</v>
      </c>
      <c r="AL39" s="268"/>
      <c r="AM39" s="268"/>
      <c r="AN39" s="352"/>
      <c r="AO39" s="268"/>
      <c r="AP39" s="268"/>
      <c r="AQ39" s="435"/>
    </row>
    <row r="40" spans="1:44" ht="15" customHeight="1" x14ac:dyDescent="0.25">
      <c r="A40" s="817">
        <v>43310</v>
      </c>
      <c r="B40" s="817" t="s">
        <v>397</v>
      </c>
      <c r="C40" s="918" t="s">
        <v>93</v>
      </c>
      <c r="D40" s="819">
        <v>644</v>
      </c>
      <c r="E40" s="819"/>
      <c r="F40" s="918"/>
      <c r="G40" s="918" t="s">
        <v>942</v>
      </c>
      <c r="H40" s="918"/>
      <c r="I40" s="918"/>
      <c r="J40" s="918" t="s">
        <v>327</v>
      </c>
      <c r="K40" s="918" t="s">
        <v>991</v>
      </c>
      <c r="L40" s="918" t="s">
        <v>992</v>
      </c>
      <c r="M40" s="918" t="s">
        <v>993</v>
      </c>
      <c r="N40" s="32">
        <f t="shared" si="1"/>
        <v>0</v>
      </c>
      <c r="O40" s="16"/>
      <c r="P40" s="410"/>
      <c r="Q40" s="17"/>
      <c r="R40" s="407"/>
      <c r="S40" s="84"/>
      <c r="T40" s="187"/>
      <c r="U40" s="76"/>
      <c r="V40" s="445"/>
      <c r="W40" s="82"/>
      <c r="X40" s="817"/>
      <c r="Y40" s="817"/>
      <c r="Z40" s="817"/>
      <c r="AA40" s="918"/>
      <c r="AB40" s="918"/>
      <c r="AC40" s="918"/>
      <c r="AD40" s="918"/>
      <c r="AE40" s="918"/>
      <c r="AF40" s="918"/>
      <c r="AG40" s="918"/>
      <c r="AH40" s="918"/>
      <c r="AI40" s="851"/>
      <c r="AJ40" s="918"/>
      <c r="AK40" s="322">
        <v>41927</v>
      </c>
      <c r="AL40" s="268"/>
      <c r="AM40" s="268"/>
      <c r="AN40" s="352"/>
      <c r="AO40" s="268"/>
      <c r="AP40" s="268"/>
      <c r="AQ40" s="435"/>
      <c r="AR40" s="270"/>
    </row>
    <row r="41" spans="1:44" s="270" customFormat="1" ht="15" customHeight="1" x14ac:dyDescent="0.25">
      <c r="A41" s="358">
        <v>43311</v>
      </c>
      <c r="B41" s="358" t="s">
        <v>946</v>
      </c>
      <c r="C41" s="729" t="s">
        <v>93</v>
      </c>
      <c r="D41" s="359">
        <v>657</v>
      </c>
      <c r="E41" s="359">
        <v>17</v>
      </c>
      <c r="F41" s="729">
        <v>1</v>
      </c>
      <c r="G41" s="78" t="s">
        <v>944</v>
      </c>
      <c r="H41" s="729" t="s">
        <v>332</v>
      </c>
      <c r="I41" s="729" t="s">
        <v>970</v>
      </c>
      <c r="J41" s="729" t="s">
        <v>8</v>
      </c>
      <c r="K41" s="729" t="s">
        <v>979</v>
      </c>
      <c r="L41" s="729" t="s">
        <v>980</v>
      </c>
      <c r="M41" s="729" t="s">
        <v>1310</v>
      </c>
      <c r="N41" s="32">
        <f t="shared" si="1"/>
        <v>0.2</v>
      </c>
      <c r="O41" s="16">
        <v>0.2</v>
      </c>
      <c r="P41" s="410"/>
      <c r="Q41" s="17"/>
      <c r="R41" s="407"/>
      <c r="S41" s="84"/>
      <c r="T41" s="187"/>
      <c r="U41" s="76"/>
      <c r="V41" s="445"/>
      <c r="W41" s="82"/>
      <c r="X41" s="358">
        <v>43311</v>
      </c>
      <c r="Y41" s="358">
        <v>43312</v>
      </c>
      <c r="Z41" s="358">
        <v>43312</v>
      </c>
      <c r="AA41" s="729" t="s">
        <v>311</v>
      </c>
      <c r="AB41" s="729" t="s">
        <v>2</v>
      </c>
      <c r="AC41" s="729" t="s">
        <v>313</v>
      </c>
      <c r="AD41" s="729" t="s">
        <v>314</v>
      </c>
      <c r="AE41" s="729" t="s">
        <v>313</v>
      </c>
      <c r="AF41" s="729" t="s">
        <v>315</v>
      </c>
      <c r="AG41" s="729" t="s">
        <v>313</v>
      </c>
      <c r="AH41" s="729"/>
      <c r="AI41" s="366"/>
      <c r="AJ41" s="729" t="s">
        <v>392</v>
      </c>
      <c r="AK41" s="322">
        <v>41944</v>
      </c>
      <c r="AL41" s="268"/>
      <c r="AM41" s="268"/>
      <c r="AN41" s="352"/>
      <c r="AO41" s="268"/>
      <c r="AP41" s="268"/>
      <c r="AQ41" s="435"/>
      <c r="AR41" s="2"/>
    </row>
    <row r="42" spans="1:44" s="270" customFormat="1" ht="15" customHeight="1" x14ac:dyDescent="0.25">
      <c r="A42" s="817">
        <v>43317</v>
      </c>
      <c r="B42" s="817" t="s">
        <v>1003</v>
      </c>
      <c r="C42" s="927" t="s">
        <v>93</v>
      </c>
      <c r="D42" s="819">
        <v>745</v>
      </c>
      <c r="E42" s="819">
        <v>18</v>
      </c>
      <c r="F42" s="927"/>
      <c r="G42" s="17" t="s">
        <v>999</v>
      </c>
      <c r="H42" s="927" t="s">
        <v>1004</v>
      </c>
      <c r="I42" s="927" t="s">
        <v>1005</v>
      </c>
      <c r="J42" s="927" t="s">
        <v>367</v>
      </c>
      <c r="K42" s="927" t="s">
        <v>1006</v>
      </c>
      <c r="L42" s="927" t="s">
        <v>1007</v>
      </c>
      <c r="M42" s="927" t="s">
        <v>1008</v>
      </c>
      <c r="N42" s="32">
        <f t="shared" si="1"/>
        <v>0.2</v>
      </c>
      <c r="O42" s="16">
        <v>0.2</v>
      </c>
      <c r="P42" s="410"/>
      <c r="Q42" s="17"/>
      <c r="R42" s="407"/>
      <c r="S42" s="84"/>
      <c r="T42" s="187"/>
      <c r="U42" s="76"/>
      <c r="V42" s="445"/>
      <c r="W42" s="82"/>
      <c r="X42" s="817"/>
      <c r="Y42" s="817"/>
      <c r="Z42" s="817"/>
      <c r="AA42" s="934"/>
      <c r="AB42" s="934"/>
      <c r="AC42" s="934"/>
      <c r="AD42" s="934"/>
      <c r="AE42" s="934"/>
      <c r="AF42" s="934"/>
      <c r="AG42" s="934"/>
      <c r="AH42" s="934"/>
      <c r="AI42" s="851"/>
      <c r="AJ42" s="934"/>
      <c r="AK42" s="2"/>
      <c r="AL42" s="2"/>
      <c r="AM42" s="2"/>
      <c r="AN42" s="2"/>
      <c r="AO42" s="2"/>
      <c r="AP42" s="2"/>
      <c r="AQ42" s="435"/>
      <c r="AR42" s="2"/>
    </row>
    <row r="43" spans="1:44" ht="15" customHeight="1" x14ac:dyDescent="0.25">
      <c r="A43" s="817">
        <v>43318</v>
      </c>
      <c r="B43" s="934" t="s">
        <v>1009</v>
      </c>
      <c r="C43" s="934" t="s">
        <v>266</v>
      </c>
      <c r="D43" s="934">
        <v>761</v>
      </c>
      <c r="E43" s="934"/>
      <c r="F43" s="934"/>
      <c r="G43" s="813" t="s">
        <v>1002</v>
      </c>
      <c r="H43" s="934" t="s">
        <v>681</v>
      </c>
      <c r="I43" s="934"/>
      <c r="J43" s="934" t="s">
        <v>172</v>
      </c>
      <c r="K43" s="934" t="s">
        <v>1010</v>
      </c>
      <c r="L43" s="934" t="s">
        <v>1011</v>
      </c>
      <c r="M43" s="934" t="s">
        <v>1048</v>
      </c>
      <c r="N43" s="32">
        <f t="shared" si="1"/>
        <v>16</v>
      </c>
      <c r="O43" s="16"/>
      <c r="P43" s="410"/>
      <c r="Q43" s="17"/>
      <c r="R43" s="407"/>
      <c r="S43" s="84"/>
      <c r="T43" s="187"/>
      <c r="U43" s="76"/>
      <c r="V43" s="445"/>
      <c r="W43" s="82">
        <v>16</v>
      </c>
      <c r="X43" s="817"/>
      <c r="Y43" s="817"/>
      <c r="Z43" s="817"/>
      <c r="AA43" s="934"/>
      <c r="AB43" s="934"/>
      <c r="AC43" s="934"/>
      <c r="AD43" s="934"/>
      <c r="AE43" s="934"/>
      <c r="AF43" s="934"/>
      <c r="AG43" s="934"/>
      <c r="AH43" s="934"/>
      <c r="AI43" s="934"/>
      <c r="AJ43" s="934"/>
      <c r="AQ43" s="435"/>
    </row>
    <row r="44" spans="1:44" s="270" customFormat="1" ht="15" customHeight="1" x14ac:dyDescent="0.25">
      <c r="A44" s="817">
        <v>43324</v>
      </c>
      <c r="B44" s="934" t="s">
        <v>1041</v>
      </c>
      <c r="C44" s="934" t="s">
        <v>95</v>
      </c>
      <c r="D44" s="934">
        <v>830</v>
      </c>
      <c r="E44" s="934"/>
      <c r="F44" s="934"/>
      <c r="G44" s="17" t="s">
        <v>1042</v>
      </c>
      <c r="H44" s="934" t="s">
        <v>1043</v>
      </c>
      <c r="I44" s="934" t="s">
        <v>1044</v>
      </c>
      <c r="J44" s="934" t="s">
        <v>172</v>
      </c>
      <c r="K44" s="934" t="s">
        <v>1045</v>
      </c>
      <c r="L44" s="934" t="s">
        <v>1046</v>
      </c>
      <c r="M44" s="934" t="s">
        <v>1047</v>
      </c>
      <c r="N44" s="32">
        <f t="shared" si="1"/>
        <v>0.1</v>
      </c>
      <c r="O44" s="16"/>
      <c r="P44" s="410"/>
      <c r="Q44" s="17"/>
      <c r="R44" s="407"/>
      <c r="S44" s="84"/>
      <c r="T44" s="187"/>
      <c r="U44" s="76"/>
      <c r="V44" s="933"/>
      <c r="W44" s="82">
        <v>0.1</v>
      </c>
      <c r="X44" s="817"/>
      <c r="Y44" s="817"/>
      <c r="Z44" s="817"/>
      <c r="AA44" s="934"/>
      <c r="AB44" s="934"/>
      <c r="AC44" s="934"/>
      <c r="AD44" s="934"/>
      <c r="AE44" s="934"/>
      <c r="AF44" s="934"/>
      <c r="AG44" s="934"/>
      <c r="AH44" s="934"/>
      <c r="AI44" s="934"/>
      <c r="AJ44" s="934"/>
      <c r="AQ44" s="435"/>
    </row>
    <row r="45" spans="1:44" ht="15" customHeight="1" x14ac:dyDescent="0.25">
      <c r="A45" s="817">
        <v>43324</v>
      </c>
      <c r="B45" s="934" t="s">
        <v>1038</v>
      </c>
      <c r="C45" s="934" t="s">
        <v>206</v>
      </c>
      <c r="D45" s="934">
        <v>831</v>
      </c>
      <c r="E45" s="934"/>
      <c r="F45" s="934"/>
      <c r="G45" s="813" t="s">
        <v>1040</v>
      </c>
      <c r="H45" s="934" t="s">
        <v>344</v>
      </c>
      <c r="I45" s="934"/>
      <c r="J45" s="934" t="s">
        <v>172</v>
      </c>
      <c r="K45" s="934" t="s">
        <v>1343</v>
      </c>
      <c r="L45" s="934" t="s">
        <v>1039</v>
      </c>
      <c r="M45" s="934" t="s">
        <v>1344</v>
      </c>
      <c r="N45" s="32">
        <f t="shared" si="1"/>
        <v>2.8</v>
      </c>
      <c r="O45" s="16"/>
      <c r="P45" s="410"/>
      <c r="Q45" s="17"/>
      <c r="R45" s="407"/>
      <c r="S45" s="84"/>
      <c r="T45" s="187"/>
      <c r="U45" s="76"/>
      <c r="V45" s="445"/>
      <c r="W45" s="82">
        <v>2.8</v>
      </c>
      <c r="X45" s="817"/>
      <c r="Y45" s="817"/>
      <c r="Z45" s="817"/>
      <c r="AA45" s="934"/>
      <c r="AB45" s="934"/>
      <c r="AC45" s="934"/>
      <c r="AD45" s="934"/>
      <c r="AE45" s="934"/>
      <c r="AF45" s="934"/>
      <c r="AG45" s="934"/>
      <c r="AH45" s="934"/>
      <c r="AI45" s="934"/>
      <c r="AJ45" s="934"/>
      <c r="AK45" s="308" t="s">
        <v>178</v>
      </c>
      <c r="AL45" s="268" t="s">
        <v>177</v>
      </c>
      <c r="AM45" s="268" t="s">
        <v>175</v>
      </c>
      <c r="AN45" s="1017" t="s">
        <v>176</v>
      </c>
      <c r="AO45" s="1018"/>
      <c r="AQ45" s="435"/>
      <c r="AR45" s="270"/>
    </row>
    <row r="46" spans="1:44" ht="15" customHeight="1" x14ac:dyDescent="0.25">
      <c r="A46" s="817">
        <v>43329</v>
      </c>
      <c r="B46" s="817" t="s">
        <v>1089</v>
      </c>
      <c r="C46" s="939" t="s">
        <v>91</v>
      </c>
      <c r="D46" s="819">
        <v>864</v>
      </c>
      <c r="E46" s="819"/>
      <c r="F46" s="939"/>
      <c r="G46" s="813" t="s">
        <v>1105</v>
      </c>
      <c r="H46" s="939" t="s">
        <v>344</v>
      </c>
      <c r="I46" s="939"/>
      <c r="J46" s="939" t="s">
        <v>172</v>
      </c>
      <c r="K46" s="939" t="s">
        <v>1098</v>
      </c>
      <c r="L46" s="939" t="s">
        <v>1128</v>
      </c>
      <c r="M46" s="939" t="s">
        <v>1129</v>
      </c>
      <c r="N46" s="32">
        <f t="shared" si="1"/>
        <v>2027</v>
      </c>
      <c r="O46" s="16"/>
      <c r="P46" s="410"/>
      <c r="Q46" s="17"/>
      <c r="R46" s="407"/>
      <c r="S46" s="84"/>
      <c r="T46" s="187"/>
      <c r="U46" s="76"/>
      <c r="V46" s="445"/>
      <c r="W46" s="942">
        <v>2027</v>
      </c>
      <c r="X46" s="817"/>
      <c r="Y46" s="817"/>
      <c r="Z46" s="817"/>
      <c r="AA46" s="939"/>
      <c r="AB46" s="939"/>
      <c r="AC46" s="939"/>
      <c r="AD46" s="939"/>
      <c r="AE46" s="939"/>
      <c r="AF46" s="939"/>
      <c r="AG46" s="939"/>
      <c r="AH46" s="939"/>
      <c r="AI46" s="851"/>
      <c r="AJ46" s="939"/>
      <c r="AK46" s="308" t="s">
        <v>172</v>
      </c>
      <c r="AL46" s="412">
        <f>COUNTIF('USFS STATS'!AJ:AJ,"A (0-0.25)")</f>
        <v>20</v>
      </c>
      <c r="AM46" s="268"/>
      <c r="AN46" s="1017"/>
      <c r="AO46" s="1018"/>
      <c r="AP46" s="220"/>
      <c r="AQ46" s="435"/>
    </row>
    <row r="47" spans="1:44" s="270" customFormat="1" ht="15" customHeight="1" x14ac:dyDescent="0.25">
      <c r="A47" s="817">
        <v>43330</v>
      </c>
      <c r="B47" s="817" t="s">
        <v>397</v>
      </c>
      <c r="C47" s="939" t="s">
        <v>93</v>
      </c>
      <c r="D47" s="819">
        <v>883</v>
      </c>
      <c r="E47" s="819"/>
      <c r="F47" s="939"/>
      <c r="G47" s="949" t="s">
        <v>1157</v>
      </c>
      <c r="H47" s="939"/>
      <c r="I47" s="939"/>
      <c r="J47" s="939" t="s">
        <v>327</v>
      </c>
      <c r="K47" s="939" t="s">
        <v>1130</v>
      </c>
      <c r="L47" s="939" t="s">
        <v>1131</v>
      </c>
      <c r="M47" s="939" t="s">
        <v>1132</v>
      </c>
      <c r="N47" s="32">
        <f t="shared" si="1"/>
        <v>0</v>
      </c>
      <c r="O47" s="16"/>
      <c r="P47" s="410"/>
      <c r="Q47" s="17"/>
      <c r="R47" s="407"/>
      <c r="S47" s="84"/>
      <c r="T47" s="187"/>
      <c r="U47" s="76"/>
      <c r="V47" s="445"/>
      <c r="W47" s="330"/>
      <c r="X47" s="817"/>
      <c r="Y47" s="817"/>
      <c r="Z47" s="817"/>
      <c r="AA47" s="943"/>
      <c r="AB47" s="943"/>
      <c r="AC47" s="943"/>
      <c r="AD47" s="943"/>
      <c r="AE47" s="943"/>
      <c r="AF47" s="943"/>
      <c r="AG47" s="943"/>
      <c r="AH47" s="943"/>
      <c r="AI47" s="851"/>
      <c r="AJ47" s="943"/>
      <c r="AK47" s="308" t="s">
        <v>179</v>
      </c>
      <c r="AL47" s="268">
        <f>COUNTIF('USFS STATS'!AJ:AJ,"B (0.26-9)")</f>
        <v>5</v>
      </c>
      <c r="AM47" s="268"/>
      <c r="AN47" s="1017"/>
      <c r="AO47" s="1018"/>
      <c r="AP47" s="2"/>
      <c r="AQ47" s="435"/>
      <c r="AR47" s="2"/>
    </row>
    <row r="48" spans="1:44" s="270" customFormat="1" ht="15" customHeight="1" x14ac:dyDescent="0.25">
      <c r="A48" s="358">
        <v>43332</v>
      </c>
      <c r="B48" s="358" t="s">
        <v>397</v>
      </c>
      <c r="C48" s="729" t="s">
        <v>93</v>
      </c>
      <c r="D48" s="359">
        <v>923</v>
      </c>
      <c r="E48" s="359">
        <v>19</v>
      </c>
      <c r="F48" s="729">
        <v>4</v>
      </c>
      <c r="G48" s="78" t="s">
        <v>1136</v>
      </c>
      <c r="H48" s="729" t="s">
        <v>1140</v>
      </c>
      <c r="I48" s="729" t="s">
        <v>1141</v>
      </c>
      <c r="J48" s="729" t="s">
        <v>9</v>
      </c>
      <c r="K48" s="729" t="s">
        <v>1449</v>
      </c>
      <c r="L48" s="729" t="s">
        <v>1450</v>
      </c>
      <c r="M48" s="729" t="s">
        <v>1451</v>
      </c>
      <c r="N48" s="32">
        <f t="shared" si="1"/>
        <v>6</v>
      </c>
      <c r="O48" s="16">
        <v>6</v>
      </c>
      <c r="P48" s="410"/>
      <c r="Q48" s="17"/>
      <c r="R48" s="407"/>
      <c r="S48" s="84"/>
      <c r="T48" s="187"/>
      <c r="U48" s="76"/>
      <c r="V48" s="445"/>
      <c r="W48" s="82"/>
      <c r="X48" s="358">
        <v>43335</v>
      </c>
      <c r="Y48" s="358">
        <v>43336</v>
      </c>
      <c r="Z48" s="358">
        <v>43354</v>
      </c>
      <c r="AA48" s="729" t="s">
        <v>311</v>
      </c>
      <c r="AB48" s="729" t="s">
        <v>94</v>
      </c>
      <c r="AC48" s="729" t="s">
        <v>314</v>
      </c>
      <c r="AD48" s="729" t="s">
        <v>314</v>
      </c>
      <c r="AE48" s="729" t="s">
        <v>314</v>
      </c>
      <c r="AF48" s="729" t="s">
        <v>315</v>
      </c>
      <c r="AG48" s="729" t="s">
        <v>315</v>
      </c>
      <c r="AH48" s="729"/>
      <c r="AI48" s="366"/>
      <c r="AJ48" s="729" t="s">
        <v>316</v>
      </c>
      <c r="AK48" s="308" t="s">
        <v>173</v>
      </c>
      <c r="AL48" s="412">
        <f>COUNTIF('USFS STATS'!AJ:AJ,"C (10-99)")</f>
        <v>3</v>
      </c>
      <c r="AM48" s="268"/>
      <c r="AN48" s="1017"/>
      <c r="AO48" s="1018"/>
      <c r="AP48" s="2"/>
      <c r="AQ48" s="435"/>
    </row>
    <row r="49" spans="1:44" s="270" customFormat="1" ht="15" customHeight="1" x14ac:dyDescent="0.25">
      <c r="A49" s="358">
        <v>43333</v>
      </c>
      <c r="B49" s="729" t="s">
        <v>397</v>
      </c>
      <c r="C49" s="729" t="s">
        <v>93</v>
      </c>
      <c r="D49" s="729">
        <v>936</v>
      </c>
      <c r="E49" s="729">
        <v>20</v>
      </c>
      <c r="F49" s="729">
        <v>1</v>
      </c>
      <c r="G49" s="78" t="s">
        <v>1139</v>
      </c>
      <c r="H49" s="729" t="s">
        <v>1142</v>
      </c>
      <c r="I49" s="729" t="s">
        <v>1143</v>
      </c>
      <c r="J49" s="729" t="s">
        <v>9</v>
      </c>
      <c r="K49" s="729" t="s">
        <v>1144</v>
      </c>
      <c r="L49" s="729" t="s">
        <v>1421</v>
      </c>
      <c r="M49" s="729" t="s">
        <v>1422</v>
      </c>
      <c r="N49" s="32">
        <f t="shared" si="1"/>
        <v>0.1</v>
      </c>
      <c r="O49" s="16">
        <v>0.1</v>
      </c>
      <c r="P49" s="410"/>
      <c r="Q49" s="17"/>
      <c r="R49" s="407"/>
      <c r="S49" s="84"/>
      <c r="T49" s="187"/>
      <c r="U49" s="76"/>
      <c r="V49" s="445"/>
      <c r="W49" s="82"/>
      <c r="X49" s="358">
        <v>43333</v>
      </c>
      <c r="Y49" s="358">
        <v>43334</v>
      </c>
      <c r="Z49" s="358">
        <v>43334</v>
      </c>
      <c r="AA49" s="729" t="s">
        <v>311</v>
      </c>
      <c r="AB49" s="729" t="s">
        <v>94</v>
      </c>
      <c r="AC49" s="729" t="s">
        <v>313</v>
      </c>
      <c r="AD49" s="729" t="s">
        <v>314</v>
      </c>
      <c r="AE49" s="729" t="s">
        <v>314</v>
      </c>
      <c r="AF49" s="729" t="s">
        <v>315</v>
      </c>
      <c r="AG49" s="729" t="s">
        <v>315</v>
      </c>
      <c r="AH49" s="729"/>
      <c r="AI49" s="729"/>
      <c r="AJ49" s="729" t="s">
        <v>392</v>
      </c>
      <c r="AK49" s="308" t="s">
        <v>191</v>
      </c>
      <c r="AL49" s="412">
        <f>COUNTIF('USFS STATS'!AJ:AJ,"D (100-299)")</f>
        <v>1</v>
      </c>
      <c r="AM49" s="268"/>
      <c r="AN49" s="1017"/>
      <c r="AO49" s="1018"/>
      <c r="AP49" s="2"/>
      <c r="AQ49" s="435"/>
      <c r="AR49" s="2"/>
    </row>
    <row r="50" spans="1:44" s="270" customFormat="1" ht="15" customHeight="1" x14ac:dyDescent="0.25">
      <c r="A50" s="817">
        <v>43334</v>
      </c>
      <c r="B50" s="949" t="s">
        <v>397</v>
      </c>
      <c r="C50" s="949" t="s">
        <v>93</v>
      </c>
      <c r="D50" s="949">
        <v>937</v>
      </c>
      <c r="E50" s="949"/>
      <c r="F50" s="949"/>
      <c r="G50" s="949" t="s">
        <v>1158</v>
      </c>
      <c r="H50" s="949"/>
      <c r="I50" s="949"/>
      <c r="J50" s="949" t="s">
        <v>327</v>
      </c>
      <c r="K50" s="949" t="s">
        <v>1159</v>
      </c>
      <c r="L50" s="949" t="s">
        <v>1160</v>
      </c>
      <c r="M50" s="949" t="s">
        <v>1161</v>
      </c>
      <c r="N50" s="32">
        <f t="shared" si="1"/>
        <v>0</v>
      </c>
      <c r="O50" s="16"/>
      <c r="P50" s="410"/>
      <c r="Q50" s="17"/>
      <c r="R50" s="407"/>
      <c r="S50" s="84"/>
      <c r="T50" s="187"/>
      <c r="U50" s="76"/>
      <c r="V50" s="948"/>
      <c r="W50" s="82"/>
      <c r="X50" s="817"/>
      <c r="Y50" s="817"/>
      <c r="Z50" s="817"/>
      <c r="AA50" s="951"/>
      <c r="AB50" s="951"/>
      <c r="AC50" s="951"/>
      <c r="AD50" s="951"/>
      <c r="AE50" s="951"/>
      <c r="AF50" s="951"/>
      <c r="AG50" s="951"/>
      <c r="AH50" s="951"/>
      <c r="AI50" s="951"/>
      <c r="AJ50" s="951"/>
      <c r="AK50" s="946"/>
      <c r="AL50" s="947"/>
      <c r="AM50" s="947"/>
      <c r="AN50" s="945"/>
      <c r="AO50" s="946"/>
      <c r="AQ50" s="435"/>
    </row>
    <row r="51" spans="1:44" ht="14.25" customHeight="1" x14ac:dyDescent="0.25">
      <c r="A51" s="358">
        <v>43334</v>
      </c>
      <c r="B51" s="358" t="s">
        <v>397</v>
      </c>
      <c r="C51" s="729" t="s">
        <v>93</v>
      </c>
      <c r="D51" s="359">
        <v>942</v>
      </c>
      <c r="E51" s="359">
        <v>21</v>
      </c>
      <c r="F51" s="729">
        <v>3</v>
      </c>
      <c r="G51" s="78" t="s">
        <v>1153</v>
      </c>
      <c r="H51" s="729" t="s">
        <v>618</v>
      </c>
      <c r="I51" s="729" t="s">
        <v>1162</v>
      </c>
      <c r="J51" s="729" t="s">
        <v>9</v>
      </c>
      <c r="K51" s="729" t="s">
        <v>1163</v>
      </c>
      <c r="L51" s="729" t="s">
        <v>1164</v>
      </c>
      <c r="M51" s="729" t="s">
        <v>1420</v>
      </c>
      <c r="N51" s="32">
        <f t="shared" si="1"/>
        <v>0.1</v>
      </c>
      <c r="O51" s="16">
        <v>0.1</v>
      </c>
      <c r="P51" s="410"/>
      <c r="Q51" s="17"/>
      <c r="R51" s="407"/>
      <c r="S51" s="84"/>
      <c r="T51" s="187"/>
      <c r="U51" s="76"/>
      <c r="V51" s="445"/>
      <c r="W51" s="82"/>
      <c r="X51" s="358">
        <v>43335</v>
      </c>
      <c r="Y51" s="358">
        <v>43335</v>
      </c>
      <c r="Z51" s="358">
        <v>43335</v>
      </c>
      <c r="AA51" s="729" t="s">
        <v>311</v>
      </c>
      <c r="AB51" s="729" t="s">
        <v>312</v>
      </c>
      <c r="AC51" s="729" t="s">
        <v>313</v>
      </c>
      <c r="AD51" s="729" t="s">
        <v>313</v>
      </c>
      <c r="AE51" s="729" t="s">
        <v>313</v>
      </c>
      <c r="AF51" s="729" t="s">
        <v>315</v>
      </c>
      <c r="AG51" s="729" t="s">
        <v>315</v>
      </c>
      <c r="AH51" s="729"/>
      <c r="AI51" s="366"/>
      <c r="AJ51" s="729" t="s">
        <v>392</v>
      </c>
      <c r="AK51" s="308" t="s">
        <v>157</v>
      </c>
      <c r="AL51" s="412">
        <f>COUNTIF('USFS STATS'!AJ:AJ,"E (300-999)")</f>
        <v>0</v>
      </c>
      <c r="AM51" s="268"/>
      <c r="AN51" s="1017"/>
      <c r="AO51" s="1018"/>
    </row>
    <row r="52" spans="1:44" ht="15" customHeight="1" x14ac:dyDescent="0.25">
      <c r="A52" s="905">
        <v>43337</v>
      </c>
      <c r="B52" s="952" t="s">
        <v>1189</v>
      </c>
      <c r="C52" s="952"/>
      <c r="D52" s="952">
        <v>952</v>
      </c>
      <c r="E52" s="952"/>
      <c r="F52" s="952"/>
      <c r="G52" s="814" t="s">
        <v>1183</v>
      </c>
      <c r="H52" s="952"/>
      <c r="I52" s="952"/>
      <c r="J52" s="952" t="s">
        <v>367</v>
      </c>
      <c r="K52" s="952" t="s">
        <v>1190</v>
      </c>
      <c r="L52" s="952" t="s">
        <v>1191</v>
      </c>
      <c r="M52" s="952" t="s">
        <v>1192</v>
      </c>
      <c r="N52" s="32">
        <f>SUM(O52:W52)</f>
        <v>5</v>
      </c>
      <c r="O52" s="16">
        <v>5</v>
      </c>
      <c r="P52" s="410"/>
      <c r="Q52" s="17"/>
      <c r="R52" s="407"/>
      <c r="S52" s="84"/>
      <c r="T52" s="187"/>
      <c r="U52" s="76"/>
      <c r="V52" s="445"/>
      <c r="W52" s="306"/>
      <c r="X52" s="817"/>
      <c r="Y52" s="817"/>
      <c r="Z52" s="817"/>
      <c r="AA52" s="952"/>
      <c r="AB52" s="952"/>
      <c r="AC52" s="952"/>
      <c r="AD52" s="952"/>
      <c r="AE52" s="952"/>
      <c r="AF52" s="952"/>
      <c r="AG52" s="952"/>
      <c r="AH52" s="952"/>
      <c r="AI52" s="952"/>
      <c r="AJ52" s="952"/>
      <c r="AK52" s="308" t="s">
        <v>180</v>
      </c>
      <c r="AL52" s="412">
        <f>COUNTIF('USFS STATS'!AJ:AJ,"G (5000+)")</f>
        <v>0</v>
      </c>
      <c r="AM52" s="421"/>
      <c r="AN52" s="1017"/>
      <c r="AO52" s="1018"/>
      <c r="AP52" s="270"/>
    </row>
    <row r="53" spans="1:44" ht="15" customHeight="1" x14ac:dyDescent="0.25">
      <c r="A53" s="358">
        <v>43337</v>
      </c>
      <c r="B53" s="358" t="s">
        <v>1184</v>
      </c>
      <c r="C53" s="729" t="s">
        <v>93</v>
      </c>
      <c r="D53" s="359">
        <v>960</v>
      </c>
      <c r="E53" s="359">
        <v>22</v>
      </c>
      <c r="F53" s="729">
        <v>5</v>
      </c>
      <c r="G53" s="78" t="s">
        <v>1181</v>
      </c>
      <c r="H53" s="729" t="s">
        <v>1182</v>
      </c>
      <c r="I53" s="729"/>
      <c r="J53" s="729" t="s">
        <v>8</v>
      </c>
      <c r="K53" s="729" t="s">
        <v>1499</v>
      </c>
      <c r="L53" s="729" t="s">
        <v>1500</v>
      </c>
      <c r="M53" s="729" t="s">
        <v>1501</v>
      </c>
      <c r="N53" s="32">
        <f t="shared" si="1"/>
        <v>4571</v>
      </c>
      <c r="O53" s="16">
        <v>3732</v>
      </c>
      <c r="P53" s="410"/>
      <c r="Q53" s="17"/>
      <c r="R53" s="407"/>
      <c r="S53" s="84"/>
      <c r="T53" s="187"/>
      <c r="U53" s="76">
        <v>839</v>
      </c>
      <c r="V53" s="445"/>
      <c r="W53" s="82"/>
      <c r="X53" s="358">
        <v>43377</v>
      </c>
      <c r="Y53" s="358">
        <v>43389</v>
      </c>
      <c r="Z53" s="358">
        <v>43389</v>
      </c>
      <c r="AA53" s="729" t="s">
        <v>1502</v>
      </c>
      <c r="AB53" s="729" t="s">
        <v>2</v>
      </c>
      <c r="AC53" s="729" t="s">
        <v>314</v>
      </c>
      <c r="AD53" s="729" t="s">
        <v>313</v>
      </c>
      <c r="AE53" s="729" t="s">
        <v>314</v>
      </c>
      <c r="AF53" s="729" t="s">
        <v>313</v>
      </c>
      <c r="AG53" s="729" t="s">
        <v>313</v>
      </c>
      <c r="AH53" s="729"/>
      <c r="AI53" s="366"/>
      <c r="AJ53" s="729" t="s">
        <v>698</v>
      </c>
      <c r="AK53" s="308" t="s">
        <v>190</v>
      </c>
      <c r="AL53" s="412">
        <f>COUNTIF('USFS STATS'!AJ:AJ,"F (1000-4999)")</f>
        <v>2</v>
      </c>
      <c r="AM53" s="417"/>
      <c r="AN53" s="415"/>
      <c r="AO53" s="416"/>
      <c r="AP53" s="270"/>
    </row>
    <row r="54" spans="1:44" s="270" customFormat="1" ht="15" customHeight="1" x14ac:dyDescent="0.25">
      <c r="A54" s="720">
        <v>43340</v>
      </c>
      <c r="B54" s="729" t="s">
        <v>1201</v>
      </c>
      <c r="C54" s="729" t="s">
        <v>95</v>
      </c>
      <c r="D54" s="729">
        <v>976</v>
      </c>
      <c r="E54" s="729">
        <v>23</v>
      </c>
      <c r="F54" s="729">
        <v>3</v>
      </c>
      <c r="G54" s="78" t="s">
        <v>1200</v>
      </c>
      <c r="H54" s="729" t="s">
        <v>427</v>
      </c>
      <c r="I54" s="729" t="s">
        <v>1162</v>
      </c>
      <c r="J54" s="729" t="s">
        <v>8</v>
      </c>
      <c r="K54" s="729" t="s">
        <v>1045</v>
      </c>
      <c r="L54" s="729" t="s">
        <v>1426</v>
      </c>
      <c r="M54" s="729" t="s">
        <v>1202</v>
      </c>
      <c r="N54" s="32">
        <f t="shared" si="1"/>
        <v>1.3</v>
      </c>
      <c r="O54" s="16"/>
      <c r="P54" s="410"/>
      <c r="Q54" s="17">
        <v>1.3</v>
      </c>
      <c r="R54" s="407"/>
      <c r="S54" s="84"/>
      <c r="T54" s="187"/>
      <c r="U54" s="76"/>
      <c r="V54" s="652"/>
      <c r="W54" s="306"/>
      <c r="X54" s="358">
        <v>43341</v>
      </c>
      <c r="Y54" s="358">
        <v>43342</v>
      </c>
      <c r="Z54" s="358">
        <v>43344</v>
      </c>
      <c r="AA54" s="729" t="s">
        <v>311</v>
      </c>
      <c r="AB54" s="729" t="s">
        <v>312</v>
      </c>
      <c r="AC54" s="729" t="s">
        <v>313</v>
      </c>
      <c r="AD54" s="729" t="s">
        <v>314</v>
      </c>
      <c r="AE54" s="729" t="s">
        <v>313</v>
      </c>
      <c r="AF54" s="729" t="s">
        <v>313</v>
      </c>
      <c r="AG54" s="729" t="s">
        <v>315</v>
      </c>
      <c r="AH54" s="729"/>
      <c r="AI54" s="729"/>
      <c r="AJ54" s="729" t="s">
        <v>316</v>
      </c>
      <c r="AK54" s="650"/>
      <c r="AL54" s="651"/>
      <c r="AM54" s="651"/>
      <c r="AN54" s="649"/>
      <c r="AO54" s="650"/>
    </row>
    <row r="55" spans="1:44" ht="15" customHeight="1" x14ac:dyDescent="0.25">
      <c r="A55" s="358">
        <v>43344</v>
      </c>
      <c r="B55" s="358" t="s">
        <v>1219</v>
      </c>
      <c r="C55" s="729" t="s">
        <v>205</v>
      </c>
      <c r="D55" s="359">
        <v>993</v>
      </c>
      <c r="E55" s="359">
        <v>24</v>
      </c>
      <c r="F55" s="729">
        <v>6</v>
      </c>
      <c r="G55" s="78" t="s">
        <v>1217</v>
      </c>
      <c r="H55" s="729" t="s">
        <v>1220</v>
      </c>
      <c r="I55" s="729"/>
      <c r="J55" s="729" t="s">
        <v>8</v>
      </c>
      <c r="K55" s="729" t="s">
        <v>1221</v>
      </c>
      <c r="L55" s="729" t="s">
        <v>1222</v>
      </c>
      <c r="M55" s="729" t="s">
        <v>1223</v>
      </c>
      <c r="N55" s="32">
        <f t="shared" si="1"/>
        <v>0.1</v>
      </c>
      <c r="O55" s="16"/>
      <c r="P55" s="410"/>
      <c r="Q55" s="17"/>
      <c r="R55" s="407"/>
      <c r="S55" s="84"/>
      <c r="T55" s="187">
        <v>0.1</v>
      </c>
      <c r="U55" s="76"/>
      <c r="V55" s="445"/>
      <c r="W55" s="306"/>
      <c r="X55" s="358">
        <v>43344</v>
      </c>
      <c r="Y55" s="358">
        <v>43344</v>
      </c>
      <c r="Z55" s="358">
        <v>43344</v>
      </c>
      <c r="AA55" s="729" t="s">
        <v>311</v>
      </c>
      <c r="AB55" s="729" t="s">
        <v>94</v>
      </c>
      <c r="AC55" s="729" t="s">
        <v>313</v>
      </c>
      <c r="AD55" s="729" t="s">
        <v>314</v>
      </c>
      <c r="AE55" s="729" t="s">
        <v>314</v>
      </c>
      <c r="AF55" s="729" t="s">
        <v>315</v>
      </c>
      <c r="AG55" s="729" t="s">
        <v>315</v>
      </c>
      <c r="AH55" s="729"/>
      <c r="AI55" s="366"/>
      <c r="AJ55" s="729" t="s">
        <v>392</v>
      </c>
      <c r="AK55" s="433" t="s">
        <v>5</v>
      </c>
      <c r="AL55" s="433">
        <f>SUM(AL46:AL53)</f>
        <v>31</v>
      </c>
      <c r="AM55" s="433"/>
      <c r="AN55" s="1028"/>
      <c r="AO55" s="1028"/>
      <c r="AQ55" s="435"/>
    </row>
    <row r="56" spans="1:44" ht="15" customHeight="1" x14ac:dyDescent="0.25">
      <c r="A56" s="358">
        <v>43344</v>
      </c>
      <c r="B56" s="358" t="s">
        <v>1224</v>
      </c>
      <c r="C56" s="729" t="s">
        <v>263</v>
      </c>
      <c r="D56" s="359">
        <v>995</v>
      </c>
      <c r="E56" s="359">
        <v>25</v>
      </c>
      <c r="F56" s="729">
        <v>4</v>
      </c>
      <c r="G56" s="78" t="s">
        <v>1218</v>
      </c>
      <c r="H56" s="729" t="s">
        <v>1225</v>
      </c>
      <c r="I56" s="729" t="s">
        <v>1228</v>
      </c>
      <c r="J56" s="729" t="s">
        <v>8</v>
      </c>
      <c r="K56" s="729" t="s">
        <v>1226</v>
      </c>
      <c r="L56" s="729" t="s">
        <v>1227</v>
      </c>
      <c r="M56" s="729" t="s">
        <v>1430</v>
      </c>
      <c r="N56" s="32">
        <f t="shared" si="1"/>
        <v>0.1</v>
      </c>
      <c r="O56" s="16"/>
      <c r="P56" s="410"/>
      <c r="Q56" s="17"/>
      <c r="R56" s="407">
        <v>0.1</v>
      </c>
      <c r="S56" s="84"/>
      <c r="T56" s="187"/>
      <c r="U56" s="76"/>
      <c r="V56" s="445"/>
      <c r="W56" s="306"/>
      <c r="X56" s="358">
        <v>43344</v>
      </c>
      <c r="Y56" s="358">
        <v>43344</v>
      </c>
      <c r="Z56" s="358">
        <v>43344</v>
      </c>
      <c r="AA56" s="729" t="s">
        <v>311</v>
      </c>
      <c r="AB56" s="729" t="s">
        <v>94</v>
      </c>
      <c r="AC56" s="729" t="s">
        <v>313</v>
      </c>
      <c r="AD56" s="729" t="s">
        <v>313</v>
      </c>
      <c r="AE56" s="729" t="s">
        <v>314</v>
      </c>
      <c r="AF56" s="729" t="s">
        <v>313</v>
      </c>
      <c r="AG56" s="729" t="s">
        <v>315</v>
      </c>
      <c r="AH56" s="729"/>
      <c r="AI56" s="366"/>
      <c r="AJ56" s="729" t="s">
        <v>392</v>
      </c>
      <c r="AR56" s="270"/>
    </row>
    <row r="57" spans="1:44" s="270" customFormat="1" ht="15" customHeight="1" x14ac:dyDescent="0.25">
      <c r="A57" s="817">
        <v>43345</v>
      </c>
      <c r="B57" s="817" t="s">
        <v>397</v>
      </c>
      <c r="C57" s="956" t="s">
        <v>93</v>
      </c>
      <c r="D57" s="819">
        <v>999</v>
      </c>
      <c r="E57" s="819"/>
      <c r="F57" s="956"/>
      <c r="G57" s="956" t="s">
        <v>1241</v>
      </c>
      <c r="H57" s="956"/>
      <c r="I57" s="956"/>
      <c r="J57" s="956" t="s">
        <v>327</v>
      </c>
      <c r="K57" s="956" t="s">
        <v>1242</v>
      </c>
      <c r="L57" s="956" t="s">
        <v>1243</v>
      </c>
      <c r="M57" s="956" t="s">
        <v>1244</v>
      </c>
      <c r="N57" s="32">
        <f t="shared" si="1"/>
        <v>0</v>
      </c>
      <c r="O57" s="16"/>
      <c r="P57" s="410"/>
      <c r="Q57" s="17"/>
      <c r="R57" s="407"/>
      <c r="S57" s="84"/>
      <c r="T57" s="187"/>
      <c r="U57" s="76"/>
      <c r="V57" s="955"/>
      <c r="W57" s="306"/>
      <c r="X57" s="817"/>
      <c r="Y57" s="817"/>
      <c r="Z57" s="817"/>
      <c r="AA57" s="956"/>
      <c r="AB57" s="956"/>
      <c r="AC57" s="956"/>
      <c r="AD57" s="956"/>
      <c r="AE57" s="956"/>
      <c r="AF57" s="956"/>
      <c r="AG57" s="956"/>
      <c r="AH57" s="956"/>
      <c r="AI57" s="851"/>
      <c r="AJ57" s="956"/>
    </row>
    <row r="58" spans="1:44" s="270" customFormat="1" ht="15" customHeight="1" x14ac:dyDescent="0.25">
      <c r="A58" s="817">
        <v>43346</v>
      </c>
      <c r="B58" s="956" t="s">
        <v>1235</v>
      </c>
      <c r="C58" s="956" t="s">
        <v>266</v>
      </c>
      <c r="D58" s="956">
        <v>1002</v>
      </c>
      <c r="E58" s="956"/>
      <c r="F58" s="956"/>
      <c r="G58" s="813" t="s">
        <v>1237</v>
      </c>
      <c r="H58" s="956" t="s">
        <v>1236</v>
      </c>
      <c r="I58" s="956" t="s">
        <v>1238</v>
      </c>
      <c r="J58" s="956" t="s">
        <v>172</v>
      </c>
      <c r="K58" s="956" t="s">
        <v>1435</v>
      </c>
      <c r="L58" s="956" t="s">
        <v>1239</v>
      </c>
      <c r="M58" s="956" t="s">
        <v>1436</v>
      </c>
      <c r="N58" s="32">
        <f>SUM(O58:W58)</f>
        <v>0.1</v>
      </c>
      <c r="O58" s="16"/>
      <c r="P58" s="410"/>
      <c r="Q58" s="17"/>
      <c r="R58" s="407"/>
      <c r="S58" s="84"/>
      <c r="T58" s="187"/>
      <c r="U58" s="76"/>
      <c r="V58" s="445"/>
      <c r="W58" s="82">
        <v>0.1</v>
      </c>
      <c r="X58" s="817"/>
      <c r="Y58" s="817"/>
      <c r="Z58" s="817"/>
      <c r="AA58" s="956"/>
      <c r="AB58" s="956"/>
      <c r="AC58" s="956"/>
      <c r="AD58" s="956"/>
      <c r="AE58" s="956"/>
      <c r="AF58" s="956"/>
      <c r="AG58" s="956"/>
      <c r="AH58" s="956"/>
      <c r="AI58" s="956"/>
      <c r="AJ58" s="956"/>
      <c r="AK58" s="2"/>
      <c r="AL58" s="2"/>
      <c r="AM58" s="2"/>
      <c r="AN58" s="2"/>
      <c r="AO58" s="2"/>
      <c r="AP58" s="2"/>
      <c r="AR58" s="2"/>
    </row>
    <row r="59" spans="1:44" ht="15.75" customHeight="1" x14ac:dyDescent="0.25">
      <c r="A59" s="720">
        <v>43349</v>
      </c>
      <c r="B59" s="729" t="s">
        <v>1257</v>
      </c>
      <c r="C59" s="729" t="s">
        <v>93</v>
      </c>
      <c r="D59" s="729">
        <v>1019</v>
      </c>
      <c r="E59" s="729">
        <v>26</v>
      </c>
      <c r="F59" s="729">
        <v>5</v>
      </c>
      <c r="G59" s="78" t="s">
        <v>1251</v>
      </c>
      <c r="H59" s="729" t="s">
        <v>1258</v>
      </c>
      <c r="I59" s="729" t="s">
        <v>1259</v>
      </c>
      <c r="J59" s="729" t="s">
        <v>9</v>
      </c>
      <c r="K59" s="729" t="s">
        <v>1260</v>
      </c>
      <c r="L59" s="729" t="s">
        <v>1261</v>
      </c>
      <c r="M59" s="729" t="s">
        <v>1262</v>
      </c>
      <c r="N59" s="32">
        <f t="shared" si="1"/>
        <v>112</v>
      </c>
      <c r="O59" s="16">
        <v>112</v>
      </c>
      <c r="P59" s="410"/>
      <c r="Q59" s="17"/>
      <c r="R59" s="407"/>
      <c r="S59" s="84"/>
      <c r="T59" s="187"/>
      <c r="U59" s="76"/>
      <c r="V59" s="445"/>
      <c r="W59" s="82"/>
      <c r="X59" s="358">
        <v>43356</v>
      </c>
      <c r="Y59" s="358">
        <v>43377</v>
      </c>
      <c r="Z59" s="358">
        <v>43384</v>
      </c>
      <c r="AA59" s="729" t="s">
        <v>311</v>
      </c>
      <c r="AB59" s="729" t="s">
        <v>94</v>
      </c>
      <c r="AC59" s="729" t="s">
        <v>314</v>
      </c>
      <c r="AD59" s="729" t="s">
        <v>314</v>
      </c>
      <c r="AE59" s="729" t="s">
        <v>314</v>
      </c>
      <c r="AF59" s="729" t="s">
        <v>315</v>
      </c>
      <c r="AG59" s="729" t="s">
        <v>313</v>
      </c>
      <c r="AH59" s="729"/>
      <c r="AI59" s="729"/>
      <c r="AJ59" s="729" t="s">
        <v>482</v>
      </c>
    </row>
    <row r="60" spans="1:44" ht="15" customHeight="1" x14ac:dyDescent="0.25">
      <c r="A60" s="720">
        <v>43349</v>
      </c>
      <c r="B60" s="729" t="s">
        <v>397</v>
      </c>
      <c r="C60" s="729" t="s">
        <v>93</v>
      </c>
      <c r="D60" s="729">
        <v>1020</v>
      </c>
      <c r="E60" s="729">
        <v>27</v>
      </c>
      <c r="F60" s="729">
        <v>1</v>
      </c>
      <c r="G60" s="78" t="s">
        <v>1252</v>
      </c>
      <c r="H60" s="729" t="s">
        <v>618</v>
      </c>
      <c r="I60" s="729"/>
      <c r="J60" s="729" t="s">
        <v>9</v>
      </c>
      <c r="K60" s="729" t="s">
        <v>1263</v>
      </c>
      <c r="L60" s="729" t="s">
        <v>1437</v>
      </c>
      <c r="M60" s="729" t="s">
        <v>1438</v>
      </c>
      <c r="N60" s="32">
        <f t="shared" si="1"/>
        <v>0.1</v>
      </c>
      <c r="O60" s="16">
        <v>0.1</v>
      </c>
      <c r="P60" s="410"/>
      <c r="Q60" s="17"/>
      <c r="R60" s="407"/>
      <c r="S60" s="84"/>
      <c r="T60" s="187"/>
      <c r="U60" s="76"/>
      <c r="V60" s="445"/>
      <c r="W60" s="306"/>
      <c r="X60" s="358">
        <v>43350</v>
      </c>
      <c r="Y60" s="358">
        <v>43350</v>
      </c>
      <c r="Z60" s="358">
        <v>43350</v>
      </c>
      <c r="AA60" s="729" t="s">
        <v>311</v>
      </c>
      <c r="AB60" s="729" t="s">
        <v>577</v>
      </c>
      <c r="AC60" s="729" t="s">
        <v>313</v>
      </c>
      <c r="AD60" s="729" t="s">
        <v>314</v>
      </c>
      <c r="AE60" s="729" t="s">
        <v>314</v>
      </c>
      <c r="AF60" s="729" t="s">
        <v>315</v>
      </c>
      <c r="AG60" s="729" t="s">
        <v>315</v>
      </c>
      <c r="AH60" s="729"/>
      <c r="AI60" s="729"/>
      <c r="AJ60" s="729" t="s">
        <v>392</v>
      </c>
    </row>
    <row r="61" spans="1:44" ht="15" customHeight="1" x14ac:dyDescent="0.25">
      <c r="A61" s="358">
        <v>43349</v>
      </c>
      <c r="B61" s="729" t="s">
        <v>397</v>
      </c>
      <c r="C61" s="729" t="s">
        <v>93</v>
      </c>
      <c r="D61" s="729">
        <v>1021</v>
      </c>
      <c r="E61" s="729">
        <v>28</v>
      </c>
      <c r="F61" s="729">
        <v>1</v>
      </c>
      <c r="G61" s="78" t="s">
        <v>1253</v>
      </c>
      <c r="H61" s="729" t="s">
        <v>1264</v>
      </c>
      <c r="I61" s="729"/>
      <c r="J61" s="729" t="s">
        <v>9</v>
      </c>
      <c r="K61" s="729" t="s">
        <v>1265</v>
      </c>
      <c r="L61" s="363" t="s">
        <v>1439</v>
      </c>
      <c r="M61" s="729" t="s">
        <v>1440</v>
      </c>
      <c r="N61" s="32">
        <f t="shared" si="1"/>
        <v>0.1</v>
      </c>
      <c r="O61" s="16">
        <v>0.1</v>
      </c>
      <c r="P61" s="410"/>
      <c r="Q61" s="17"/>
      <c r="R61" s="407"/>
      <c r="S61" s="84"/>
      <c r="T61" s="187"/>
      <c r="U61" s="76"/>
      <c r="V61" s="445"/>
      <c r="W61" s="82"/>
      <c r="X61" s="358">
        <v>43351</v>
      </c>
      <c r="Y61" s="358">
        <v>43351</v>
      </c>
      <c r="Z61" s="358">
        <v>43352</v>
      </c>
      <c r="AA61" s="729" t="s">
        <v>311</v>
      </c>
      <c r="AB61" s="729" t="s">
        <v>577</v>
      </c>
      <c r="AC61" s="729" t="s">
        <v>313</v>
      </c>
      <c r="AD61" s="729" t="s">
        <v>314</v>
      </c>
      <c r="AE61" s="729" t="s">
        <v>314</v>
      </c>
      <c r="AF61" s="729" t="s">
        <v>315</v>
      </c>
      <c r="AG61" s="729" t="s">
        <v>315</v>
      </c>
      <c r="AH61" s="729"/>
      <c r="AI61" s="729"/>
      <c r="AJ61" s="729" t="s">
        <v>392</v>
      </c>
      <c r="AK61" s="270"/>
      <c r="AL61" s="270"/>
      <c r="AM61" s="270"/>
      <c r="AN61" s="270"/>
      <c r="AO61" s="270"/>
      <c r="AP61" s="270"/>
      <c r="AR61" s="270"/>
    </row>
    <row r="62" spans="1:44" ht="15" customHeight="1" x14ac:dyDescent="0.25">
      <c r="A62" s="358">
        <v>43350</v>
      </c>
      <c r="B62" s="358" t="s">
        <v>397</v>
      </c>
      <c r="C62" s="729" t="s">
        <v>93</v>
      </c>
      <c r="D62" s="359">
        <v>1023</v>
      </c>
      <c r="E62" s="359">
        <v>29</v>
      </c>
      <c r="F62" s="729">
        <v>3</v>
      </c>
      <c r="G62" s="78" t="s">
        <v>1254</v>
      </c>
      <c r="H62" s="729" t="s">
        <v>1441</v>
      </c>
      <c r="I62" s="729" t="s">
        <v>1442</v>
      </c>
      <c r="J62" s="729" t="s">
        <v>9</v>
      </c>
      <c r="K62" s="729" t="s">
        <v>1266</v>
      </c>
      <c r="L62" s="729" t="s">
        <v>1267</v>
      </c>
      <c r="M62" s="729" t="s">
        <v>1443</v>
      </c>
      <c r="N62" s="32">
        <f t="shared" si="1"/>
        <v>6.1</v>
      </c>
      <c r="O62" s="16">
        <v>6.1</v>
      </c>
      <c r="P62" s="410"/>
      <c r="Q62" s="17"/>
      <c r="R62" s="407"/>
      <c r="S62" s="84"/>
      <c r="T62" s="187"/>
      <c r="U62" s="76"/>
      <c r="V62" s="445"/>
      <c r="W62" s="306"/>
      <c r="X62" s="358">
        <v>43352</v>
      </c>
      <c r="Y62" s="358">
        <v>43353</v>
      </c>
      <c r="Z62" s="358">
        <v>43357</v>
      </c>
      <c r="AA62" s="729" t="s">
        <v>311</v>
      </c>
      <c r="AB62" s="729" t="s">
        <v>577</v>
      </c>
      <c r="AC62" s="729" t="s">
        <v>314</v>
      </c>
      <c r="AD62" s="729" t="s">
        <v>314</v>
      </c>
      <c r="AE62" s="729" t="s">
        <v>314</v>
      </c>
      <c r="AF62" s="729" t="s">
        <v>315</v>
      </c>
      <c r="AG62" s="729" t="s">
        <v>313</v>
      </c>
      <c r="AH62" s="729"/>
      <c r="AI62" s="366"/>
      <c r="AJ62" s="729" t="s">
        <v>316</v>
      </c>
    </row>
    <row r="63" spans="1:44" ht="15" customHeight="1" x14ac:dyDescent="0.25">
      <c r="A63" s="358">
        <v>43350</v>
      </c>
      <c r="B63" s="358" t="s">
        <v>1505</v>
      </c>
      <c r="C63" s="729" t="s">
        <v>93</v>
      </c>
      <c r="D63" s="359">
        <v>1024</v>
      </c>
      <c r="E63" s="359">
        <v>30</v>
      </c>
      <c r="F63" s="729">
        <v>3</v>
      </c>
      <c r="G63" s="78" t="s">
        <v>1255</v>
      </c>
      <c r="H63" s="729" t="s">
        <v>1004</v>
      </c>
      <c r="I63" s="729" t="s">
        <v>1506</v>
      </c>
      <c r="J63" s="729" t="s">
        <v>9</v>
      </c>
      <c r="K63" s="729" t="s">
        <v>1268</v>
      </c>
      <c r="L63" s="729" t="s">
        <v>1269</v>
      </c>
      <c r="M63" s="729" t="s">
        <v>1270</v>
      </c>
      <c r="N63" s="32">
        <f t="shared" si="1"/>
        <v>26.4</v>
      </c>
      <c r="O63" s="16">
        <v>26.4</v>
      </c>
      <c r="P63" s="410"/>
      <c r="Q63" s="17"/>
      <c r="R63" s="407"/>
      <c r="S63" s="84"/>
      <c r="T63" s="187"/>
      <c r="U63" s="76"/>
      <c r="V63" s="445"/>
      <c r="W63" s="306"/>
      <c r="X63" s="358">
        <v>43355</v>
      </c>
      <c r="Y63" s="358">
        <v>43357</v>
      </c>
      <c r="Z63" s="358">
        <v>43391</v>
      </c>
      <c r="AA63" s="729" t="s">
        <v>311</v>
      </c>
      <c r="AB63" s="729" t="s">
        <v>577</v>
      </c>
      <c r="AC63" s="729" t="s">
        <v>314</v>
      </c>
      <c r="AD63" s="729" t="s">
        <v>314</v>
      </c>
      <c r="AE63" s="729" t="s">
        <v>314</v>
      </c>
      <c r="AF63" s="729" t="s">
        <v>315</v>
      </c>
      <c r="AG63" s="729" t="s">
        <v>313</v>
      </c>
      <c r="AH63" s="729"/>
      <c r="AI63" s="366"/>
      <c r="AJ63" s="729" t="s">
        <v>321</v>
      </c>
      <c r="AK63" s="270"/>
      <c r="AL63" s="270"/>
      <c r="AM63" s="270"/>
      <c r="AN63" s="270"/>
      <c r="AO63" s="270"/>
      <c r="AP63" s="270"/>
    </row>
    <row r="64" spans="1:44" s="270" customFormat="1" ht="15" customHeight="1" x14ac:dyDescent="0.25">
      <c r="A64" s="358">
        <v>43350</v>
      </c>
      <c r="B64" s="358" t="s">
        <v>397</v>
      </c>
      <c r="C64" s="729" t="s">
        <v>93</v>
      </c>
      <c r="D64" s="359">
        <v>1026</v>
      </c>
      <c r="E64" s="359">
        <v>31</v>
      </c>
      <c r="F64" s="729">
        <v>3</v>
      </c>
      <c r="G64" s="78" t="s">
        <v>1256</v>
      </c>
      <c r="H64" s="729" t="s">
        <v>1271</v>
      </c>
      <c r="I64" s="729"/>
      <c r="J64" s="729" t="s">
        <v>9</v>
      </c>
      <c r="K64" s="729" t="s">
        <v>1272</v>
      </c>
      <c r="L64" s="729" t="s">
        <v>1457</v>
      </c>
      <c r="M64" s="729" t="s">
        <v>1440</v>
      </c>
      <c r="N64" s="32">
        <f t="shared" si="1"/>
        <v>0.3</v>
      </c>
      <c r="O64" s="16">
        <v>0.3</v>
      </c>
      <c r="P64" s="410"/>
      <c r="Q64" s="17"/>
      <c r="R64" s="407"/>
      <c r="S64" s="84"/>
      <c r="T64" s="187"/>
      <c r="U64" s="76"/>
      <c r="V64" s="721"/>
      <c r="W64" s="306"/>
      <c r="X64" s="358">
        <v>43350</v>
      </c>
      <c r="Y64" s="358">
        <v>43351</v>
      </c>
      <c r="Z64" s="358">
        <v>43356</v>
      </c>
      <c r="AA64" s="729" t="s">
        <v>311</v>
      </c>
      <c r="AB64" s="729" t="s">
        <v>894</v>
      </c>
      <c r="AC64" s="729" t="s">
        <v>313</v>
      </c>
      <c r="AD64" s="729" t="s">
        <v>314</v>
      </c>
      <c r="AE64" s="729" t="s">
        <v>314</v>
      </c>
      <c r="AF64" s="729" t="s">
        <v>315</v>
      </c>
      <c r="AG64" s="729" t="s">
        <v>313</v>
      </c>
      <c r="AH64" s="729"/>
      <c r="AI64" s="366"/>
      <c r="AJ64" s="729" t="s">
        <v>316</v>
      </c>
    </row>
    <row r="65" spans="1:44" s="270" customFormat="1" ht="15" customHeight="1" x14ac:dyDescent="0.25">
      <c r="A65" s="358">
        <v>43351</v>
      </c>
      <c r="B65" s="358" t="s">
        <v>1275</v>
      </c>
      <c r="C65" s="729" t="s">
        <v>93</v>
      </c>
      <c r="D65" s="359">
        <v>1033</v>
      </c>
      <c r="E65" s="359">
        <v>32</v>
      </c>
      <c r="F65" s="729">
        <v>4</v>
      </c>
      <c r="G65" s="78" t="s">
        <v>1274</v>
      </c>
      <c r="H65" s="729" t="s">
        <v>1276</v>
      </c>
      <c r="I65" s="729"/>
      <c r="J65" s="729" t="s">
        <v>8</v>
      </c>
      <c r="K65" s="729" t="s">
        <v>1277</v>
      </c>
      <c r="L65" s="729" t="s">
        <v>1476</v>
      </c>
      <c r="M65" s="729" t="s">
        <v>1477</v>
      </c>
      <c r="N65" s="32">
        <f t="shared" si="1"/>
        <v>0.1</v>
      </c>
      <c r="O65" s="16">
        <v>0.1</v>
      </c>
      <c r="P65" s="410"/>
      <c r="Q65" s="17"/>
      <c r="R65" s="407"/>
      <c r="S65" s="84"/>
      <c r="T65" s="187"/>
      <c r="U65" s="76"/>
      <c r="V65" s="445"/>
      <c r="W65" s="306"/>
      <c r="X65" s="358">
        <v>43351</v>
      </c>
      <c r="Y65" s="358">
        <v>43352</v>
      </c>
      <c r="Z65" s="358">
        <v>43352</v>
      </c>
      <c r="AA65" s="729" t="s">
        <v>311</v>
      </c>
      <c r="AB65" s="729" t="s">
        <v>2</v>
      </c>
      <c r="AC65" s="729" t="s">
        <v>313</v>
      </c>
      <c r="AD65" s="729" t="s">
        <v>314</v>
      </c>
      <c r="AE65" s="729" t="s">
        <v>314</v>
      </c>
      <c r="AF65" s="729" t="s">
        <v>315</v>
      </c>
      <c r="AG65" s="729" t="s">
        <v>315</v>
      </c>
      <c r="AH65" s="729"/>
      <c r="AI65" s="366"/>
      <c r="AJ65" s="729" t="s">
        <v>392</v>
      </c>
      <c r="AK65" s="2"/>
      <c r="AL65" s="2"/>
      <c r="AM65" s="2"/>
      <c r="AN65" s="2"/>
      <c r="AO65" s="2"/>
      <c r="AP65" s="2"/>
    </row>
    <row r="66" spans="1:44" s="270" customFormat="1" ht="15" customHeight="1" x14ac:dyDescent="0.25">
      <c r="A66" s="358">
        <v>43356</v>
      </c>
      <c r="B66" s="358" t="s">
        <v>1293</v>
      </c>
      <c r="C66" s="729" t="s">
        <v>93</v>
      </c>
      <c r="D66" s="359">
        <v>1052</v>
      </c>
      <c r="E66" s="359">
        <v>33</v>
      </c>
      <c r="F66" s="729">
        <v>4</v>
      </c>
      <c r="G66" s="78" t="s">
        <v>1292</v>
      </c>
      <c r="H66" s="729" t="s">
        <v>1225</v>
      </c>
      <c r="I66" s="729" t="s">
        <v>763</v>
      </c>
      <c r="J66" s="729" t="s">
        <v>8</v>
      </c>
      <c r="K66" s="729" t="s">
        <v>1294</v>
      </c>
      <c r="L66" s="729" t="s">
        <v>1295</v>
      </c>
      <c r="M66" s="729" t="s">
        <v>1479</v>
      </c>
      <c r="N66" s="32">
        <f t="shared" si="1"/>
        <v>0.1</v>
      </c>
      <c r="O66" s="16">
        <v>0.1</v>
      </c>
      <c r="P66" s="410"/>
      <c r="Q66" s="17"/>
      <c r="R66" s="407"/>
      <c r="S66" s="84"/>
      <c r="T66" s="187"/>
      <c r="U66" s="76"/>
      <c r="V66" s="445"/>
      <c r="W66" s="306"/>
      <c r="X66" s="358">
        <v>43356</v>
      </c>
      <c r="Y66" s="358">
        <v>43356</v>
      </c>
      <c r="Z66" s="358">
        <v>43357</v>
      </c>
      <c r="AA66" s="91" t="s">
        <v>311</v>
      </c>
      <c r="AB66" s="91" t="s">
        <v>2</v>
      </c>
      <c r="AC66" s="91" t="s">
        <v>313</v>
      </c>
      <c r="AD66" s="91" t="s">
        <v>314</v>
      </c>
      <c r="AE66" s="91" t="s">
        <v>314</v>
      </c>
      <c r="AF66" s="91" t="s">
        <v>313</v>
      </c>
      <c r="AG66" s="91" t="s">
        <v>315</v>
      </c>
      <c r="AH66" s="91"/>
      <c r="AI66" s="366"/>
      <c r="AJ66" s="91" t="s">
        <v>392</v>
      </c>
      <c r="AP66" s="2"/>
      <c r="AR66" s="2"/>
    </row>
    <row r="67" spans="1:44" ht="15.75" customHeight="1" x14ac:dyDescent="0.25">
      <c r="A67" s="358">
        <v>43364</v>
      </c>
      <c r="B67" s="358" t="s">
        <v>1333</v>
      </c>
      <c r="C67" s="91" t="s">
        <v>93</v>
      </c>
      <c r="D67" s="359">
        <v>1097</v>
      </c>
      <c r="E67" s="359">
        <v>34</v>
      </c>
      <c r="F67" s="91">
        <v>4</v>
      </c>
      <c r="G67" s="78" t="s">
        <v>1332</v>
      </c>
      <c r="H67" s="1004" t="s">
        <v>1509</v>
      </c>
      <c r="I67" s="1004" t="s">
        <v>1259</v>
      </c>
      <c r="J67" s="1004" t="s">
        <v>8</v>
      </c>
      <c r="K67" s="1004" t="s">
        <v>1334</v>
      </c>
      <c r="L67" s="1004" t="s">
        <v>1335</v>
      </c>
      <c r="M67" s="1004" t="s">
        <v>1510</v>
      </c>
      <c r="N67" s="32">
        <f t="shared" si="1"/>
        <v>0.1</v>
      </c>
      <c r="O67" s="16">
        <v>0.1</v>
      </c>
      <c r="P67" s="410"/>
      <c r="Q67" s="17"/>
      <c r="R67" s="407"/>
      <c r="S67" s="84"/>
      <c r="T67" s="187"/>
      <c r="U67" s="76"/>
      <c r="V67" s="445"/>
      <c r="W67" s="82"/>
      <c r="X67" s="358">
        <v>43364</v>
      </c>
      <c r="Y67" s="358">
        <v>43364</v>
      </c>
      <c r="Z67" s="358">
        <v>43366</v>
      </c>
      <c r="AA67" s="91" t="s">
        <v>311</v>
      </c>
      <c r="AB67" s="91" t="s">
        <v>577</v>
      </c>
      <c r="AC67" s="91" t="s">
        <v>313</v>
      </c>
      <c r="AD67" s="91" t="s">
        <v>314</v>
      </c>
      <c r="AE67" s="91" t="s">
        <v>314</v>
      </c>
      <c r="AF67" s="91" t="s">
        <v>315</v>
      </c>
      <c r="AG67" s="91" t="s">
        <v>315</v>
      </c>
      <c r="AH67" s="91"/>
      <c r="AI67" s="366"/>
      <c r="AJ67" s="91" t="s">
        <v>392</v>
      </c>
      <c r="AK67" s="270"/>
      <c r="AL67" s="270"/>
      <c r="AM67" s="270"/>
      <c r="AN67" s="270"/>
      <c r="AO67" s="270"/>
      <c r="AP67" s="270"/>
    </row>
    <row r="68" spans="1:44" ht="15" customHeight="1" x14ac:dyDescent="0.25">
      <c r="A68" s="817">
        <v>43367</v>
      </c>
      <c r="B68" s="1004" t="s">
        <v>1357</v>
      </c>
      <c r="C68" s="1004" t="s">
        <v>93</v>
      </c>
      <c r="D68" s="1004">
        <v>1110</v>
      </c>
      <c r="E68" s="1004">
        <v>35</v>
      </c>
      <c r="F68" s="1004"/>
      <c r="G68" s="17" t="s">
        <v>1353</v>
      </c>
      <c r="H68" s="1004" t="s">
        <v>920</v>
      </c>
      <c r="I68" s="1004" t="s">
        <v>1354</v>
      </c>
      <c r="J68" s="1004" t="s">
        <v>367</v>
      </c>
      <c r="K68" s="1004" t="s">
        <v>1355</v>
      </c>
      <c r="L68" s="1004" t="s">
        <v>1356</v>
      </c>
      <c r="M68" s="1004" t="s">
        <v>1536</v>
      </c>
      <c r="N68" s="32">
        <f t="shared" si="1"/>
        <v>0.41</v>
      </c>
      <c r="O68" s="16">
        <v>0.41</v>
      </c>
      <c r="P68" s="410"/>
      <c r="Q68" s="17"/>
      <c r="R68" s="407"/>
      <c r="S68" s="84"/>
      <c r="T68" s="187"/>
      <c r="U68" s="76"/>
      <c r="V68" s="445"/>
      <c r="W68" s="82"/>
      <c r="X68" s="817"/>
      <c r="Y68" s="817"/>
      <c r="Z68" s="81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P68" s="270"/>
    </row>
    <row r="69" spans="1:44" ht="15" customHeight="1" x14ac:dyDescent="0.25">
      <c r="A69" s="979">
        <v>43371</v>
      </c>
      <c r="B69" s="979" t="s">
        <v>1387</v>
      </c>
      <c r="C69" s="977" t="s">
        <v>91</v>
      </c>
      <c r="D69" s="980">
        <v>1127</v>
      </c>
      <c r="E69" s="980"/>
      <c r="F69" s="977"/>
      <c r="G69" s="813" t="s">
        <v>1391</v>
      </c>
      <c r="H69" s="977" t="s">
        <v>411</v>
      </c>
      <c r="I69" s="977"/>
      <c r="J69" s="977" t="s">
        <v>172</v>
      </c>
      <c r="K69" s="977" t="s">
        <v>1388</v>
      </c>
      <c r="L69" s="977" t="s">
        <v>1465</v>
      </c>
      <c r="M69" s="977" t="s">
        <v>1532</v>
      </c>
      <c r="N69" s="32">
        <f t="shared" si="1"/>
        <v>1113</v>
      </c>
      <c r="O69" s="16"/>
      <c r="P69" s="410"/>
      <c r="Q69" s="17"/>
      <c r="R69" s="407"/>
      <c r="S69" s="84"/>
      <c r="T69" s="187"/>
      <c r="U69" s="76"/>
      <c r="V69" s="445"/>
      <c r="W69" s="82">
        <v>1113</v>
      </c>
      <c r="X69" s="817"/>
      <c r="Y69" s="817"/>
      <c r="Z69" s="817"/>
      <c r="AA69" s="987"/>
      <c r="AB69" s="987"/>
      <c r="AC69" s="987"/>
      <c r="AD69" s="987"/>
      <c r="AE69" s="987"/>
      <c r="AF69" s="987"/>
      <c r="AG69" s="987"/>
      <c r="AH69" s="987"/>
      <c r="AI69" s="851"/>
      <c r="AJ69" s="987"/>
      <c r="AK69" s="270"/>
      <c r="AL69" s="270"/>
      <c r="AM69" s="270"/>
      <c r="AN69" s="270"/>
      <c r="AO69" s="270"/>
      <c r="AP69" s="270"/>
      <c r="AR69" s="270"/>
    </row>
    <row r="70" spans="1:44" s="270" customFormat="1" ht="15" customHeight="1" x14ac:dyDescent="0.25">
      <c r="A70" s="358">
        <v>43372</v>
      </c>
      <c r="B70" s="358" t="s">
        <v>1393</v>
      </c>
      <c r="C70" s="91" t="s">
        <v>93</v>
      </c>
      <c r="D70" s="359">
        <v>1129</v>
      </c>
      <c r="E70" s="359">
        <v>36</v>
      </c>
      <c r="F70" s="91">
        <v>5</v>
      </c>
      <c r="G70" s="78" t="s">
        <v>1392</v>
      </c>
      <c r="H70" s="91" t="s">
        <v>839</v>
      </c>
      <c r="I70" s="91"/>
      <c r="J70" s="91" t="s">
        <v>8</v>
      </c>
      <c r="K70" s="91" t="s">
        <v>1394</v>
      </c>
      <c r="L70" s="91" t="s">
        <v>1395</v>
      </c>
      <c r="M70" s="91" t="s">
        <v>1535</v>
      </c>
      <c r="N70" s="32">
        <f t="shared" si="1"/>
        <v>0.1</v>
      </c>
      <c r="O70" s="16">
        <v>0.1</v>
      </c>
      <c r="P70" s="410"/>
      <c r="Q70" s="17"/>
      <c r="R70" s="407"/>
      <c r="S70" s="84"/>
      <c r="T70" s="187"/>
      <c r="U70" s="76"/>
      <c r="V70" s="445"/>
      <c r="W70" s="82"/>
      <c r="X70" s="358">
        <v>43372</v>
      </c>
      <c r="Y70" s="358">
        <v>43372</v>
      </c>
      <c r="Z70" s="358">
        <v>43372</v>
      </c>
      <c r="AA70" s="91" t="s">
        <v>311</v>
      </c>
      <c r="AB70" s="91" t="s">
        <v>94</v>
      </c>
      <c r="AC70" s="91" t="s">
        <v>313</v>
      </c>
      <c r="AD70" s="91" t="s">
        <v>314</v>
      </c>
      <c r="AE70" s="91" t="s">
        <v>314</v>
      </c>
      <c r="AF70" s="91" t="s">
        <v>313</v>
      </c>
      <c r="AG70" s="91" t="s">
        <v>315</v>
      </c>
      <c r="AH70" s="91"/>
      <c r="AI70" s="366"/>
      <c r="AJ70" s="91" t="s">
        <v>392</v>
      </c>
      <c r="AK70" s="2"/>
      <c r="AL70" s="2"/>
      <c r="AM70" s="2"/>
      <c r="AN70" s="2"/>
      <c r="AO70" s="2"/>
      <c r="AP70" s="2"/>
      <c r="AR70" s="2"/>
    </row>
    <row r="71" spans="1:44" ht="15" customHeight="1" x14ac:dyDescent="0.25">
      <c r="A71" s="358">
        <v>43374</v>
      </c>
      <c r="B71" s="358" t="s">
        <v>1400</v>
      </c>
      <c r="C71" s="91" t="s">
        <v>93</v>
      </c>
      <c r="D71" s="359">
        <v>1140</v>
      </c>
      <c r="E71" s="359">
        <v>37</v>
      </c>
      <c r="F71" s="91">
        <v>1</v>
      </c>
      <c r="G71" s="78" t="s">
        <v>1401</v>
      </c>
      <c r="H71" s="91" t="s">
        <v>1402</v>
      </c>
      <c r="I71" s="91" t="s">
        <v>1044</v>
      </c>
      <c r="J71" s="91" t="s">
        <v>8</v>
      </c>
      <c r="K71" s="91" t="s">
        <v>1403</v>
      </c>
      <c r="L71" s="91" t="s">
        <v>1463</v>
      </c>
      <c r="M71" s="91" t="s">
        <v>1464</v>
      </c>
      <c r="N71" s="32">
        <f t="shared" si="1"/>
        <v>0.12</v>
      </c>
      <c r="O71" s="16">
        <v>0.12</v>
      </c>
      <c r="P71" s="410"/>
      <c r="Q71" s="17"/>
      <c r="R71" s="407"/>
      <c r="S71" s="84"/>
      <c r="T71" s="187"/>
      <c r="U71" s="76"/>
      <c r="V71" s="445"/>
      <c r="W71" s="82"/>
      <c r="X71" s="358">
        <v>43375</v>
      </c>
      <c r="Y71" s="358">
        <v>43375</v>
      </c>
      <c r="Z71" s="358">
        <v>43375</v>
      </c>
      <c r="AA71" s="91" t="s">
        <v>311</v>
      </c>
      <c r="AB71" s="91" t="s">
        <v>94</v>
      </c>
      <c r="AC71" s="91" t="s">
        <v>313</v>
      </c>
      <c r="AD71" s="91" t="s">
        <v>314</v>
      </c>
      <c r="AE71" s="91" t="s">
        <v>314</v>
      </c>
      <c r="AF71" s="91" t="s">
        <v>315</v>
      </c>
      <c r="AG71" s="91" t="s">
        <v>315</v>
      </c>
      <c r="AH71" s="91"/>
      <c r="AI71" s="366"/>
      <c r="AJ71" s="91" t="s">
        <v>392</v>
      </c>
      <c r="AK71" s="270"/>
      <c r="AL71" s="270"/>
      <c r="AM71" s="270"/>
      <c r="AN71" s="270"/>
      <c r="AO71" s="270"/>
      <c r="AP71" s="270"/>
      <c r="AR71" s="270"/>
    </row>
    <row r="72" spans="1:44" ht="15" customHeight="1" x14ac:dyDescent="0.25">
      <c r="A72" s="817">
        <v>43410</v>
      </c>
      <c r="B72" s="1006" t="s">
        <v>397</v>
      </c>
      <c r="C72" s="1006" t="s">
        <v>93</v>
      </c>
      <c r="D72" s="1006">
        <v>1244</v>
      </c>
      <c r="E72" s="1006"/>
      <c r="F72" s="1006"/>
      <c r="G72" s="1006" t="s">
        <v>1518</v>
      </c>
      <c r="H72" s="1006"/>
      <c r="I72" s="1006"/>
      <c r="J72" s="1006" t="s">
        <v>327</v>
      </c>
      <c r="K72" s="1006" t="s">
        <v>1542</v>
      </c>
      <c r="L72" s="1006" t="s">
        <v>1543</v>
      </c>
      <c r="M72" s="1006" t="s">
        <v>1544</v>
      </c>
      <c r="N72" s="32">
        <f t="shared" si="1"/>
        <v>0</v>
      </c>
      <c r="O72" s="16"/>
      <c r="P72" s="410"/>
      <c r="Q72" s="17"/>
      <c r="R72" s="407"/>
      <c r="S72" s="84"/>
      <c r="T72" s="187"/>
      <c r="U72" s="76"/>
      <c r="V72" s="445"/>
      <c r="W72" s="82"/>
      <c r="X72" s="817"/>
      <c r="Y72" s="817"/>
      <c r="Z72" s="817"/>
      <c r="AA72" s="1006"/>
      <c r="AB72" s="1006"/>
      <c r="AC72" s="1006"/>
      <c r="AD72" s="1006"/>
      <c r="AE72" s="1006"/>
      <c r="AF72" s="1006"/>
      <c r="AG72" s="1006"/>
      <c r="AH72" s="1006"/>
      <c r="AI72" s="1006"/>
      <c r="AJ72" s="1006"/>
      <c r="AK72" s="270"/>
      <c r="AL72" s="270"/>
      <c r="AM72" s="270"/>
      <c r="AN72" s="270"/>
      <c r="AO72" s="270"/>
      <c r="AP72" s="270"/>
    </row>
    <row r="73" spans="1:44" s="270" customFormat="1" ht="15" customHeight="1" x14ac:dyDescent="0.25">
      <c r="A73" s="817">
        <v>43411</v>
      </c>
      <c r="B73" s="1006" t="s">
        <v>397</v>
      </c>
      <c r="C73" s="1006" t="s">
        <v>93</v>
      </c>
      <c r="D73" s="1006">
        <v>1245</v>
      </c>
      <c r="E73" s="1006"/>
      <c r="F73" s="1006"/>
      <c r="G73" s="1006" t="s">
        <v>1519</v>
      </c>
      <c r="H73" s="1006"/>
      <c r="I73" s="1006"/>
      <c r="J73" s="1006" t="s">
        <v>327</v>
      </c>
      <c r="K73" s="1006" t="s">
        <v>1545</v>
      </c>
      <c r="L73" s="1006" t="s">
        <v>1546</v>
      </c>
      <c r="M73" s="1006" t="s">
        <v>1547</v>
      </c>
      <c r="N73" s="32">
        <f t="shared" si="1"/>
        <v>0</v>
      </c>
      <c r="O73" s="16"/>
      <c r="P73" s="410"/>
      <c r="Q73" s="17"/>
      <c r="R73" s="407"/>
      <c r="S73" s="84"/>
      <c r="T73" s="187"/>
      <c r="U73" s="76"/>
      <c r="V73" s="445"/>
      <c r="W73" s="82"/>
      <c r="X73" s="817"/>
      <c r="Y73" s="817"/>
      <c r="Z73" s="817"/>
      <c r="AA73" s="1006"/>
      <c r="AB73" s="1006"/>
      <c r="AC73" s="1006"/>
      <c r="AD73" s="1006"/>
      <c r="AE73" s="1006"/>
      <c r="AF73" s="1006"/>
      <c r="AG73" s="1006"/>
      <c r="AH73" s="1006"/>
      <c r="AI73" s="1006"/>
      <c r="AJ73" s="1006"/>
      <c r="AK73" s="2"/>
      <c r="AL73" s="2"/>
      <c r="AM73" s="2"/>
      <c r="AN73" s="2"/>
      <c r="AO73" s="2"/>
      <c r="AP73" s="2"/>
      <c r="AR73" s="2"/>
    </row>
    <row r="74" spans="1:44" ht="15" customHeight="1" x14ac:dyDescent="0.25">
      <c r="A74" s="358"/>
      <c r="B74" s="358"/>
      <c r="C74" s="91"/>
      <c r="D74" s="359"/>
      <c r="E74" s="359"/>
      <c r="F74" s="91"/>
      <c r="G74" s="91"/>
      <c r="H74" s="91"/>
      <c r="I74" s="91"/>
      <c r="J74" s="91"/>
      <c r="K74" s="91"/>
      <c r="L74" s="91"/>
      <c r="M74" s="91"/>
      <c r="N74" s="32">
        <f t="shared" si="1"/>
        <v>0</v>
      </c>
      <c r="O74" s="16"/>
      <c r="P74" s="410"/>
      <c r="Q74" s="17"/>
      <c r="R74" s="407"/>
      <c r="S74" s="84"/>
      <c r="T74" s="187"/>
      <c r="U74" s="76"/>
      <c r="V74" s="445"/>
      <c r="W74" s="82"/>
      <c r="X74" s="358"/>
      <c r="Y74" s="358"/>
      <c r="Z74" s="358"/>
      <c r="AA74" s="91"/>
      <c r="AB74" s="91"/>
      <c r="AC74" s="91"/>
      <c r="AD74" s="91"/>
      <c r="AE74" s="91"/>
      <c r="AF74" s="91"/>
      <c r="AG74" s="91"/>
      <c r="AH74" s="91"/>
      <c r="AI74" s="366"/>
      <c r="AJ74" s="91"/>
      <c r="AR74" s="270"/>
    </row>
    <row r="75" spans="1:44" s="270" customFormat="1" ht="15" customHeight="1" x14ac:dyDescent="0.25">
      <c r="A75" s="358"/>
      <c r="B75" s="358"/>
      <c r="C75" s="91"/>
      <c r="D75" s="359"/>
      <c r="E75" s="359"/>
      <c r="F75" s="91"/>
      <c r="G75" s="91"/>
      <c r="H75" s="91"/>
      <c r="I75" s="91"/>
      <c r="J75" s="91"/>
      <c r="K75" s="91"/>
      <c r="L75" s="91"/>
      <c r="M75" s="91"/>
      <c r="N75" s="32">
        <f t="shared" si="1"/>
        <v>0</v>
      </c>
      <c r="O75" s="16"/>
      <c r="P75" s="410"/>
      <c r="Q75" s="17"/>
      <c r="R75" s="407"/>
      <c r="S75" s="84"/>
      <c r="T75" s="187"/>
      <c r="U75" s="76"/>
      <c r="V75" s="445"/>
      <c r="W75" s="82"/>
      <c r="X75" s="358"/>
      <c r="Y75" s="358"/>
      <c r="Z75" s="358"/>
      <c r="AA75" s="91"/>
      <c r="AB75" s="91"/>
      <c r="AC75" s="91"/>
      <c r="AD75" s="91"/>
      <c r="AE75" s="91"/>
      <c r="AF75" s="91"/>
      <c r="AG75" s="91"/>
      <c r="AH75" s="91"/>
      <c r="AI75" s="366"/>
      <c r="AJ75" s="91"/>
      <c r="AK75" s="2"/>
      <c r="AL75" s="2"/>
      <c r="AM75" s="2"/>
      <c r="AN75" s="2"/>
      <c r="AO75" s="2"/>
      <c r="AP75" s="2"/>
      <c r="AR75" s="2"/>
    </row>
    <row r="76" spans="1:44" ht="15" customHeight="1" x14ac:dyDescent="0.25">
      <c r="A76" s="358"/>
      <c r="B76" s="358"/>
      <c r="C76" s="91"/>
      <c r="D76" s="359"/>
      <c r="E76" s="359"/>
      <c r="F76" s="91"/>
      <c r="G76" s="91"/>
      <c r="H76" s="91"/>
      <c r="I76" s="91"/>
      <c r="J76" s="91"/>
      <c r="K76" s="91"/>
      <c r="L76" s="91"/>
      <c r="M76" s="91"/>
      <c r="N76" s="32">
        <f t="shared" si="1"/>
        <v>0</v>
      </c>
      <c r="O76" s="16"/>
      <c r="P76" s="410"/>
      <c r="Q76" s="17"/>
      <c r="R76" s="407"/>
      <c r="S76" s="84"/>
      <c r="T76" s="187"/>
      <c r="U76" s="76"/>
      <c r="V76" s="445"/>
      <c r="W76" s="82"/>
      <c r="X76" s="358"/>
      <c r="Y76" s="358"/>
      <c r="Z76" s="358"/>
      <c r="AA76" s="91"/>
      <c r="AB76" s="91"/>
      <c r="AC76" s="91"/>
      <c r="AD76" s="91"/>
      <c r="AE76" s="91"/>
      <c r="AF76" s="91"/>
      <c r="AG76" s="91"/>
      <c r="AH76" s="91"/>
      <c r="AI76" s="366"/>
      <c r="AJ76" s="91"/>
      <c r="AK76" s="270"/>
      <c r="AL76" s="270"/>
      <c r="AM76" s="270"/>
      <c r="AN76" s="270"/>
      <c r="AO76" s="270"/>
      <c r="AP76" s="270"/>
      <c r="AR76" s="270"/>
    </row>
    <row r="77" spans="1:44" ht="15" customHeight="1" x14ac:dyDescent="0.25">
      <c r="A77" s="358"/>
      <c r="B77" s="358"/>
      <c r="C77" s="91"/>
      <c r="D77" s="359"/>
      <c r="E77" s="91"/>
      <c r="F77" s="91"/>
      <c r="G77" s="91"/>
      <c r="H77" s="91"/>
      <c r="I77" s="91"/>
      <c r="J77" s="91"/>
      <c r="K77" s="91"/>
      <c r="L77" s="91"/>
      <c r="M77" s="91"/>
      <c r="N77" s="32">
        <f t="shared" si="1"/>
        <v>0</v>
      </c>
      <c r="O77" s="16"/>
      <c r="P77" s="410"/>
      <c r="Q77" s="17"/>
      <c r="R77" s="407"/>
      <c r="S77" s="84"/>
      <c r="T77" s="187"/>
      <c r="U77" s="76"/>
      <c r="V77" s="445"/>
      <c r="W77" s="82"/>
      <c r="X77" s="358"/>
      <c r="Y77" s="358"/>
      <c r="Z77" s="358"/>
      <c r="AA77" s="91"/>
      <c r="AB77" s="91"/>
      <c r="AC77" s="91"/>
      <c r="AD77" s="91"/>
      <c r="AE77" s="91"/>
      <c r="AF77" s="91"/>
      <c r="AG77" s="91"/>
      <c r="AH77" s="91"/>
      <c r="AI77" s="366"/>
      <c r="AJ77" s="91"/>
      <c r="AK77" s="270"/>
      <c r="AL77" s="270"/>
      <c r="AM77" s="270"/>
      <c r="AN77" s="270"/>
      <c r="AO77" s="270"/>
    </row>
    <row r="78" spans="1:44" s="270" customFormat="1" ht="15" customHeight="1" x14ac:dyDescent="0.25">
      <c r="A78" s="358"/>
      <c r="B78" s="358"/>
      <c r="C78" s="91"/>
      <c r="D78" s="359"/>
      <c r="E78" s="91"/>
      <c r="F78" s="91"/>
      <c r="G78" s="91"/>
      <c r="H78" s="91"/>
      <c r="I78" s="91"/>
      <c r="J78" s="91"/>
      <c r="K78" s="91"/>
      <c r="L78" s="91"/>
      <c r="M78" s="91"/>
      <c r="N78" s="32">
        <f t="shared" ref="N78:N141" si="2">SUM(O78:W78)</f>
        <v>0</v>
      </c>
      <c r="O78" s="16"/>
      <c r="P78" s="410"/>
      <c r="Q78" s="17"/>
      <c r="R78" s="407"/>
      <c r="S78" s="84"/>
      <c r="T78" s="187"/>
      <c r="U78" s="76"/>
      <c r="V78" s="445"/>
      <c r="W78" s="82"/>
      <c r="X78" s="358"/>
      <c r="Y78" s="358"/>
      <c r="Z78" s="358"/>
      <c r="AA78" s="91"/>
      <c r="AB78" s="91"/>
      <c r="AC78" s="91"/>
      <c r="AD78" s="91"/>
      <c r="AE78" s="91"/>
      <c r="AF78" s="91"/>
      <c r="AG78" s="91"/>
      <c r="AH78" s="91"/>
      <c r="AI78" s="366"/>
      <c r="AJ78" s="91"/>
      <c r="AK78" s="2"/>
      <c r="AL78" s="2"/>
      <c r="AM78" s="2"/>
      <c r="AN78" s="2"/>
      <c r="AO78" s="2"/>
    </row>
    <row r="79" spans="1:44" ht="15" customHeight="1" x14ac:dyDescent="0.25">
      <c r="A79" s="358"/>
      <c r="B79" s="358"/>
      <c r="C79" s="91"/>
      <c r="D79" s="359"/>
      <c r="E79" s="362"/>
      <c r="F79" s="91"/>
      <c r="G79" s="91"/>
      <c r="H79" s="91"/>
      <c r="I79" s="91"/>
      <c r="J79" s="91"/>
      <c r="K79" s="91"/>
      <c r="L79" s="91"/>
      <c r="M79" s="91"/>
      <c r="N79" s="32">
        <f t="shared" si="2"/>
        <v>0</v>
      </c>
      <c r="O79" s="16"/>
      <c r="P79" s="410"/>
      <c r="Q79" s="17"/>
      <c r="R79" s="407"/>
      <c r="S79" s="84"/>
      <c r="T79" s="187"/>
      <c r="U79" s="76"/>
      <c r="V79" s="445"/>
      <c r="W79" s="82"/>
      <c r="X79" s="358"/>
      <c r="Y79" s="358"/>
      <c r="Z79" s="358"/>
      <c r="AA79" s="91"/>
      <c r="AB79" s="91"/>
      <c r="AC79" s="91"/>
      <c r="AD79" s="91"/>
      <c r="AE79" s="91"/>
      <c r="AF79" s="91"/>
      <c r="AG79" s="91"/>
      <c r="AH79" s="91"/>
      <c r="AI79" s="366"/>
      <c r="AJ79" s="91"/>
      <c r="AK79" s="270"/>
      <c r="AL79" s="270"/>
      <c r="AM79" s="270"/>
      <c r="AN79" s="270"/>
      <c r="AO79" s="270"/>
      <c r="AR79" s="270"/>
    </row>
    <row r="80" spans="1:44" s="270" customFormat="1" ht="15" customHeight="1" x14ac:dyDescent="0.25">
      <c r="A80" s="358"/>
      <c r="B80" s="358"/>
      <c r="C80" s="91"/>
      <c r="D80" s="359"/>
      <c r="E80" s="362"/>
      <c r="F80" s="91"/>
      <c r="G80" s="91"/>
      <c r="H80" s="91"/>
      <c r="I80" s="91"/>
      <c r="J80" s="91"/>
      <c r="K80" s="91"/>
      <c r="L80" s="91"/>
      <c r="M80" s="91"/>
      <c r="N80" s="32">
        <f t="shared" si="2"/>
        <v>0</v>
      </c>
      <c r="O80" s="16"/>
      <c r="P80" s="410"/>
      <c r="Q80" s="17"/>
      <c r="R80" s="407"/>
      <c r="S80" s="84"/>
      <c r="T80" s="187"/>
      <c r="U80" s="76"/>
      <c r="V80" s="445"/>
      <c r="W80" s="82"/>
      <c r="X80" s="358"/>
      <c r="Y80" s="358"/>
      <c r="Z80" s="358"/>
      <c r="AA80" s="91"/>
      <c r="AB80" s="91"/>
      <c r="AC80" s="91"/>
      <c r="AD80" s="91"/>
      <c r="AE80" s="91"/>
      <c r="AF80" s="91"/>
      <c r="AG80" s="91"/>
      <c r="AH80" s="91"/>
      <c r="AI80" s="366"/>
      <c r="AJ80" s="91"/>
      <c r="AK80" s="2"/>
      <c r="AL80" s="2"/>
      <c r="AM80" s="2"/>
      <c r="AN80" s="2"/>
      <c r="AO80" s="2"/>
    </row>
    <row r="81" spans="1:44" ht="15" customHeight="1" x14ac:dyDescent="0.25">
      <c r="A81" s="358"/>
      <c r="B81" s="358"/>
      <c r="C81" s="91"/>
      <c r="D81" s="359"/>
      <c r="E81" s="359"/>
      <c r="F81" s="91"/>
      <c r="G81" s="91"/>
      <c r="H81" s="91"/>
      <c r="I81" s="91"/>
      <c r="J81" s="91"/>
      <c r="K81" s="91"/>
      <c r="L81" s="91"/>
      <c r="M81" s="91"/>
      <c r="N81" s="32">
        <f t="shared" si="2"/>
        <v>0</v>
      </c>
      <c r="O81" s="16"/>
      <c r="P81" s="410"/>
      <c r="Q81" s="17"/>
      <c r="R81" s="407"/>
      <c r="S81" s="84"/>
      <c r="T81" s="187"/>
      <c r="U81" s="76"/>
      <c r="V81" s="445"/>
      <c r="W81" s="82"/>
      <c r="X81" s="358"/>
      <c r="Y81" s="358"/>
      <c r="Z81" s="358"/>
      <c r="AA81" s="91"/>
      <c r="AB81" s="91"/>
      <c r="AC81" s="91"/>
      <c r="AD81" s="91"/>
      <c r="AE81" s="91"/>
      <c r="AF81" s="91"/>
      <c r="AG81" s="91"/>
      <c r="AH81" s="91"/>
      <c r="AI81" s="366"/>
      <c r="AJ81" s="91"/>
    </row>
    <row r="82" spans="1:44" s="270" customFormat="1" ht="15" customHeight="1" x14ac:dyDescent="0.25">
      <c r="A82" s="358"/>
      <c r="B82" s="358"/>
      <c r="C82" s="91"/>
      <c r="D82" s="359"/>
      <c r="E82" s="359"/>
      <c r="F82" s="91"/>
      <c r="G82" s="91"/>
      <c r="H82" s="91"/>
      <c r="I82" s="91"/>
      <c r="J82" s="91"/>
      <c r="K82" s="91"/>
      <c r="L82" s="91"/>
      <c r="M82" s="91"/>
      <c r="N82" s="32">
        <f t="shared" si="2"/>
        <v>0</v>
      </c>
      <c r="O82" s="16"/>
      <c r="P82" s="410"/>
      <c r="Q82" s="17"/>
      <c r="R82" s="407"/>
      <c r="S82" s="84"/>
      <c r="T82" s="187"/>
      <c r="U82" s="76"/>
      <c r="V82" s="445"/>
      <c r="W82" s="82"/>
      <c r="X82" s="358"/>
      <c r="Y82" s="358"/>
      <c r="Z82" s="358"/>
      <c r="AA82" s="91"/>
      <c r="AB82" s="91"/>
      <c r="AC82" s="91"/>
      <c r="AD82" s="91"/>
      <c r="AE82" s="91"/>
      <c r="AF82" s="91"/>
      <c r="AG82" s="91"/>
      <c r="AH82" s="91"/>
      <c r="AI82" s="366"/>
      <c r="AJ82" s="91"/>
      <c r="AR82" s="2"/>
    </row>
    <row r="83" spans="1:44" s="270" customFormat="1" ht="15" customHeight="1" x14ac:dyDescent="0.25">
      <c r="A83" s="358"/>
      <c r="B83" s="358"/>
      <c r="C83" s="91"/>
      <c r="D83" s="359"/>
      <c r="E83" s="359"/>
      <c r="F83" s="91"/>
      <c r="G83" s="91"/>
      <c r="H83" s="91"/>
      <c r="I83" s="91"/>
      <c r="J83" s="91"/>
      <c r="K83" s="91"/>
      <c r="L83" s="91"/>
      <c r="M83" s="91"/>
      <c r="N83" s="32">
        <f t="shared" si="2"/>
        <v>0</v>
      </c>
      <c r="O83" s="16"/>
      <c r="P83" s="410"/>
      <c r="Q83" s="17"/>
      <c r="R83" s="407"/>
      <c r="S83" s="84"/>
      <c r="T83" s="187"/>
      <c r="U83" s="76"/>
      <c r="V83" s="445"/>
      <c r="W83" s="82"/>
      <c r="X83" s="358"/>
      <c r="Y83" s="358"/>
      <c r="Z83" s="358"/>
      <c r="AA83" s="91"/>
      <c r="AB83" s="91"/>
      <c r="AC83" s="91"/>
      <c r="AD83" s="91"/>
      <c r="AE83" s="91"/>
      <c r="AF83" s="91"/>
      <c r="AG83" s="91"/>
      <c r="AH83" s="91"/>
      <c r="AI83" s="366"/>
      <c r="AJ83" s="91"/>
      <c r="AK83" s="2"/>
      <c r="AL83" s="2"/>
      <c r="AM83" s="2"/>
      <c r="AN83" s="2"/>
      <c r="AO83" s="2"/>
      <c r="AP83" s="2"/>
    </row>
    <row r="84" spans="1:44" ht="15" customHeight="1" x14ac:dyDescent="0.25">
      <c r="A84" s="358"/>
      <c r="B84" s="358"/>
      <c r="C84" s="91"/>
      <c r="D84" s="359"/>
      <c r="E84" s="359"/>
      <c r="F84" s="91"/>
      <c r="G84" s="91"/>
      <c r="H84" s="91"/>
      <c r="I84" s="91"/>
      <c r="J84" s="91"/>
      <c r="K84" s="91"/>
      <c r="L84" s="91"/>
      <c r="M84" s="91"/>
      <c r="N84" s="32">
        <f t="shared" si="2"/>
        <v>0</v>
      </c>
      <c r="O84" s="134"/>
      <c r="P84" s="410"/>
      <c r="Q84" s="17"/>
      <c r="R84" s="407"/>
      <c r="S84" s="84"/>
      <c r="T84" s="187"/>
      <c r="U84" s="76"/>
      <c r="V84" s="445"/>
      <c r="W84" s="82"/>
      <c r="X84" s="358"/>
      <c r="Y84" s="358"/>
      <c r="Z84" s="358"/>
      <c r="AA84" s="91"/>
      <c r="AB84" s="91"/>
      <c r="AC84" s="91"/>
      <c r="AD84" s="91"/>
      <c r="AE84" s="91"/>
      <c r="AF84" s="91"/>
      <c r="AG84" s="91"/>
      <c r="AH84" s="91"/>
      <c r="AI84" s="366"/>
      <c r="AJ84" s="91"/>
    </row>
    <row r="85" spans="1:44" s="270" customFormat="1" ht="15" customHeight="1" x14ac:dyDescent="0.25">
      <c r="A85" s="358"/>
      <c r="B85" s="358"/>
      <c r="C85" s="91"/>
      <c r="D85" s="359"/>
      <c r="E85" s="359"/>
      <c r="F85" s="91"/>
      <c r="G85" s="91"/>
      <c r="H85" s="91"/>
      <c r="I85" s="91"/>
      <c r="J85" s="91"/>
      <c r="K85" s="91"/>
      <c r="L85" s="91"/>
      <c r="M85" s="91"/>
      <c r="N85" s="32">
        <f t="shared" si="2"/>
        <v>0</v>
      </c>
      <c r="O85" s="16"/>
      <c r="P85" s="410"/>
      <c r="Q85" s="17"/>
      <c r="R85" s="407"/>
      <c r="S85" s="84"/>
      <c r="T85" s="187"/>
      <c r="U85" s="76"/>
      <c r="V85" s="445"/>
      <c r="W85" s="306"/>
      <c r="X85" s="358"/>
      <c r="Y85" s="358"/>
      <c r="Z85" s="358"/>
      <c r="AA85" s="91"/>
      <c r="AB85" s="91"/>
      <c r="AC85" s="91"/>
      <c r="AD85" s="91"/>
      <c r="AE85" s="91"/>
      <c r="AF85" s="91"/>
      <c r="AG85" s="91"/>
      <c r="AH85" s="91"/>
      <c r="AI85" s="366"/>
      <c r="AJ85" s="91"/>
      <c r="AK85" s="2"/>
      <c r="AL85" s="2"/>
      <c r="AM85" s="2"/>
      <c r="AN85" s="2"/>
      <c r="AO85" s="2"/>
      <c r="AP85" s="2"/>
      <c r="AR85" s="2"/>
    </row>
    <row r="86" spans="1:44" ht="15" customHeight="1" x14ac:dyDescent="0.25">
      <c r="A86" s="358"/>
      <c r="B86" s="358"/>
      <c r="C86" s="91"/>
      <c r="D86" s="91"/>
      <c r="E86" s="359"/>
      <c r="F86" s="91"/>
      <c r="G86" s="91"/>
      <c r="H86" s="91"/>
      <c r="I86" s="183"/>
      <c r="J86" s="91"/>
      <c r="K86" s="91"/>
      <c r="L86" s="91"/>
      <c r="M86" s="91"/>
      <c r="N86" s="32">
        <f t="shared" si="2"/>
        <v>0</v>
      </c>
      <c r="O86" s="16"/>
      <c r="P86" s="410"/>
      <c r="Q86" s="17"/>
      <c r="R86" s="407"/>
      <c r="S86" s="84"/>
      <c r="T86" s="187"/>
      <c r="U86" s="76"/>
      <c r="V86" s="445"/>
      <c r="W86" s="82"/>
      <c r="X86" s="358"/>
      <c r="Y86" s="358"/>
      <c r="Z86" s="358"/>
      <c r="AA86" s="91"/>
      <c r="AB86" s="91"/>
      <c r="AC86" s="91"/>
      <c r="AD86" s="91"/>
      <c r="AE86" s="91"/>
      <c r="AF86" s="91"/>
      <c r="AG86" s="91"/>
      <c r="AH86" s="91"/>
      <c r="AI86" s="366"/>
      <c r="AJ86" s="91"/>
    </row>
    <row r="87" spans="1:44" s="270" customFormat="1" ht="15" customHeight="1" x14ac:dyDescent="0.25">
      <c r="A87" s="358"/>
      <c r="B87" s="358"/>
      <c r="C87" s="91"/>
      <c r="D87" s="91"/>
      <c r="E87" s="359"/>
      <c r="F87" s="91"/>
      <c r="G87" s="91"/>
      <c r="H87" s="91"/>
      <c r="I87" s="183"/>
      <c r="J87" s="91"/>
      <c r="K87" s="91"/>
      <c r="L87" s="91"/>
      <c r="M87" s="91"/>
      <c r="N87" s="32">
        <f t="shared" si="2"/>
        <v>0</v>
      </c>
      <c r="O87" s="16"/>
      <c r="P87" s="410"/>
      <c r="Q87" s="17"/>
      <c r="R87" s="407"/>
      <c r="S87" s="84"/>
      <c r="T87" s="187"/>
      <c r="U87" s="76"/>
      <c r="V87" s="445"/>
      <c r="W87" s="82"/>
      <c r="X87" s="358"/>
      <c r="Y87" s="358"/>
      <c r="Z87" s="358"/>
      <c r="AA87" s="91"/>
      <c r="AB87" s="91"/>
      <c r="AC87" s="91"/>
      <c r="AD87" s="91"/>
      <c r="AE87" s="91"/>
      <c r="AF87" s="91"/>
      <c r="AG87" s="91"/>
      <c r="AH87" s="91"/>
      <c r="AI87" s="366"/>
      <c r="AJ87" s="91"/>
      <c r="AK87" s="2"/>
      <c r="AL87" s="2"/>
      <c r="AM87" s="2"/>
      <c r="AN87" s="2"/>
      <c r="AO87" s="2"/>
      <c r="AP87" s="2"/>
    </row>
    <row r="88" spans="1:44" ht="15" customHeight="1" x14ac:dyDescent="0.25">
      <c r="A88" s="358"/>
      <c r="B88" s="358"/>
      <c r="C88" s="91"/>
      <c r="D88" s="91"/>
      <c r="E88" s="359"/>
      <c r="F88" s="91"/>
      <c r="G88" s="91"/>
      <c r="H88" s="91"/>
      <c r="I88" s="91"/>
      <c r="J88" s="91"/>
      <c r="K88" s="91"/>
      <c r="L88" s="91"/>
      <c r="M88" s="91"/>
      <c r="N88" s="32">
        <f t="shared" si="2"/>
        <v>0</v>
      </c>
      <c r="O88" s="16"/>
      <c r="P88" s="410"/>
      <c r="Q88" s="17"/>
      <c r="R88" s="407"/>
      <c r="S88" s="84"/>
      <c r="T88" s="187"/>
      <c r="U88" s="76"/>
      <c r="V88" s="445"/>
      <c r="W88" s="82"/>
      <c r="X88" s="358"/>
      <c r="Y88" s="358"/>
      <c r="Z88" s="358"/>
      <c r="AA88" s="91"/>
      <c r="AB88" s="91"/>
      <c r="AC88" s="91"/>
      <c r="AD88" s="91"/>
      <c r="AE88" s="91"/>
      <c r="AF88" s="91"/>
      <c r="AG88" s="91"/>
      <c r="AH88" s="91"/>
      <c r="AI88" s="366"/>
      <c r="AJ88" s="91"/>
    </row>
    <row r="89" spans="1:44" ht="15" customHeight="1" x14ac:dyDescent="0.25">
      <c r="A89" s="358"/>
      <c r="B89" s="358"/>
      <c r="C89" s="91"/>
      <c r="D89" s="91"/>
      <c r="E89" s="359"/>
      <c r="F89" s="91"/>
      <c r="G89" s="91"/>
      <c r="H89" s="91"/>
      <c r="I89" s="91"/>
      <c r="J89" s="91"/>
      <c r="K89" s="91"/>
      <c r="L89" s="91"/>
      <c r="M89" s="91"/>
      <c r="N89" s="32">
        <f t="shared" si="2"/>
        <v>0</v>
      </c>
      <c r="O89" s="16"/>
      <c r="P89" s="410"/>
      <c r="Q89" s="17"/>
      <c r="R89" s="407"/>
      <c r="S89" s="84"/>
      <c r="T89" s="187"/>
      <c r="U89" s="76"/>
      <c r="V89" s="445"/>
      <c r="W89" s="82"/>
      <c r="X89" s="358"/>
      <c r="Y89" s="358"/>
      <c r="Z89" s="358"/>
      <c r="AA89" s="91"/>
      <c r="AB89" s="91"/>
      <c r="AC89" s="91"/>
      <c r="AD89" s="91"/>
      <c r="AE89" s="91"/>
      <c r="AF89" s="91"/>
      <c r="AG89" s="91"/>
      <c r="AH89" s="91"/>
      <c r="AI89" s="366"/>
      <c r="AJ89" s="91"/>
      <c r="AR89" s="270"/>
    </row>
    <row r="90" spans="1:44" ht="15" customHeight="1" x14ac:dyDescent="0.25">
      <c r="A90" s="358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32">
        <f t="shared" si="2"/>
        <v>0</v>
      </c>
      <c r="O90" s="16"/>
      <c r="P90" s="410"/>
      <c r="Q90" s="17"/>
      <c r="R90" s="407"/>
      <c r="S90" s="84"/>
      <c r="T90" s="187"/>
      <c r="U90" s="76"/>
      <c r="V90" s="445"/>
      <c r="W90" s="82"/>
      <c r="X90" s="358"/>
      <c r="Y90" s="358"/>
      <c r="Z90" s="358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R90" s="270"/>
    </row>
    <row r="91" spans="1:44" ht="15" customHeight="1" x14ac:dyDescent="0.25">
      <c r="A91" s="358"/>
      <c r="B91" s="358"/>
      <c r="C91" s="91"/>
      <c r="D91" s="91"/>
      <c r="E91" s="359"/>
      <c r="F91" s="91"/>
      <c r="G91" s="91"/>
      <c r="H91" s="91"/>
      <c r="I91" s="91"/>
      <c r="J91" s="91"/>
      <c r="K91" s="91"/>
      <c r="L91" s="91"/>
      <c r="M91" s="91"/>
      <c r="N91" s="32">
        <f t="shared" si="2"/>
        <v>0</v>
      </c>
      <c r="O91" s="16"/>
      <c r="P91" s="410"/>
      <c r="Q91" s="17"/>
      <c r="R91" s="407"/>
      <c r="S91" s="84"/>
      <c r="T91" s="187"/>
      <c r="U91" s="76"/>
      <c r="V91" s="445"/>
      <c r="W91" s="82"/>
      <c r="X91" s="358"/>
      <c r="Y91" s="358"/>
      <c r="Z91" s="358"/>
      <c r="AA91" s="91"/>
      <c r="AB91" s="91"/>
      <c r="AC91" s="91"/>
      <c r="AD91" s="91"/>
      <c r="AE91" s="91"/>
      <c r="AF91" s="91"/>
      <c r="AG91" s="91"/>
      <c r="AH91" s="91"/>
      <c r="AI91" s="366"/>
      <c r="AJ91" s="91"/>
    </row>
    <row r="92" spans="1:44" s="270" customFormat="1" ht="15" customHeight="1" x14ac:dyDescent="0.25">
      <c r="A92" s="358"/>
      <c r="B92" s="358"/>
      <c r="C92" s="91"/>
      <c r="D92" s="91"/>
      <c r="E92" s="359"/>
      <c r="F92" s="91"/>
      <c r="G92" s="91"/>
      <c r="H92" s="91"/>
      <c r="I92" s="91"/>
      <c r="J92" s="91"/>
      <c r="K92" s="91"/>
      <c r="L92" s="91"/>
      <c r="M92" s="91"/>
      <c r="N92" s="32">
        <f t="shared" si="2"/>
        <v>0</v>
      </c>
      <c r="O92" s="16"/>
      <c r="P92" s="410"/>
      <c r="Q92" s="17"/>
      <c r="R92" s="407"/>
      <c r="S92" s="84"/>
      <c r="T92" s="187"/>
      <c r="U92" s="76"/>
      <c r="V92" s="445"/>
      <c r="W92" s="82"/>
      <c r="X92" s="358"/>
      <c r="Y92" s="358"/>
      <c r="Z92" s="358"/>
      <c r="AA92" s="91"/>
      <c r="AB92" s="91"/>
      <c r="AC92" s="91"/>
      <c r="AD92" s="91"/>
      <c r="AE92" s="91"/>
      <c r="AF92" s="91"/>
      <c r="AG92" s="91"/>
      <c r="AH92" s="91"/>
      <c r="AI92" s="366"/>
      <c r="AJ92" s="91"/>
      <c r="AK92" s="2"/>
      <c r="AL92" s="2"/>
      <c r="AM92" s="2"/>
      <c r="AN92" s="2"/>
      <c r="AO92" s="2"/>
      <c r="AP92" s="2"/>
      <c r="AR92" s="2"/>
    </row>
    <row r="93" spans="1:44" s="270" customFormat="1" ht="15" customHeight="1" x14ac:dyDescent="0.25">
      <c r="A93" s="358"/>
      <c r="B93" s="358"/>
      <c r="C93" s="91"/>
      <c r="D93" s="91"/>
      <c r="E93" s="359"/>
      <c r="F93" s="91"/>
      <c r="G93" s="91"/>
      <c r="H93" s="91"/>
      <c r="I93" s="91"/>
      <c r="J93" s="91"/>
      <c r="K93" s="91"/>
      <c r="L93" s="91"/>
      <c r="M93" s="91"/>
      <c r="N93" s="32">
        <f t="shared" si="2"/>
        <v>0</v>
      </c>
      <c r="O93" s="16"/>
      <c r="P93" s="410"/>
      <c r="Q93" s="17"/>
      <c r="R93" s="407"/>
      <c r="S93" s="84"/>
      <c r="T93" s="187"/>
      <c r="U93" s="76"/>
      <c r="V93" s="445"/>
      <c r="W93" s="82"/>
      <c r="X93" s="358"/>
      <c r="Y93" s="358"/>
      <c r="Z93" s="358"/>
      <c r="AA93" s="91"/>
      <c r="AB93" s="91"/>
      <c r="AC93" s="91"/>
      <c r="AD93" s="91"/>
      <c r="AE93" s="91"/>
      <c r="AF93" s="91"/>
      <c r="AG93" s="91"/>
      <c r="AH93" s="91"/>
      <c r="AI93" s="366"/>
      <c r="AJ93" s="91"/>
      <c r="AK93" s="2"/>
      <c r="AL93" s="2"/>
      <c r="AM93" s="2"/>
      <c r="AN93" s="2"/>
      <c r="AO93" s="2"/>
      <c r="AP93" s="2"/>
      <c r="AR93" s="2"/>
    </row>
    <row r="94" spans="1:44" ht="15" customHeight="1" x14ac:dyDescent="0.25">
      <c r="A94" s="358"/>
      <c r="B94" s="358"/>
      <c r="C94" s="91"/>
      <c r="D94" s="91"/>
      <c r="E94" s="359"/>
      <c r="F94" s="91"/>
      <c r="G94" s="91"/>
      <c r="H94" s="91"/>
      <c r="I94" s="91"/>
      <c r="J94" s="91"/>
      <c r="K94" s="91"/>
      <c r="L94" s="91"/>
      <c r="M94" s="91"/>
      <c r="N94" s="32">
        <f t="shared" si="2"/>
        <v>0</v>
      </c>
      <c r="O94" s="16"/>
      <c r="P94" s="410"/>
      <c r="Q94" s="17"/>
      <c r="R94" s="407"/>
      <c r="S94" s="84"/>
      <c r="T94" s="187"/>
      <c r="U94" s="76"/>
      <c r="V94" s="445"/>
      <c r="W94" s="82"/>
      <c r="X94" s="358"/>
      <c r="Y94" s="358"/>
      <c r="Z94" s="358"/>
      <c r="AA94" s="91"/>
      <c r="AB94" s="91"/>
      <c r="AC94" s="91"/>
      <c r="AD94" s="91"/>
      <c r="AE94" s="91"/>
      <c r="AF94" s="91"/>
      <c r="AG94" s="91"/>
      <c r="AH94" s="91"/>
      <c r="AI94" s="366"/>
      <c r="AJ94" s="91"/>
    </row>
    <row r="95" spans="1:44" s="270" customFormat="1" ht="15" customHeight="1" x14ac:dyDescent="0.25">
      <c r="A95" s="358"/>
      <c r="B95" s="358"/>
      <c r="C95" s="91"/>
      <c r="D95" s="91"/>
      <c r="E95" s="359"/>
      <c r="F95" s="91"/>
      <c r="G95" s="91"/>
      <c r="H95" s="91"/>
      <c r="I95" s="91"/>
      <c r="J95" s="91"/>
      <c r="K95" s="91"/>
      <c r="L95" s="91"/>
      <c r="M95" s="91"/>
      <c r="N95" s="32">
        <f t="shared" si="2"/>
        <v>0</v>
      </c>
      <c r="O95" s="16"/>
      <c r="P95" s="410"/>
      <c r="Q95" s="17"/>
      <c r="R95" s="407"/>
      <c r="S95" s="84"/>
      <c r="T95" s="187"/>
      <c r="U95" s="76"/>
      <c r="V95" s="445"/>
      <c r="W95" s="82"/>
      <c r="X95" s="358"/>
      <c r="Y95" s="358"/>
      <c r="Z95" s="358"/>
      <c r="AA95" s="91"/>
      <c r="AB95" s="91"/>
      <c r="AC95" s="91"/>
      <c r="AD95" s="91"/>
      <c r="AE95" s="91"/>
      <c r="AF95" s="91"/>
      <c r="AG95" s="91"/>
      <c r="AH95" s="91"/>
      <c r="AI95" s="366"/>
      <c r="AJ95" s="91"/>
      <c r="AK95" s="2"/>
      <c r="AL95" s="2"/>
      <c r="AM95" s="2"/>
      <c r="AN95" s="2"/>
      <c r="AO95" s="2"/>
      <c r="AP95" s="2"/>
      <c r="AR95" s="2"/>
    </row>
    <row r="96" spans="1:44" ht="15" customHeight="1" x14ac:dyDescent="0.25">
      <c r="A96" s="358"/>
      <c r="B96" s="358"/>
      <c r="C96" s="91"/>
      <c r="D96" s="91"/>
      <c r="E96" s="359"/>
      <c r="F96" s="91"/>
      <c r="G96" s="91"/>
      <c r="H96" s="91"/>
      <c r="I96" s="91"/>
      <c r="J96" s="91"/>
      <c r="K96" s="91"/>
      <c r="L96" s="91"/>
      <c r="M96" s="91"/>
      <c r="N96" s="32">
        <f t="shared" si="2"/>
        <v>0</v>
      </c>
      <c r="O96" s="16"/>
      <c r="P96" s="410"/>
      <c r="Q96" s="17"/>
      <c r="R96" s="407"/>
      <c r="S96" s="84"/>
      <c r="T96" s="187"/>
      <c r="U96" s="76"/>
      <c r="V96" s="445"/>
      <c r="W96" s="82"/>
      <c r="X96" s="358"/>
      <c r="Y96" s="358"/>
      <c r="Z96" s="358"/>
      <c r="AA96" s="91"/>
      <c r="AB96" s="91"/>
      <c r="AC96" s="91"/>
      <c r="AD96" s="91"/>
      <c r="AE96" s="91"/>
      <c r="AF96" s="91"/>
      <c r="AG96" s="91"/>
      <c r="AH96" s="91"/>
      <c r="AI96" s="366"/>
      <c r="AJ96" s="91"/>
    </row>
    <row r="97" spans="1:42" ht="15" customHeight="1" x14ac:dyDescent="0.25">
      <c r="A97" s="358"/>
      <c r="B97" s="358"/>
      <c r="C97" s="91"/>
      <c r="D97" s="91"/>
      <c r="E97" s="359"/>
      <c r="F97" s="91"/>
      <c r="G97" s="91"/>
      <c r="H97" s="91"/>
      <c r="I97" s="91"/>
      <c r="J97" s="91"/>
      <c r="K97" s="91"/>
      <c r="L97" s="91"/>
      <c r="M97" s="91"/>
      <c r="N97" s="32">
        <f t="shared" si="2"/>
        <v>0</v>
      </c>
      <c r="O97" s="16"/>
      <c r="P97" s="410"/>
      <c r="Q97" s="17"/>
      <c r="R97" s="407"/>
      <c r="S97" s="84"/>
      <c r="T97" s="187"/>
      <c r="U97" s="76"/>
      <c r="V97" s="445"/>
      <c r="W97" s="82"/>
      <c r="X97" s="358"/>
      <c r="Y97" s="358"/>
      <c r="Z97" s="358"/>
      <c r="AA97" s="91"/>
      <c r="AB97" s="91"/>
      <c r="AC97" s="91"/>
      <c r="AD97" s="91"/>
      <c r="AE97" s="91"/>
      <c r="AF97" s="91"/>
      <c r="AG97" s="91"/>
      <c r="AH97" s="91"/>
      <c r="AI97" s="366"/>
      <c r="AJ97" s="91"/>
    </row>
    <row r="98" spans="1:42" ht="15" customHeight="1" x14ac:dyDescent="0.25">
      <c r="A98" s="358"/>
      <c r="B98" s="358"/>
      <c r="C98" s="91"/>
      <c r="D98" s="91"/>
      <c r="E98" s="359"/>
      <c r="F98" s="91"/>
      <c r="G98" s="91"/>
      <c r="H98" s="91"/>
      <c r="I98" s="91"/>
      <c r="J98" s="91"/>
      <c r="K98" s="91"/>
      <c r="L98" s="91"/>
      <c r="M98" s="91"/>
      <c r="N98" s="32">
        <f t="shared" si="2"/>
        <v>0</v>
      </c>
      <c r="O98" s="16"/>
      <c r="P98" s="410"/>
      <c r="Q98" s="17"/>
      <c r="R98" s="407"/>
      <c r="S98" s="84"/>
      <c r="T98" s="187"/>
      <c r="U98" s="76"/>
      <c r="V98" s="445"/>
      <c r="W98" s="82"/>
      <c r="X98" s="358"/>
      <c r="Y98" s="358"/>
      <c r="Z98" s="358"/>
      <c r="AA98" s="91"/>
      <c r="AB98" s="91"/>
      <c r="AC98" s="91"/>
      <c r="AD98" s="91"/>
      <c r="AE98" s="91"/>
      <c r="AF98" s="91"/>
      <c r="AG98" s="91"/>
      <c r="AH98" s="91"/>
      <c r="AI98" s="366"/>
      <c r="AJ98" s="91"/>
    </row>
    <row r="99" spans="1:42" ht="15" customHeight="1" x14ac:dyDescent="0.25">
      <c r="A99" s="358"/>
      <c r="B99" s="358"/>
      <c r="C99" s="91"/>
      <c r="D99" s="91"/>
      <c r="E99" s="359"/>
      <c r="F99" s="91"/>
      <c r="G99" s="91"/>
      <c r="H99" s="91"/>
      <c r="I99" s="91"/>
      <c r="J99" s="91"/>
      <c r="K99" s="91"/>
      <c r="L99" s="91"/>
      <c r="M99" s="91"/>
      <c r="N99" s="32">
        <f t="shared" si="2"/>
        <v>0</v>
      </c>
      <c r="O99" s="16"/>
      <c r="P99" s="410"/>
      <c r="Q99" s="17"/>
      <c r="R99" s="407"/>
      <c r="S99" s="84"/>
      <c r="T99" s="187"/>
      <c r="U99" s="76"/>
      <c r="V99" s="445"/>
      <c r="W99" s="82"/>
      <c r="X99" s="358"/>
      <c r="Y99" s="358"/>
      <c r="Z99" s="358"/>
      <c r="AA99" s="91"/>
      <c r="AB99" s="91"/>
      <c r="AC99" s="91"/>
      <c r="AD99" s="91"/>
      <c r="AE99" s="91"/>
      <c r="AF99" s="91"/>
      <c r="AG99" s="91"/>
      <c r="AH99" s="91"/>
      <c r="AI99" s="366"/>
      <c r="AJ99" s="91"/>
    </row>
    <row r="100" spans="1:42" ht="15" customHeight="1" x14ac:dyDescent="0.25">
      <c r="A100" s="358"/>
      <c r="B100" s="358"/>
      <c r="C100" s="91"/>
      <c r="D100" s="91"/>
      <c r="E100" s="359"/>
      <c r="F100" s="91"/>
      <c r="G100" s="91"/>
      <c r="H100" s="91"/>
      <c r="I100" s="91"/>
      <c r="J100" s="91"/>
      <c r="K100" s="91"/>
      <c r="L100" s="91"/>
      <c r="M100" s="91"/>
      <c r="N100" s="32">
        <f t="shared" si="2"/>
        <v>0</v>
      </c>
      <c r="O100" s="16"/>
      <c r="P100" s="410"/>
      <c r="Q100" s="17"/>
      <c r="R100" s="407"/>
      <c r="S100" s="84"/>
      <c r="T100" s="187"/>
      <c r="U100" s="76"/>
      <c r="V100" s="445"/>
      <c r="W100" s="82"/>
      <c r="X100" s="358"/>
      <c r="Y100" s="358"/>
      <c r="Z100" s="358"/>
      <c r="AA100" s="91"/>
      <c r="AB100" s="91"/>
      <c r="AC100" s="91"/>
      <c r="AD100" s="91"/>
      <c r="AE100" s="91"/>
      <c r="AF100" s="91"/>
      <c r="AG100" s="91"/>
      <c r="AH100" s="91"/>
      <c r="AI100" s="366"/>
      <c r="AJ100" s="91"/>
    </row>
    <row r="101" spans="1:42" ht="15" customHeight="1" x14ac:dyDescent="0.25">
      <c r="A101" s="358"/>
      <c r="B101" s="358"/>
      <c r="C101" s="91"/>
      <c r="D101" s="91"/>
      <c r="E101" s="359"/>
      <c r="F101" s="91"/>
      <c r="G101" s="91"/>
      <c r="H101" s="91"/>
      <c r="I101" s="91"/>
      <c r="J101" s="91"/>
      <c r="K101" s="91"/>
      <c r="L101" s="91"/>
      <c r="M101" s="91"/>
      <c r="N101" s="32">
        <f t="shared" si="2"/>
        <v>0</v>
      </c>
      <c r="O101" s="16"/>
      <c r="P101" s="410"/>
      <c r="Q101" s="17"/>
      <c r="R101" s="407"/>
      <c r="S101" s="84"/>
      <c r="T101" s="187"/>
      <c r="U101" s="76"/>
      <c r="V101" s="445"/>
      <c r="W101" s="82"/>
      <c r="X101" s="358"/>
      <c r="Y101" s="358"/>
      <c r="Z101" s="358"/>
      <c r="AA101" s="91"/>
      <c r="AB101" s="91"/>
      <c r="AC101" s="91"/>
      <c r="AD101" s="91"/>
      <c r="AE101" s="91"/>
      <c r="AF101" s="91"/>
      <c r="AG101" s="91"/>
      <c r="AH101" s="91"/>
      <c r="AI101" s="366"/>
      <c r="AJ101" s="91"/>
    </row>
    <row r="102" spans="1:42" ht="15" customHeight="1" x14ac:dyDescent="0.25">
      <c r="A102" s="358"/>
      <c r="B102" s="358"/>
      <c r="C102" s="91"/>
      <c r="D102" s="91"/>
      <c r="E102" s="359"/>
      <c r="F102" s="91"/>
      <c r="G102" s="91"/>
      <c r="H102" s="91"/>
      <c r="I102" s="91"/>
      <c r="J102" s="91"/>
      <c r="K102" s="91"/>
      <c r="L102" s="91"/>
      <c r="M102" s="91"/>
      <c r="N102" s="32">
        <f t="shared" si="2"/>
        <v>0</v>
      </c>
      <c r="O102" s="16"/>
      <c r="P102" s="410"/>
      <c r="Q102" s="17"/>
      <c r="R102" s="407"/>
      <c r="S102" s="84"/>
      <c r="T102" s="187"/>
      <c r="U102" s="76"/>
      <c r="V102" s="445"/>
      <c r="W102" s="82"/>
      <c r="X102" s="358"/>
      <c r="Y102" s="358"/>
      <c r="Z102" s="358"/>
      <c r="AA102" s="91"/>
      <c r="AB102" s="91"/>
      <c r="AC102" s="91"/>
      <c r="AD102" s="91"/>
      <c r="AE102" s="91"/>
      <c r="AF102" s="91"/>
      <c r="AG102" s="91"/>
      <c r="AH102" s="91"/>
      <c r="AI102" s="366"/>
      <c r="AJ102" s="91"/>
    </row>
    <row r="103" spans="1:42" ht="15" customHeight="1" x14ac:dyDescent="0.25">
      <c r="A103" s="358"/>
      <c r="B103" s="358"/>
      <c r="C103" s="91"/>
      <c r="D103" s="91"/>
      <c r="E103" s="359"/>
      <c r="F103" s="91"/>
      <c r="G103" s="91"/>
      <c r="H103" s="91"/>
      <c r="I103" s="91"/>
      <c r="J103" s="91"/>
      <c r="K103" s="91"/>
      <c r="L103" s="91"/>
      <c r="M103" s="91"/>
      <c r="N103" s="32">
        <f t="shared" si="2"/>
        <v>0</v>
      </c>
      <c r="O103" s="16"/>
      <c r="P103" s="410"/>
      <c r="Q103" s="17"/>
      <c r="R103" s="407"/>
      <c r="S103" s="84"/>
      <c r="T103" s="187"/>
      <c r="U103" s="76"/>
      <c r="V103" s="445"/>
      <c r="W103" s="82"/>
      <c r="X103" s="358"/>
      <c r="Y103" s="358"/>
      <c r="Z103" s="358"/>
      <c r="AA103" s="91"/>
      <c r="AB103" s="91"/>
      <c r="AC103" s="91"/>
      <c r="AD103" s="91"/>
      <c r="AE103" s="91"/>
      <c r="AF103" s="91"/>
      <c r="AG103" s="91"/>
      <c r="AH103" s="91"/>
      <c r="AI103" s="366"/>
      <c r="AJ103" s="91"/>
    </row>
    <row r="104" spans="1:42" ht="15" customHeight="1" x14ac:dyDescent="0.25">
      <c r="A104" s="358"/>
      <c r="B104" s="358"/>
      <c r="C104" s="91"/>
      <c r="D104" s="91"/>
      <c r="E104" s="359"/>
      <c r="F104" s="91"/>
      <c r="G104" s="91"/>
      <c r="H104" s="91"/>
      <c r="I104" s="91"/>
      <c r="J104" s="91"/>
      <c r="K104" s="91"/>
      <c r="L104" s="91"/>
      <c r="M104" s="91"/>
      <c r="N104" s="32">
        <f t="shared" si="2"/>
        <v>0</v>
      </c>
      <c r="O104" s="134"/>
      <c r="P104" s="410"/>
      <c r="Q104" s="17"/>
      <c r="R104" s="407"/>
      <c r="S104" s="84"/>
      <c r="T104" s="187"/>
      <c r="U104" s="76"/>
      <c r="V104" s="445"/>
      <c r="W104" s="82"/>
      <c r="X104" s="358"/>
      <c r="Y104" s="358"/>
      <c r="Z104" s="358"/>
      <c r="AA104" s="91"/>
      <c r="AB104" s="91"/>
      <c r="AC104" s="91"/>
      <c r="AD104" s="91"/>
      <c r="AE104" s="91"/>
      <c r="AF104" s="91"/>
      <c r="AG104" s="91"/>
      <c r="AH104" s="91"/>
      <c r="AI104" s="366"/>
      <c r="AJ104" s="91"/>
    </row>
    <row r="105" spans="1:42" ht="15" customHeight="1" x14ac:dyDescent="0.25">
      <c r="A105" s="358"/>
      <c r="B105" s="358"/>
      <c r="C105" s="91"/>
      <c r="D105" s="91"/>
      <c r="E105" s="359"/>
      <c r="F105" s="91"/>
      <c r="G105" s="91"/>
      <c r="H105" s="91"/>
      <c r="I105" s="91"/>
      <c r="J105" s="91"/>
      <c r="K105" s="91"/>
      <c r="L105" s="91"/>
      <c r="M105" s="91"/>
      <c r="N105" s="32">
        <f t="shared" si="2"/>
        <v>0</v>
      </c>
      <c r="O105" s="16"/>
      <c r="P105" s="410"/>
      <c r="Q105" s="17"/>
      <c r="R105" s="407"/>
      <c r="S105" s="84"/>
      <c r="T105" s="187"/>
      <c r="U105" s="76"/>
      <c r="V105" s="445"/>
      <c r="W105" s="82"/>
      <c r="X105" s="358"/>
      <c r="Y105" s="358"/>
      <c r="Z105" s="358"/>
      <c r="AA105" s="91"/>
      <c r="AB105" s="91"/>
      <c r="AC105" s="91"/>
      <c r="AD105" s="91"/>
      <c r="AE105" s="91"/>
      <c r="AF105" s="91"/>
      <c r="AG105" s="91"/>
      <c r="AH105" s="91"/>
      <c r="AI105" s="366"/>
      <c r="AJ105" s="91"/>
    </row>
    <row r="106" spans="1:42" ht="15" customHeight="1" x14ac:dyDescent="0.25">
      <c r="A106" s="358"/>
      <c r="B106" s="358"/>
      <c r="C106" s="91"/>
      <c r="D106" s="91"/>
      <c r="E106" s="359"/>
      <c r="F106" s="91"/>
      <c r="G106" s="91"/>
      <c r="H106" s="91"/>
      <c r="I106" s="91"/>
      <c r="J106" s="91"/>
      <c r="K106" s="91"/>
      <c r="L106" s="91"/>
      <c r="M106" s="91"/>
      <c r="N106" s="32">
        <f t="shared" si="2"/>
        <v>0</v>
      </c>
      <c r="O106" s="16"/>
      <c r="P106" s="410"/>
      <c r="Q106" s="17"/>
      <c r="R106" s="407"/>
      <c r="S106" s="84"/>
      <c r="T106" s="187"/>
      <c r="U106" s="76"/>
      <c r="V106" s="445"/>
      <c r="W106" s="82"/>
      <c r="X106" s="358"/>
      <c r="Y106" s="358"/>
      <c r="Z106" s="358"/>
      <c r="AA106" s="91"/>
      <c r="AB106" s="91"/>
      <c r="AC106" s="91"/>
      <c r="AD106" s="91"/>
      <c r="AE106" s="91"/>
      <c r="AF106" s="91"/>
      <c r="AG106" s="91"/>
      <c r="AH106" s="91"/>
      <c r="AI106" s="366"/>
      <c r="AJ106" s="91"/>
    </row>
    <row r="107" spans="1:42" ht="15" customHeight="1" x14ac:dyDescent="0.25">
      <c r="A107" s="358"/>
      <c r="B107" s="358"/>
      <c r="C107" s="91"/>
      <c r="D107" s="91"/>
      <c r="E107" s="359"/>
      <c r="F107" s="91"/>
      <c r="G107" s="91"/>
      <c r="H107" s="91"/>
      <c r="I107" s="91"/>
      <c r="J107" s="91"/>
      <c r="K107" s="91"/>
      <c r="L107" s="91"/>
      <c r="M107" s="91"/>
      <c r="N107" s="32">
        <f t="shared" si="2"/>
        <v>0</v>
      </c>
      <c r="O107" s="16"/>
      <c r="P107" s="410"/>
      <c r="Q107" s="17"/>
      <c r="R107" s="407"/>
      <c r="S107" s="84"/>
      <c r="T107" s="187"/>
      <c r="U107" s="76"/>
      <c r="V107" s="445"/>
      <c r="W107" s="82"/>
      <c r="X107" s="358"/>
      <c r="Y107" s="358"/>
      <c r="Z107" s="358"/>
      <c r="AA107" s="91"/>
      <c r="AB107" s="91"/>
      <c r="AC107" s="91"/>
      <c r="AD107" s="91"/>
      <c r="AE107" s="91"/>
      <c r="AF107" s="91"/>
      <c r="AG107" s="91"/>
      <c r="AH107" s="91"/>
      <c r="AI107" s="366"/>
      <c r="AJ107" s="91"/>
      <c r="AK107" s="270"/>
      <c r="AL107" s="270"/>
      <c r="AM107" s="270"/>
      <c r="AN107" s="270"/>
      <c r="AO107" s="270"/>
    </row>
    <row r="108" spans="1:42" ht="15" customHeight="1" x14ac:dyDescent="0.25">
      <c r="A108" s="358"/>
      <c r="B108" s="358"/>
      <c r="C108" s="91"/>
      <c r="D108" s="91"/>
      <c r="E108" s="359"/>
      <c r="F108" s="91"/>
      <c r="G108" s="91"/>
      <c r="H108" s="91"/>
      <c r="I108" s="91"/>
      <c r="J108" s="91"/>
      <c r="K108" s="91"/>
      <c r="L108" s="91"/>
      <c r="M108" s="91"/>
      <c r="N108" s="32">
        <f t="shared" si="2"/>
        <v>0</v>
      </c>
      <c r="O108" s="16"/>
      <c r="P108" s="410"/>
      <c r="Q108" s="17"/>
      <c r="R108" s="407"/>
      <c r="S108" s="84"/>
      <c r="T108" s="187"/>
      <c r="U108" s="76"/>
      <c r="V108" s="445"/>
      <c r="W108" s="82"/>
      <c r="X108" s="358"/>
      <c r="Y108" s="358"/>
      <c r="Z108" s="358"/>
      <c r="AA108" s="91"/>
      <c r="AB108" s="91"/>
      <c r="AC108" s="91"/>
      <c r="AD108" s="91"/>
      <c r="AE108" s="91"/>
      <c r="AF108" s="91"/>
      <c r="AG108" s="91"/>
      <c r="AH108" s="91"/>
      <c r="AI108" s="366"/>
      <c r="AJ108" s="91"/>
      <c r="AP108" s="270"/>
    </row>
    <row r="109" spans="1:42" ht="15" customHeight="1" x14ac:dyDescent="0.25">
      <c r="A109" s="358"/>
      <c r="B109" s="358"/>
      <c r="C109" s="91"/>
      <c r="D109" s="91"/>
      <c r="E109" s="359"/>
      <c r="F109" s="91"/>
      <c r="G109" s="91"/>
      <c r="H109" s="91"/>
      <c r="I109" s="91"/>
      <c r="J109" s="91"/>
      <c r="K109" s="91"/>
      <c r="L109" s="91"/>
      <c r="M109" s="91"/>
      <c r="N109" s="32">
        <f t="shared" si="2"/>
        <v>0</v>
      </c>
      <c r="O109" s="16"/>
      <c r="P109" s="410"/>
      <c r="Q109" s="17"/>
      <c r="R109" s="407"/>
      <c r="S109" s="84"/>
      <c r="T109" s="187"/>
      <c r="U109" s="76"/>
      <c r="V109" s="445"/>
      <c r="W109" s="82"/>
      <c r="X109" s="358"/>
      <c r="Y109" s="358"/>
      <c r="Z109" s="358"/>
      <c r="AA109" s="91"/>
      <c r="AB109" s="91"/>
      <c r="AC109" s="91"/>
      <c r="AD109" s="91"/>
      <c r="AE109" s="91"/>
      <c r="AF109" s="91"/>
      <c r="AG109" s="91"/>
      <c r="AH109" s="91"/>
      <c r="AI109" s="366"/>
      <c r="AJ109" s="91"/>
      <c r="AK109" s="270"/>
      <c r="AL109" s="270"/>
      <c r="AM109" s="270"/>
      <c r="AN109" s="270"/>
      <c r="AO109" s="270"/>
    </row>
    <row r="110" spans="1:42" ht="15" customHeight="1" x14ac:dyDescent="0.25">
      <c r="A110" s="358"/>
      <c r="B110" s="358"/>
      <c r="C110" s="91"/>
      <c r="D110" s="91"/>
      <c r="E110" s="359"/>
      <c r="F110" s="91"/>
      <c r="G110" s="91"/>
      <c r="H110" s="91"/>
      <c r="I110" s="91"/>
      <c r="J110" s="91"/>
      <c r="K110" s="91"/>
      <c r="L110" s="91"/>
      <c r="M110" s="91"/>
      <c r="N110" s="32">
        <f t="shared" si="2"/>
        <v>0</v>
      </c>
      <c r="O110" s="16"/>
      <c r="P110" s="410"/>
      <c r="Q110" s="17"/>
      <c r="R110" s="407"/>
      <c r="S110" s="84"/>
      <c r="T110" s="187"/>
      <c r="U110" s="76"/>
      <c r="V110" s="445"/>
      <c r="W110" s="82"/>
      <c r="X110" s="358"/>
      <c r="Y110" s="358"/>
      <c r="Z110" s="358"/>
      <c r="AA110" s="91"/>
      <c r="AB110" s="91"/>
      <c r="AC110" s="91"/>
      <c r="AD110" s="91"/>
      <c r="AE110" s="91"/>
      <c r="AF110" s="91"/>
      <c r="AG110" s="91"/>
      <c r="AH110" s="91"/>
      <c r="AI110" s="366"/>
      <c r="AJ110" s="91"/>
      <c r="AP110" s="270"/>
    </row>
    <row r="111" spans="1:42" ht="15" customHeight="1" x14ac:dyDescent="0.25">
      <c r="A111" s="358"/>
      <c r="B111" s="358"/>
      <c r="C111" s="91"/>
      <c r="D111" s="91"/>
      <c r="E111" s="359"/>
      <c r="F111" s="91"/>
      <c r="G111" s="91"/>
      <c r="H111" s="91"/>
      <c r="I111" s="91"/>
      <c r="J111" s="91"/>
      <c r="K111" s="91"/>
      <c r="L111" s="91"/>
      <c r="M111" s="91"/>
      <c r="N111" s="32">
        <f t="shared" si="2"/>
        <v>0</v>
      </c>
      <c r="O111" s="16"/>
      <c r="P111" s="410"/>
      <c r="Q111" s="17"/>
      <c r="R111" s="407"/>
      <c r="S111" s="84"/>
      <c r="T111" s="187"/>
      <c r="U111" s="76"/>
      <c r="V111" s="445"/>
      <c r="W111" s="82"/>
      <c r="X111" s="358"/>
      <c r="Y111" s="358"/>
      <c r="Z111" s="358"/>
      <c r="AA111" s="91"/>
      <c r="AB111" s="91"/>
      <c r="AC111" s="91"/>
      <c r="AD111" s="91"/>
      <c r="AE111" s="91"/>
      <c r="AF111" s="91"/>
      <c r="AG111" s="91"/>
      <c r="AH111" s="91"/>
      <c r="AI111" s="366"/>
      <c r="AJ111" s="91"/>
      <c r="AL111" s="2" t="s">
        <v>6</v>
      </c>
    </row>
    <row r="112" spans="1:42" ht="15" customHeight="1" x14ac:dyDescent="0.25">
      <c r="A112" s="358"/>
      <c r="B112" s="358"/>
      <c r="C112" s="91"/>
      <c r="D112" s="91"/>
      <c r="E112" s="359"/>
      <c r="F112" s="91"/>
      <c r="G112" s="91"/>
      <c r="H112" s="91"/>
      <c r="I112" s="91"/>
      <c r="J112" s="91"/>
      <c r="K112" s="91"/>
      <c r="L112" s="91"/>
      <c r="M112" s="91"/>
      <c r="N112" s="32">
        <f t="shared" si="2"/>
        <v>0</v>
      </c>
      <c r="O112" s="16"/>
      <c r="P112" s="410"/>
      <c r="Q112" s="17"/>
      <c r="R112" s="407"/>
      <c r="S112" s="84"/>
      <c r="T112" s="187"/>
      <c r="U112" s="76"/>
      <c r="V112" s="445"/>
      <c r="W112" s="82"/>
      <c r="X112" s="358"/>
      <c r="Y112" s="358"/>
      <c r="Z112" s="358"/>
      <c r="AA112" s="91"/>
      <c r="AB112" s="91"/>
      <c r="AC112" s="91"/>
      <c r="AD112" s="91"/>
      <c r="AE112" s="91"/>
      <c r="AF112" s="91"/>
      <c r="AG112" s="91"/>
      <c r="AH112" s="91"/>
      <c r="AI112" s="366"/>
      <c r="AJ112" s="91"/>
    </row>
    <row r="113" spans="1:44" ht="15" customHeight="1" x14ac:dyDescent="0.25">
      <c r="A113" s="358"/>
      <c r="B113" s="358"/>
      <c r="C113" s="91"/>
      <c r="D113" s="91"/>
      <c r="E113" s="359"/>
      <c r="F113" s="91"/>
      <c r="G113" s="91"/>
      <c r="H113" s="91"/>
      <c r="I113" s="91"/>
      <c r="J113" s="91"/>
      <c r="K113" s="91"/>
      <c r="L113" s="91"/>
      <c r="M113" s="91"/>
      <c r="N113" s="32">
        <f t="shared" si="2"/>
        <v>0</v>
      </c>
      <c r="O113" s="16"/>
      <c r="P113" s="410"/>
      <c r="Q113" s="17"/>
      <c r="R113" s="407"/>
      <c r="S113" s="84"/>
      <c r="T113" s="187"/>
      <c r="U113" s="76"/>
      <c r="V113" s="445"/>
      <c r="W113" s="82"/>
      <c r="X113" s="358"/>
      <c r="Y113" s="358"/>
      <c r="Z113" s="358"/>
      <c r="AA113" s="91"/>
      <c r="AB113" s="91"/>
      <c r="AC113" s="91"/>
      <c r="AD113" s="91"/>
      <c r="AE113" s="91"/>
      <c r="AF113" s="91"/>
      <c r="AG113" s="91"/>
      <c r="AH113" s="91"/>
      <c r="AI113" s="366"/>
      <c r="AJ113" s="91"/>
    </row>
    <row r="114" spans="1:44" ht="15" customHeight="1" x14ac:dyDescent="0.25">
      <c r="A114" s="358"/>
      <c r="B114" s="358"/>
      <c r="C114" s="91"/>
      <c r="D114" s="91"/>
      <c r="E114" s="359"/>
      <c r="F114" s="183"/>
      <c r="G114" s="91"/>
      <c r="H114" s="91"/>
      <c r="I114" s="91"/>
      <c r="J114" s="91"/>
      <c r="K114" s="91"/>
      <c r="L114" s="91"/>
      <c r="M114" s="91"/>
      <c r="N114" s="32">
        <f t="shared" si="2"/>
        <v>0</v>
      </c>
      <c r="O114" s="134"/>
      <c r="P114" s="410"/>
      <c r="Q114" s="17"/>
      <c r="R114" s="407"/>
      <c r="S114" s="84"/>
      <c r="T114" s="187"/>
      <c r="U114" s="76"/>
      <c r="V114" s="445"/>
      <c r="W114" s="82"/>
      <c r="X114" s="358"/>
      <c r="Y114" s="358"/>
      <c r="Z114" s="358"/>
      <c r="AA114" s="91"/>
      <c r="AB114" s="91"/>
      <c r="AC114" s="91"/>
      <c r="AD114" s="91"/>
      <c r="AE114" s="91"/>
      <c r="AF114" s="91"/>
      <c r="AG114" s="91"/>
      <c r="AH114" s="91"/>
      <c r="AI114" s="366"/>
      <c r="AJ114" s="91"/>
    </row>
    <row r="115" spans="1:44" ht="15" customHeight="1" x14ac:dyDescent="0.25">
      <c r="A115" s="358"/>
      <c r="B115" s="358"/>
      <c r="C115" s="91"/>
      <c r="D115" s="91"/>
      <c r="E115" s="359"/>
      <c r="F115" s="91"/>
      <c r="G115" s="91"/>
      <c r="H115" s="91"/>
      <c r="I115" s="91"/>
      <c r="J115" s="91"/>
      <c r="K115" s="91"/>
      <c r="L115" s="91"/>
      <c r="M115" s="91"/>
      <c r="N115" s="32">
        <f t="shared" si="2"/>
        <v>0</v>
      </c>
      <c r="O115" s="134"/>
      <c r="P115" s="410"/>
      <c r="Q115" s="17"/>
      <c r="R115" s="407"/>
      <c r="S115" s="84"/>
      <c r="T115" s="187"/>
      <c r="U115" s="76"/>
      <c r="V115" s="445"/>
      <c r="W115" s="82"/>
      <c r="X115" s="358"/>
      <c r="Y115" s="358"/>
      <c r="Z115" s="358"/>
      <c r="AA115" s="91"/>
      <c r="AB115" s="91"/>
      <c r="AC115" s="91"/>
      <c r="AD115" s="91"/>
      <c r="AE115" s="91"/>
      <c r="AF115" s="91"/>
      <c r="AG115" s="91"/>
      <c r="AH115" s="91"/>
      <c r="AI115" s="366"/>
      <c r="AJ115" s="91"/>
    </row>
    <row r="116" spans="1:44" ht="15" customHeight="1" x14ac:dyDescent="0.25">
      <c r="A116" s="358"/>
      <c r="B116" s="358"/>
      <c r="C116" s="91"/>
      <c r="D116" s="91"/>
      <c r="E116" s="359"/>
      <c r="F116" s="183"/>
      <c r="G116" s="91"/>
      <c r="H116" s="91"/>
      <c r="I116" s="91"/>
      <c r="J116" s="91"/>
      <c r="K116" s="91"/>
      <c r="L116" s="91"/>
      <c r="M116" s="91"/>
      <c r="N116" s="32">
        <f t="shared" si="2"/>
        <v>0</v>
      </c>
      <c r="O116" s="16"/>
      <c r="P116" s="410"/>
      <c r="Q116" s="17"/>
      <c r="R116" s="407"/>
      <c r="S116" s="84"/>
      <c r="T116" s="187"/>
      <c r="U116" s="76"/>
      <c r="V116" s="445"/>
      <c r="W116" s="82"/>
      <c r="X116" s="358"/>
      <c r="Y116" s="358"/>
      <c r="Z116" s="358"/>
      <c r="AA116" s="91"/>
      <c r="AB116" s="91"/>
      <c r="AC116" s="91"/>
      <c r="AD116" s="91"/>
      <c r="AE116" s="91"/>
      <c r="AF116" s="91"/>
      <c r="AG116" s="91"/>
      <c r="AH116" s="91"/>
      <c r="AI116" s="366"/>
      <c r="AJ116" s="91"/>
    </row>
    <row r="117" spans="1:44" ht="15" customHeight="1" x14ac:dyDescent="0.25">
      <c r="A117" s="358"/>
      <c r="B117" s="358"/>
      <c r="C117" s="91"/>
      <c r="D117" s="91"/>
      <c r="E117" s="359"/>
      <c r="F117" s="183"/>
      <c r="G117" s="91"/>
      <c r="H117" s="91"/>
      <c r="I117" s="91"/>
      <c r="J117" s="91"/>
      <c r="K117" s="91"/>
      <c r="L117" s="91"/>
      <c r="M117" s="91"/>
      <c r="N117" s="32">
        <f t="shared" si="2"/>
        <v>0</v>
      </c>
      <c r="O117" s="16"/>
      <c r="P117" s="410"/>
      <c r="Q117" s="17"/>
      <c r="R117" s="407"/>
      <c r="S117" s="84"/>
      <c r="T117" s="187"/>
      <c r="U117" s="76"/>
      <c r="V117" s="445"/>
      <c r="W117" s="306"/>
      <c r="X117" s="358"/>
      <c r="Y117" s="358"/>
      <c r="Z117" s="358"/>
      <c r="AA117" s="91"/>
      <c r="AB117" s="91"/>
      <c r="AC117" s="91"/>
      <c r="AD117" s="91"/>
      <c r="AE117" s="91"/>
      <c r="AF117" s="91"/>
      <c r="AG117" s="91"/>
      <c r="AH117" s="91"/>
      <c r="AI117" s="366"/>
      <c r="AJ117" s="91"/>
      <c r="AR117" s="270"/>
    </row>
    <row r="118" spans="1:44" ht="15" customHeight="1" x14ac:dyDescent="0.25">
      <c r="A118" s="358"/>
      <c r="B118" s="358"/>
      <c r="C118" s="91"/>
      <c r="D118" s="359"/>
      <c r="E118" s="359"/>
      <c r="F118" s="91"/>
      <c r="G118" s="91"/>
      <c r="H118" s="91"/>
      <c r="I118" s="91"/>
      <c r="J118" s="91"/>
      <c r="K118" s="91"/>
      <c r="L118" s="91"/>
      <c r="M118" s="91"/>
      <c r="N118" s="32">
        <f t="shared" si="2"/>
        <v>0</v>
      </c>
      <c r="O118" s="134"/>
      <c r="P118" s="411"/>
      <c r="Q118" s="138"/>
      <c r="R118" s="408"/>
      <c r="S118" s="84"/>
      <c r="T118" s="187"/>
      <c r="U118" s="76"/>
      <c r="V118" s="445"/>
      <c r="W118" s="82"/>
      <c r="X118" s="358"/>
      <c r="Y118" s="358"/>
      <c r="Z118" s="358"/>
      <c r="AA118" s="91"/>
      <c r="AB118" s="91"/>
      <c r="AC118" s="91"/>
      <c r="AD118" s="91"/>
      <c r="AE118" s="91"/>
      <c r="AF118" s="91"/>
      <c r="AG118" s="91"/>
      <c r="AH118" s="91"/>
      <c r="AI118" s="366"/>
      <c r="AJ118" s="91"/>
    </row>
    <row r="119" spans="1:44" ht="15" customHeight="1" x14ac:dyDescent="0.25">
      <c r="A119" s="358"/>
      <c r="B119" s="358"/>
      <c r="C119" s="91"/>
      <c r="D119" s="359"/>
      <c r="E119" s="359"/>
      <c r="F119" s="91"/>
      <c r="G119" s="91"/>
      <c r="H119" s="91"/>
      <c r="I119" s="91"/>
      <c r="J119" s="91"/>
      <c r="K119" s="91"/>
      <c r="L119" s="91"/>
      <c r="M119" s="91"/>
      <c r="N119" s="32">
        <f t="shared" si="2"/>
        <v>0</v>
      </c>
      <c r="O119" s="16"/>
      <c r="P119" s="410"/>
      <c r="Q119" s="17"/>
      <c r="R119" s="407"/>
      <c r="S119" s="84"/>
      <c r="T119" s="187"/>
      <c r="U119" s="76"/>
      <c r="V119" s="445"/>
      <c r="W119" s="82"/>
      <c r="X119" s="358"/>
      <c r="Y119" s="358"/>
      <c r="Z119" s="358"/>
      <c r="AA119" s="91"/>
      <c r="AB119" s="91"/>
      <c r="AC119" s="91"/>
      <c r="AD119" s="91"/>
      <c r="AE119" s="91"/>
      <c r="AF119" s="91"/>
      <c r="AG119" s="91"/>
      <c r="AH119" s="91"/>
      <c r="AI119" s="366"/>
      <c r="AJ119" s="91"/>
      <c r="AK119" s="270"/>
      <c r="AL119" s="270"/>
      <c r="AM119" s="270"/>
      <c r="AN119" s="270"/>
      <c r="AO119" s="270"/>
      <c r="AR119" s="270"/>
    </row>
    <row r="120" spans="1:44" ht="15" customHeight="1" x14ac:dyDescent="0.25">
      <c r="A120" s="358"/>
      <c r="B120" s="358"/>
      <c r="C120" s="91"/>
      <c r="D120" s="359"/>
      <c r="E120" s="359"/>
      <c r="F120" s="91"/>
      <c r="G120" s="91"/>
      <c r="H120" s="91"/>
      <c r="I120" s="91"/>
      <c r="J120" s="91"/>
      <c r="K120" s="91"/>
      <c r="L120" s="91"/>
      <c r="M120" s="91"/>
      <c r="N120" s="32">
        <f t="shared" si="2"/>
        <v>0</v>
      </c>
      <c r="O120" s="16"/>
      <c r="P120" s="410"/>
      <c r="Q120" s="17"/>
      <c r="R120" s="407"/>
      <c r="S120" s="84"/>
      <c r="T120" s="187"/>
      <c r="U120" s="76"/>
      <c r="V120" s="445"/>
      <c r="W120" s="306"/>
      <c r="X120" s="358"/>
      <c r="Y120" s="358"/>
      <c r="Z120" s="358"/>
      <c r="AA120" s="91"/>
      <c r="AB120" s="91"/>
      <c r="AC120" s="91"/>
      <c r="AD120" s="91"/>
      <c r="AE120" s="91"/>
      <c r="AF120" s="91"/>
      <c r="AG120" s="91"/>
      <c r="AH120" s="91"/>
      <c r="AI120" s="366"/>
      <c r="AJ120" s="91"/>
      <c r="AK120" s="270"/>
      <c r="AL120" s="270"/>
      <c r="AM120" s="270"/>
      <c r="AN120" s="270"/>
      <c r="AO120" s="270"/>
      <c r="AP120" s="270"/>
    </row>
    <row r="121" spans="1:44" ht="15" customHeight="1" x14ac:dyDescent="0.25">
      <c r="A121" s="358"/>
      <c r="B121" s="358"/>
      <c r="C121" s="91"/>
      <c r="D121" s="359"/>
      <c r="E121" s="359"/>
      <c r="F121" s="91"/>
      <c r="G121" s="91"/>
      <c r="H121" s="91"/>
      <c r="I121" s="91"/>
      <c r="J121" s="91"/>
      <c r="K121" s="91"/>
      <c r="L121" s="91"/>
      <c r="M121" s="91"/>
      <c r="N121" s="32">
        <f t="shared" si="2"/>
        <v>0</v>
      </c>
      <c r="O121" s="134"/>
      <c r="P121" s="410"/>
      <c r="Q121" s="17"/>
      <c r="R121" s="407"/>
      <c r="S121" s="84"/>
      <c r="T121" s="187"/>
      <c r="U121" s="76"/>
      <c r="V121" s="445"/>
      <c r="W121" s="82"/>
      <c r="X121" s="358"/>
      <c r="Y121" s="358"/>
      <c r="Z121" s="358"/>
      <c r="AA121" s="91"/>
      <c r="AB121" s="91"/>
      <c r="AC121" s="91"/>
      <c r="AD121" s="91"/>
      <c r="AE121" s="91"/>
      <c r="AF121" s="91"/>
      <c r="AG121" s="91"/>
      <c r="AH121" s="91"/>
      <c r="AI121" s="366"/>
      <c r="AJ121" s="91"/>
      <c r="AP121" s="270"/>
    </row>
    <row r="122" spans="1:44" s="270" customFormat="1" ht="15" customHeight="1" x14ac:dyDescent="0.25">
      <c r="A122" s="358"/>
      <c r="B122" s="358"/>
      <c r="C122" s="91"/>
      <c r="D122" s="359"/>
      <c r="E122" s="359"/>
      <c r="F122" s="91"/>
      <c r="G122" s="91"/>
      <c r="H122" s="91"/>
      <c r="I122" s="91"/>
      <c r="J122" s="91"/>
      <c r="K122" s="91"/>
      <c r="L122" s="91"/>
      <c r="M122" s="91"/>
      <c r="N122" s="32">
        <f t="shared" si="2"/>
        <v>0</v>
      </c>
      <c r="O122" s="134"/>
      <c r="P122" s="410"/>
      <c r="Q122" s="17"/>
      <c r="R122" s="407"/>
      <c r="S122" s="84"/>
      <c r="T122" s="187"/>
      <c r="U122" s="76"/>
      <c r="V122" s="445"/>
      <c r="W122" s="82"/>
      <c r="X122" s="358"/>
      <c r="Y122" s="358"/>
      <c r="Z122" s="358"/>
      <c r="AA122" s="91"/>
      <c r="AB122" s="91"/>
      <c r="AC122" s="91"/>
      <c r="AD122" s="91"/>
      <c r="AE122" s="91"/>
      <c r="AF122" s="91"/>
      <c r="AG122" s="91"/>
      <c r="AH122" s="91"/>
      <c r="AI122" s="366"/>
      <c r="AJ122" s="91"/>
      <c r="AK122" s="2"/>
      <c r="AL122" s="2"/>
      <c r="AM122" s="2"/>
      <c r="AN122" s="2"/>
      <c r="AO122" s="2"/>
      <c r="AP122" s="2"/>
      <c r="AR122" s="2"/>
    </row>
    <row r="123" spans="1:44" ht="15.75" customHeight="1" x14ac:dyDescent="0.25">
      <c r="A123" s="358"/>
      <c r="B123" s="358"/>
      <c r="C123" s="91"/>
      <c r="D123" s="359"/>
      <c r="E123" s="359"/>
      <c r="F123" s="91"/>
      <c r="G123" s="91"/>
      <c r="H123" s="91"/>
      <c r="I123" s="91"/>
      <c r="J123" s="91"/>
      <c r="K123" s="91"/>
      <c r="L123" s="91"/>
      <c r="M123" s="91"/>
      <c r="N123" s="32">
        <f t="shared" si="2"/>
        <v>0</v>
      </c>
      <c r="O123" s="134"/>
      <c r="P123" s="410"/>
      <c r="Q123" s="17"/>
      <c r="R123" s="407"/>
      <c r="S123" s="84"/>
      <c r="T123" s="187"/>
      <c r="U123" s="76"/>
      <c r="V123" s="445"/>
      <c r="W123" s="82"/>
      <c r="X123" s="358"/>
      <c r="Y123" s="358"/>
      <c r="Z123" s="358"/>
      <c r="AA123" s="91"/>
      <c r="AB123" s="91"/>
      <c r="AC123" s="91"/>
      <c r="AD123" s="91"/>
      <c r="AE123" s="91"/>
      <c r="AF123" s="91"/>
      <c r="AG123" s="91"/>
      <c r="AH123" s="91"/>
      <c r="AI123" s="366"/>
      <c r="AJ123" s="91"/>
    </row>
    <row r="124" spans="1:44" s="270" customFormat="1" ht="15.75" customHeight="1" x14ac:dyDescent="0.25">
      <c r="A124" s="358"/>
      <c r="B124" s="358"/>
      <c r="C124" s="91"/>
      <c r="D124" s="359"/>
      <c r="E124" s="359"/>
      <c r="F124" s="91"/>
      <c r="G124" s="91"/>
      <c r="H124" s="91"/>
      <c r="I124" s="91"/>
      <c r="J124" s="91"/>
      <c r="K124" s="91"/>
      <c r="L124" s="91"/>
      <c r="M124" s="91"/>
      <c r="N124" s="32">
        <f t="shared" si="2"/>
        <v>0</v>
      </c>
      <c r="O124" s="16"/>
      <c r="P124" s="410"/>
      <c r="Q124" s="17"/>
      <c r="R124" s="407"/>
      <c r="S124" s="84"/>
      <c r="T124" s="187"/>
      <c r="U124" s="76"/>
      <c r="V124" s="445"/>
      <c r="W124" s="306"/>
      <c r="X124" s="358"/>
      <c r="Y124" s="358"/>
      <c r="Z124" s="358"/>
      <c r="AA124" s="91"/>
      <c r="AB124" s="91"/>
      <c r="AC124" s="91"/>
      <c r="AD124" s="91"/>
      <c r="AE124" s="91"/>
      <c r="AF124" s="91"/>
      <c r="AG124" s="91"/>
      <c r="AH124" s="91"/>
      <c r="AI124" s="366"/>
      <c r="AJ124" s="91"/>
      <c r="AK124" s="2"/>
      <c r="AL124" s="2"/>
      <c r="AM124" s="2"/>
      <c r="AN124" s="2"/>
      <c r="AO124" s="2"/>
      <c r="AP124" s="2"/>
      <c r="AR124" s="2"/>
    </row>
    <row r="125" spans="1:44" ht="15" customHeight="1" x14ac:dyDescent="0.25">
      <c r="A125" s="358"/>
      <c r="B125" s="358"/>
      <c r="C125" s="91"/>
      <c r="D125" s="359"/>
      <c r="E125" s="359"/>
      <c r="F125" s="91"/>
      <c r="G125" s="91"/>
      <c r="H125" s="91"/>
      <c r="I125" s="91"/>
      <c r="J125" s="91"/>
      <c r="K125" s="91"/>
      <c r="L125" s="91"/>
      <c r="M125" s="91"/>
      <c r="N125" s="32">
        <f t="shared" si="2"/>
        <v>0</v>
      </c>
      <c r="O125" s="16"/>
      <c r="P125" s="410"/>
      <c r="Q125" s="17"/>
      <c r="R125" s="407"/>
      <c r="S125" s="84"/>
      <c r="T125" s="187"/>
      <c r="U125" s="76"/>
      <c r="V125" s="445"/>
      <c r="W125" s="306"/>
      <c r="X125" s="358"/>
      <c r="Y125" s="358"/>
      <c r="Z125" s="358"/>
      <c r="AA125" s="91"/>
      <c r="AB125" s="91"/>
      <c r="AC125" s="91"/>
      <c r="AD125" s="91"/>
      <c r="AE125" s="91"/>
      <c r="AF125" s="91"/>
      <c r="AG125" s="91"/>
      <c r="AH125" s="91"/>
      <c r="AI125" s="366"/>
      <c r="AJ125" s="91"/>
      <c r="AK125" s="270"/>
      <c r="AL125" s="270"/>
      <c r="AM125" s="270"/>
      <c r="AN125" s="270"/>
      <c r="AO125" s="270"/>
    </row>
    <row r="126" spans="1:44" ht="15" customHeight="1" x14ac:dyDescent="0.25">
      <c r="A126" s="358"/>
      <c r="B126" s="358"/>
      <c r="C126" s="91"/>
      <c r="D126" s="359"/>
      <c r="E126" s="359"/>
      <c r="F126" s="91"/>
      <c r="G126" s="91"/>
      <c r="H126" s="91"/>
      <c r="I126" s="91"/>
      <c r="J126" s="91"/>
      <c r="K126" s="91"/>
      <c r="L126" s="91"/>
      <c r="M126" s="91"/>
      <c r="N126" s="32">
        <f t="shared" si="2"/>
        <v>0</v>
      </c>
      <c r="O126" s="16"/>
      <c r="P126" s="410"/>
      <c r="Q126" s="17"/>
      <c r="R126" s="407"/>
      <c r="S126" s="84"/>
      <c r="T126" s="187"/>
      <c r="U126" s="76"/>
      <c r="V126" s="445"/>
      <c r="W126" s="306"/>
      <c r="X126" s="358"/>
      <c r="Y126" s="358"/>
      <c r="Z126" s="358"/>
      <c r="AA126" s="91"/>
      <c r="AB126" s="91"/>
      <c r="AC126" s="91"/>
      <c r="AD126" s="91"/>
      <c r="AE126" s="91"/>
      <c r="AF126" s="91"/>
      <c r="AG126" s="91"/>
      <c r="AH126" s="91"/>
      <c r="AI126" s="366"/>
      <c r="AJ126" s="91"/>
      <c r="AP126" s="270"/>
    </row>
    <row r="127" spans="1:44" ht="15" customHeight="1" x14ac:dyDescent="0.25">
      <c r="A127" s="358"/>
      <c r="B127" s="358"/>
      <c r="C127" s="91"/>
      <c r="D127" s="91"/>
      <c r="E127" s="359"/>
      <c r="F127" s="91"/>
      <c r="G127" s="91"/>
      <c r="H127" s="91"/>
      <c r="I127" s="91"/>
      <c r="J127" s="91"/>
      <c r="K127" s="91"/>
      <c r="L127" s="91"/>
      <c r="M127" s="91"/>
      <c r="N127" s="32">
        <f t="shared" si="2"/>
        <v>0</v>
      </c>
      <c r="O127" s="261"/>
      <c r="P127" s="410"/>
      <c r="Q127" s="17"/>
      <c r="R127" s="407"/>
      <c r="S127" s="84"/>
      <c r="T127" s="187"/>
      <c r="U127" s="76"/>
      <c r="V127" s="445"/>
      <c r="W127" s="306"/>
      <c r="X127" s="358"/>
      <c r="Y127" s="358"/>
      <c r="Z127" s="358"/>
      <c r="AA127" s="91"/>
      <c r="AB127" s="91"/>
      <c r="AC127" s="91"/>
      <c r="AD127" s="91"/>
      <c r="AE127" s="91"/>
      <c r="AF127" s="91"/>
      <c r="AG127" s="91"/>
      <c r="AH127" s="91"/>
      <c r="AI127" s="366"/>
      <c r="AJ127" s="91"/>
    </row>
    <row r="128" spans="1:44" ht="15" customHeight="1" x14ac:dyDescent="0.25">
      <c r="A128" s="358"/>
      <c r="B128" s="358"/>
      <c r="C128" s="91"/>
      <c r="D128" s="359"/>
      <c r="E128" s="359"/>
      <c r="F128" s="91"/>
      <c r="G128" s="91"/>
      <c r="H128" s="91"/>
      <c r="I128" s="91"/>
      <c r="J128" s="91"/>
      <c r="K128" s="91"/>
      <c r="L128" s="91"/>
      <c r="M128" s="91"/>
      <c r="N128" s="32">
        <f t="shared" si="2"/>
        <v>0</v>
      </c>
      <c r="O128" s="134"/>
      <c r="P128" s="411"/>
      <c r="Q128" s="138"/>
      <c r="R128" s="408"/>
      <c r="S128" s="468"/>
      <c r="T128" s="189"/>
      <c r="U128" s="912"/>
      <c r="V128" s="445"/>
      <c r="W128" s="82"/>
      <c r="X128" s="358"/>
      <c r="Y128" s="358"/>
      <c r="Z128" s="358"/>
      <c r="AA128" s="91"/>
      <c r="AB128" s="91"/>
      <c r="AC128" s="91"/>
      <c r="AD128" s="91"/>
      <c r="AE128" s="91"/>
      <c r="AF128" s="91"/>
      <c r="AG128" s="91"/>
      <c r="AH128" s="91"/>
      <c r="AI128" s="366"/>
      <c r="AJ128" s="91"/>
    </row>
    <row r="129" spans="1:44" ht="15" customHeight="1" x14ac:dyDescent="0.25">
      <c r="A129" s="358"/>
      <c r="B129" s="358"/>
      <c r="C129" s="91"/>
      <c r="D129" s="359"/>
      <c r="E129" s="359"/>
      <c r="F129" s="91"/>
      <c r="G129" s="91"/>
      <c r="H129" s="91"/>
      <c r="I129" s="91"/>
      <c r="J129" s="91"/>
      <c r="K129" s="91"/>
      <c r="L129" s="91"/>
      <c r="M129" s="91"/>
      <c r="N129" s="32">
        <f t="shared" si="2"/>
        <v>0</v>
      </c>
      <c r="O129" s="16"/>
      <c r="P129" s="410"/>
      <c r="Q129" s="17"/>
      <c r="R129" s="407"/>
      <c r="S129" s="84"/>
      <c r="T129" s="187"/>
      <c r="U129" s="76"/>
      <c r="V129" s="445"/>
      <c r="W129" s="82"/>
      <c r="X129" s="358"/>
      <c r="Y129" s="358"/>
      <c r="Z129" s="358"/>
      <c r="AA129" s="91"/>
      <c r="AB129" s="91"/>
      <c r="AC129" s="91"/>
      <c r="AD129" s="91"/>
      <c r="AE129" s="91"/>
      <c r="AF129" s="91"/>
      <c r="AG129" s="91"/>
      <c r="AH129" s="91"/>
      <c r="AI129" s="366"/>
      <c r="AJ129" s="91"/>
      <c r="AR129" s="270"/>
    </row>
    <row r="130" spans="1:44" ht="15" customHeight="1" x14ac:dyDescent="0.25">
      <c r="A130" s="358"/>
      <c r="B130" s="358"/>
      <c r="C130" s="91"/>
      <c r="D130" s="359"/>
      <c r="E130" s="359"/>
      <c r="F130" s="91"/>
      <c r="G130" s="91"/>
      <c r="H130" s="91"/>
      <c r="I130" s="91"/>
      <c r="J130" s="91"/>
      <c r="K130" s="91"/>
      <c r="L130" s="91"/>
      <c r="M130" s="91"/>
      <c r="N130" s="32">
        <f t="shared" si="2"/>
        <v>0</v>
      </c>
      <c r="O130" s="16"/>
      <c r="P130" s="410"/>
      <c r="Q130" s="17"/>
      <c r="R130" s="407"/>
      <c r="S130" s="84"/>
      <c r="T130" s="187"/>
      <c r="U130" s="76"/>
      <c r="V130" s="445"/>
      <c r="W130" s="82"/>
      <c r="X130" s="358"/>
      <c r="Y130" s="358"/>
      <c r="Z130" s="358"/>
      <c r="AA130" s="91"/>
      <c r="AB130" s="91"/>
      <c r="AC130" s="91"/>
      <c r="AD130" s="91"/>
      <c r="AE130" s="91"/>
      <c r="AF130" s="91"/>
      <c r="AG130" s="91"/>
      <c r="AH130" s="91"/>
      <c r="AI130" s="366"/>
      <c r="AJ130" s="91"/>
      <c r="AR130" s="270"/>
    </row>
    <row r="131" spans="1:44" ht="15" customHeight="1" x14ac:dyDescent="0.25">
      <c r="A131" s="358"/>
      <c r="B131" s="358"/>
      <c r="C131" s="91"/>
      <c r="D131" s="359"/>
      <c r="E131" s="359"/>
      <c r="F131" s="91"/>
      <c r="G131" s="91"/>
      <c r="H131" s="91"/>
      <c r="I131" s="91"/>
      <c r="J131" s="91"/>
      <c r="K131" s="91"/>
      <c r="L131" s="91"/>
      <c r="M131" s="91"/>
      <c r="N131" s="32">
        <f t="shared" si="2"/>
        <v>0</v>
      </c>
      <c r="O131" s="16"/>
      <c r="P131" s="410"/>
      <c r="Q131" s="17"/>
      <c r="R131" s="407"/>
      <c r="S131" s="84"/>
      <c r="T131" s="187"/>
      <c r="U131" s="76"/>
      <c r="V131" s="445"/>
      <c r="W131" s="82"/>
      <c r="X131" s="358"/>
      <c r="Y131" s="358"/>
      <c r="Z131" s="358"/>
      <c r="AA131" s="91"/>
      <c r="AB131" s="91"/>
      <c r="AC131" s="91"/>
      <c r="AD131" s="91"/>
      <c r="AE131" s="91"/>
      <c r="AF131" s="91"/>
      <c r="AG131" s="91"/>
      <c r="AH131" s="91"/>
      <c r="AI131" s="366"/>
      <c r="AJ131" s="91"/>
      <c r="AK131" s="270"/>
      <c r="AL131" s="270"/>
      <c r="AM131" s="270"/>
      <c r="AN131" s="270"/>
      <c r="AO131" s="270"/>
    </row>
    <row r="132" spans="1:44" ht="15" customHeight="1" x14ac:dyDescent="0.25">
      <c r="A132" s="358"/>
      <c r="B132" s="358"/>
      <c r="C132" s="91"/>
      <c r="D132" s="359"/>
      <c r="E132" s="359"/>
      <c r="F132" s="91"/>
      <c r="G132" s="91"/>
      <c r="H132" s="91"/>
      <c r="I132" s="91"/>
      <c r="J132" s="91"/>
      <c r="K132" s="91"/>
      <c r="L132" s="91"/>
      <c r="M132" s="91"/>
      <c r="N132" s="32">
        <f t="shared" si="2"/>
        <v>0</v>
      </c>
      <c r="O132" s="16"/>
      <c r="P132" s="410"/>
      <c r="Q132" s="17"/>
      <c r="R132" s="407"/>
      <c r="S132" s="84"/>
      <c r="T132" s="187"/>
      <c r="U132" s="76"/>
      <c r="V132" s="445"/>
      <c r="W132" s="82"/>
      <c r="X132" s="358"/>
      <c r="Y132" s="358"/>
      <c r="Z132" s="358"/>
      <c r="AA132" s="91"/>
      <c r="AB132" s="91"/>
      <c r="AC132" s="91"/>
      <c r="AD132" s="91"/>
      <c r="AE132" s="91"/>
      <c r="AF132" s="91"/>
      <c r="AG132" s="91"/>
      <c r="AH132" s="91"/>
      <c r="AI132" s="366"/>
      <c r="AJ132" s="91"/>
      <c r="AP132" s="270"/>
    </row>
    <row r="133" spans="1:44" ht="15" customHeight="1" x14ac:dyDescent="0.25">
      <c r="A133" s="358"/>
      <c r="B133" s="358"/>
      <c r="C133" s="91"/>
      <c r="D133" s="359"/>
      <c r="E133" s="359"/>
      <c r="F133" s="91"/>
      <c r="G133" s="91"/>
      <c r="H133" s="91"/>
      <c r="I133" s="91"/>
      <c r="J133" s="91"/>
      <c r="K133" s="91"/>
      <c r="L133" s="91"/>
      <c r="M133" s="91"/>
      <c r="N133" s="32">
        <f t="shared" si="2"/>
        <v>0</v>
      </c>
      <c r="O133" s="134"/>
      <c r="P133" s="410"/>
      <c r="Q133" s="17"/>
      <c r="R133" s="407"/>
      <c r="S133" s="84"/>
      <c r="T133" s="187"/>
      <c r="U133" s="76"/>
      <c r="V133" s="445"/>
      <c r="W133" s="82"/>
      <c r="X133" s="358"/>
      <c r="Y133" s="358"/>
      <c r="Z133" s="358"/>
      <c r="AA133" s="91"/>
      <c r="AB133" s="91"/>
      <c r="AC133" s="91"/>
      <c r="AD133" s="91"/>
      <c r="AE133" s="91"/>
      <c r="AF133" s="91"/>
      <c r="AG133" s="91"/>
      <c r="AH133" s="91"/>
      <c r="AI133" s="366"/>
      <c r="AJ133" s="91"/>
    </row>
    <row r="134" spans="1:44" s="270" customFormat="1" ht="15" customHeight="1" x14ac:dyDescent="0.25">
      <c r="A134" s="358"/>
      <c r="B134" s="358"/>
      <c r="C134" s="91"/>
      <c r="D134" s="359"/>
      <c r="E134" s="364"/>
      <c r="F134" s="359"/>
      <c r="G134" s="91"/>
      <c r="H134" s="91"/>
      <c r="I134" s="91"/>
      <c r="J134" s="91"/>
      <c r="K134" s="91"/>
      <c r="L134" s="91"/>
      <c r="M134" s="91"/>
      <c r="N134" s="32">
        <f t="shared" si="2"/>
        <v>0</v>
      </c>
      <c r="O134" s="134"/>
      <c r="P134" s="410"/>
      <c r="Q134" s="17"/>
      <c r="R134" s="407"/>
      <c r="S134" s="84"/>
      <c r="T134" s="187"/>
      <c r="U134" s="76"/>
      <c r="V134" s="445"/>
      <c r="W134" s="82"/>
      <c r="X134" s="358"/>
      <c r="Y134" s="358"/>
      <c r="Z134" s="358"/>
      <c r="AA134" s="91"/>
      <c r="AB134" s="91"/>
      <c r="AC134" s="91"/>
      <c r="AD134" s="91"/>
      <c r="AE134" s="91"/>
      <c r="AF134" s="91"/>
      <c r="AG134" s="91"/>
      <c r="AH134" s="91"/>
      <c r="AI134" s="366"/>
      <c r="AJ134" s="91"/>
      <c r="AK134" s="2"/>
      <c r="AL134" s="2"/>
      <c r="AM134" s="2"/>
      <c r="AN134" s="2"/>
      <c r="AO134" s="2"/>
      <c r="AP134" s="2"/>
      <c r="AR134" s="2"/>
    </row>
    <row r="135" spans="1:44" s="270" customFormat="1" ht="15" customHeight="1" x14ac:dyDescent="0.25">
      <c r="A135" s="358"/>
      <c r="B135" s="358"/>
      <c r="C135" s="91"/>
      <c r="D135" s="359"/>
      <c r="E135" s="359"/>
      <c r="F135" s="91"/>
      <c r="G135" s="91"/>
      <c r="H135" s="91"/>
      <c r="I135" s="91"/>
      <c r="J135" s="91"/>
      <c r="K135" s="91"/>
      <c r="L135" s="91"/>
      <c r="M135" s="91"/>
      <c r="N135" s="32">
        <f t="shared" si="2"/>
        <v>0</v>
      </c>
      <c r="O135" s="16"/>
      <c r="P135" s="410"/>
      <c r="Q135" s="17"/>
      <c r="R135" s="407"/>
      <c r="S135" s="84"/>
      <c r="T135" s="187"/>
      <c r="U135" s="76"/>
      <c r="V135" s="445"/>
      <c r="W135" s="82"/>
      <c r="X135" s="358"/>
      <c r="Y135" s="358"/>
      <c r="Z135" s="358"/>
      <c r="AA135" s="91"/>
      <c r="AB135" s="91"/>
      <c r="AC135" s="91"/>
      <c r="AD135" s="91"/>
      <c r="AE135" s="91"/>
      <c r="AF135" s="91"/>
      <c r="AG135" s="91"/>
      <c r="AH135" s="91"/>
      <c r="AI135" s="366"/>
      <c r="AJ135" s="91"/>
      <c r="AK135" s="2"/>
      <c r="AL135" s="2"/>
      <c r="AM135" s="2"/>
      <c r="AN135" s="2"/>
      <c r="AO135" s="2"/>
      <c r="AP135" s="2"/>
    </row>
    <row r="136" spans="1:44" ht="15" customHeight="1" x14ac:dyDescent="0.25">
      <c r="A136" s="358"/>
      <c r="B136" s="358"/>
      <c r="C136" s="91"/>
      <c r="D136" s="359"/>
      <c r="E136" s="359"/>
      <c r="F136" s="91"/>
      <c r="G136" s="91"/>
      <c r="H136" s="91"/>
      <c r="I136" s="91"/>
      <c r="J136" s="91"/>
      <c r="K136" s="91"/>
      <c r="L136" s="91"/>
      <c r="M136" s="91"/>
      <c r="N136" s="32">
        <f t="shared" si="2"/>
        <v>0</v>
      </c>
      <c r="O136" s="16"/>
      <c r="P136" s="410"/>
      <c r="Q136" s="17"/>
      <c r="R136" s="407"/>
      <c r="S136" s="84"/>
      <c r="T136" s="187"/>
      <c r="U136" s="76"/>
      <c r="V136" s="445"/>
      <c r="W136" s="82"/>
      <c r="X136" s="358"/>
      <c r="Y136" s="358"/>
      <c r="Z136" s="358"/>
      <c r="AA136" s="91"/>
      <c r="AB136" s="91"/>
      <c r="AC136" s="91"/>
      <c r="AD136" s="91"/>
      <c r="AE136" s="91"/>
      <c r="AF136" s="91"/>
      <c r="AG136" s="91"/>
      <c r="AH136" s="91"/>
      <c r="AI136" s="366"/>
      <c r="AJ136" s="91"/>
      <c r="AK136" s="270"/>
      <c r="AL136" s="270"/>
      <c r="AM136" s="270"/>
      <c r="AN136" s="270"/>
      <c r="AO136" s="270"/>
    </row>
    <row r="137" spans="1:44" ht="15" customHeight="1" x14ac:dyDescent="0.25">
      <c r="A137" s="358"/>
      <c r="B137" s="358"/>
      <c r="C137" s="91"/>
      <c r="D137" s="359"/>
      <c r="E137" s="359"/>
      <c r="F137" s="91"/>
      <c r="G137" s="91"/>
      <c r="H137" s="91"/>
      <c r="I137" s="91"/>
      <c r="J137" s="91"/>
      <c r="K137" s="91"/>
      <c r="L137" s="91"/>
      <c r="M137" s="91"/>
      <c r="N137" s="32">
        <f t="shared" si="2"/>
        <v>0</v>
      </c>
      <c r="O137" s="134"/>
      <c r="P137" s="410"/>
      <c r="Q137" s="17"/>
      <c r="R137" s="407"/>
      <c r="S137" s="84"/>
      <c r="T137" s="187"/>
      <c r="U137" s="76"/>
      <c r="V137" s="445"/>
      <c r="W137" s="82"/>
      <c r="X137" s="358"/>
      <c r="Y137" s="358"/>
      <c r="Z137" s="358"/>
      <c r="AA137" s="91"/>
      <c r="AB137" s="91"/>
      <c r="AC137" s="91"/>
      <c r="AD137" s="91"/>
      <c r="AE137" s="91"/>
      <c r="AF137" s="91"/>
      <c r="AG137" s="91"/>
      <c r="AH137" s="91"/>
      <c r="AI137" s="366"/>
      <c r="AJ137" s="91"/>
    </row>
    <row r="138" spans="1:44" ht="15" customHeight="1" x14ac:dyDescent="0.25">
      <c r="A138" s="358"/>
      <c r="B138" s="358"/>
      <c r="C138" s="91"/>
      <c r="D138" s="359"/>
      <c r="E138" s="359"/>
      <c r="F138" s="91"/>
      <c r="G138" s="91"/>
      <c r="H138" s="91"/>
      <c r="I138" s="91"/>
      <c r="J138" s="91"/>
      <c r="K138" s="91"/>
      <c r="L138" s="91"/>
      <c r="M138" s="91"/>
      <c r="N138" s="32">
        <f t="shared" si="2"/>
        <v>0</v>
      </c>
      <c r="O138" s="16"/>
      <c r="P138" s="410"/>
      <c r="Q138" s="17"/>
      <c r="R138" s="407"/>
      <c r="S138" s="84"/>
      <c r="T138" s="187"/>
      <c r="U138" s="76"/>
      <c r="V138" s="445"/>
      <c r="W138" s="82"/>
      <c r="X138" s="358"/>
      <c r="Y138" s="358"/>
      <c r="Z138" s="358"/>
      <c r="AA138" s="91"/>
      <c r="AB138" s="91"/>
      <c r="AC138" s="91"/>
      <c r="AD138" s="91"/>
      <c r="AE138" s="91"/>
      <c r="AF138" s="91"/>
      <c r="AG138" s="91"/>
      <c r="AH138" s="91"/>
      <c r="AI138" s="366"/>
      <c r="AJ138" s="91"/>
    </row>
    <row r="139" spans="1:44" ht="15" customHeight="1" x14ac:dyDescent="0.25">
      <c r="A139" s="358"/>
      <c r="B139" s="358"/>
      <c r="C139" s="91"/>
      <c r="D139" s="359"/>
      <c r="E139" s="359"/>
      <c r="F139" s="91"/>
      <c r="G139" s="91"/>
      <c r="H139" s="91"/>
      <c r="I139" s="91"/>
      <c r="J139" s="91"/>
      <c r="K139" s="91"/>
      <c r="L139" s="91"/>
      <c r="M139" s="91"/>
      <c r="N139" s="32">
        <f t="shared" si="2"/>
        <v>0</v>
      </c>
      <c r="O139" s="134"/>
      <c r="P139" s="410"/>
      <c r="Q139" s="17"/>
      <c r="R139" s="407"/>
      <c r="S139" s="84"/>
      <c r="T139" s="187"/>
      <c r="U139" s="76"/>
      <c r="V139" s="445"/>
      <c r="W139" s="82"/>
      <c r="X139" s="358"/>
      <c r="Y139" s="358"/>
      <c r="Z139" s="358"/>
      <c r="AA139" s="91"/>
      <c r="AB139" s="91"/>
      <c r="AC139" s="91"/>
      <c r="AD139" s="91"/>
      <c r="AE139" s="91"/>
      <c r="AF139" s="91"/>
      <c r="AG139" s="91"/>
      <c r="AH139" s="91"/>
      <c r="AI139" s="366"/>
      <c r="AJ139" s="91"/>
    </row>
    <row r="140" spans="1:44" s="270" customFormat="1" ht="15" customHeight="1" x14ac:dyDescent="0.25">
      <c r="A140" s="358"/>
      <c r="B140" s="358"/>
      <c r="C140" s="91"/>
      <c r="D140" s="359"/>
      <c r="E140" s="359"/>
      <c r="F140" s="91"/>
      <c r="G140" s="91"/>
      <c r="H140" s="91"/>
      <c r="I140" s="91"/>
      <c r="J140" s="91"/>
      <c r="K140" s="91"/>
      <c r="L140" s="91"/>
      <c r="M140" s="91"/>
      <c r="N140" s="32">
        <f t="shared" si="2"/>
        <v>0</v>
      </c>
      <c r="O140" s="16"/>
      <c r="P140" s="410"/>
      <c r="Q140" s="17"/>
      <c r="R140" s="407"/>
      <c r="S140" s="84"/>
      <c r="T140" s="187"/>
      <c r="U140" s="76"/>
      <c r="V140" s="445"/>
      <c r="W140" s="82"/>
      <c r="X140" s="358"/>
      <c r="Y140" s="358"/>
      <c r="Z140" s="358"/>
      <c r="AA140" s="91"/>
      <c r="AB140" s="91"/>
      <c r="AC140" s="91"/>
      <c r="AD140" s="91"/>
      <c r="AE140" s="91"/>
      <c r="AF140" s="91"/>
      <c r="AG140" s="91"/>
      <c r="AH140" s="91"/>
      <c r="AI140" s="366"/>
      <c r="AJ140" s="91"/>
      <c r="AK140" s="2"/>
      <c r="AL140" s="2"/>
      <c r="AM140" s="2"/>
      <c r="AN140" s="2"/>
      <c r="AO140" s="2"/>
      <c r="AP140" s="2"/>
      <c r="AR140" s="2"/>
    </row>
    <row r="141" spans="1:44" ht="15" customHeight="1" x14ac:dyDescent="0.25">
      <c r="A141" s="358"/>
      <c r="B141" s="358"/>
      <c r="C141" s="91"/>
      <c r="D141" s="359"/>
      <c r="E141" s="359"/>
      <c r="F141" s="91"/>
      <c r="G141" s="91"/>
      <c r="H141" s="91"/>
      <c r="I141" s="91"/>
      <c r="J141" s="91"/>
      <c r="K141" s="91"/>
      <c r="L141" s="91"/>
      <c r="M141" s="91"/>
      <c r="N141" s="32">
        <f t="shared" si="2"/>
        <v>0</v>
      </c>
      <c r="O141" s="16"/>
      <c r="P141" s="410"/>
      <c r="Q141" s="17"/>
      <c r="R141" s="407"/>
      <c r="S141" s="84"/>
      <c r="T141" s="187"/>
      <c r="U141" s="76"/>
      <c r="V141" s="445"/>
      <c r="W141" s="306"/>
      <c r="X141" s="358"/>
      <c r="Y141" s="358"/>
      <c r="Z141" s="358"/>
      <c r="AA141" s="91"/>
      <c r="AB141" s="91"/>
      <c r="AC141" s="91"/>
      <c r="AD141" s="91"/>
      <c r="AE141" s="91"/>
      <c r="AF141" s="91"/>
      <c r="AG141" s="91"/>
      <c r="AH141" s="91"/>
      <c r="AI141" s="366"/>
      <c r="AJ141" s="91"/>
      <c r="AP141" s="270"/>
      <c r="AR141" s="270"/>
    </row>
    <row r="142" spans="1:44" ht="15" customHeight="1" x14ac:dyDescent="0.25">
      <c r="A142" s="358"/>
      <c r="B142" s="358"/>
      <c r="C142" s="91"/>
      <c r="D142" s="359"/>
      <c r="E142" s="359"/>
      <c r="F142" s="91"/>
      <c r="G142" s="91"/>
      <c r="H142" s="91"/>
      <c r="I142" s="91"/>
      <c r="J142" s="91"/>
      <c r="K142" s="91"/>
      <c r="L142" s="91"/>
      <c r="M142" s="91"/>
      <c r="N142" s="32">
        <f t="shared" ref="N142:N205" si="3">SUM(O142:W142)</f>
        <v>0</v>
      </c>
      <c r="O142" s="134"/>
      <c r="P142" s="411"/>
      <c r="Q142" s="138"/>
      <c r="R142" s="408"/>
      <c r="S142" s="84"/>
      <c r="T142" s="187"/>
      <c r="U142" s="76"/>
      <c r="V142" s="445"/>
      <c r="W142" s="82"/>
      <c r="X142" s="358"/>
      <c r="Y142" s="358"/>
      <c r="Z142" s="358"/>
      <c r="AA142" s="91"/>
      <c r="AB142" s="91"/>
      <c r="AC142" s="91"/>
      <c r="AD142" s="91"/>
      <c r="AE142" s="91"/>
      <c r="AF142" s="91"/>
      <c r="AG142" s="91"/>
      <c r="AH142" s="91"/>
      <c r="AI142" s="366"/>
      <c r="AJ142" s="91"/>
    </row>
    <row r="143" spans="1:44" ht="15" customHeight="1" x14ac:dyDescent="0.25">
      <c r="A143" s="358"/>
      <c r="B143" s="358"/>
      <c r="C143" s="91"/>
      <c r="D143" s="359"/>
      <c r="E143" s="359"/>
      <c r="F143" s="91"/>
      <c r="G143" s="91"/>
      <c r="H143" s="91"/>
      <c r="I143" s="91"/>
      <c r="J143" s="91"/>
      <c r="K143" s="91"/>
      <c r="L143" s="91"/>
      <c r="M143" s="91"/>
      <c r="N143" s="32">
        <f t="shared" si="3"/>
        <v>0</v>
      </c>
      <c r="O143" s="134"/>
      <c r="P143" s="411"/>
      <c r="Q143" s="138"/>
      <c r="R143" s="408"/>
      <c r="S143" s="84"/>
      <c r="T143" s="187"/>
      <c r="U143" s="76"/>
      <c r="V143" s="445"/>
      <c r="W143" s="82"/>
      <c r="X143" s="358"/>
      <c r="Y143" s="358"/>
      <c r="Z143" s="358"/>
      <c r="AA143" s="91"/>
      <c r="AB143" s="91"/>
      <c r="AC143" s="91"/>
      <c r="AD143" s="91"/>
      <c r="AE143" s="91"/>
      <c r="AF143" s="91"/>
      <c r="AG143" s="91"/>
      <c r="AH143" s="91"/>
      <c r="AI143" s="366"/>
      <c r="AJ143" s="91"/>
    </row>
    <row r="144" spans="1:44" ht="15" customHeight="1" x14ac:dyDescent="0.25">
      <c r="A144" s="358"/>
      <c r="B144" s="358"/>
      <c r="C144" s="91"/>
      <c r="D144" s="359"/>
      <c r="E144" s="359"/>
      <c r="F144" s="91"/>
      <c r="G144" s="91"/>
      <c r="H144" s="91"/>
      <c r="I144" s="91"/>
      <c r="J144" s="91"/>
      <c r="K144" s="91"/>
      <c r="L144" s="91"/>
      <c r="M144" s="91"/>
      <c r="N144" s="32">
        <f t="shared" si="3"/>
        <v>0</v>
      </c>
      <c r="O144" s="134"/>
      <c r="P144" s="411"/>
      <c r="Q144" s="138"/>
      <c r="R144" s="408"/>
      <c r="S144" s="84"/>
      <c r="T144" s="187"/>
      <c r="U144" s="76"/>
      <c r="V144" s="445"/>
      <c r="W144" s="82"/>
      <c r="X144" s="358"/>
      <c r="Y144" s="358"/>
      <c r="Z144" s="358"/>
      <c r="AA144" s="91"/>
      <c r="AB144" s="91"/>
      <c r="AC144" s="91"/>
      <c r="AD144" s="91"/>
      <c r="AE144" s="91"/>
      <c r="AF144" s="91"/>
      <c r="AG144" s="91"/>
      <c r="AH144" s="91"/>
      <c r="AI144" s="366"/>
      <c r="AJ144" s="91"/>
    </row>
    <row r="145" spans="1:44" ht="15" customHeight="1" x14ac:dyDescent="0.25">
      <c r="A145" s="358"/>
      <c r="B145" s="358"/>
      <c r="C145" s="91"/>
      <c r="D145" s="359"/>
      <c r="E145" s="359"/>
      <c r="F145" s="91"/>
      <c r="G145" s="91"/>
      <c r="H145" s="91"/>
      <c r="I145" s="91"/>
      <c r="J145" s="91"/>
      <c r="K145" s="91"/>
      <c r="L145" s="91"/>
      <c r="M145" s="91"/>
      <c r="N145" s="32">
        <f t="shared" si="3"/>
        <v>0</v>
      </c>
      <c r="O145" s="134"/>
      <c r="P145" s="410"/>
      <c r="Q145" s="17"/>
      <c r="R145" s="407"/>
      <c r="S145" s="84"/>
      <c r="T145" s="187"/>
      <c r="U145" s="76"/>
      <c r="V145" s="445"/>
      <c r="W145" s="82"/>
      <c r="X145" s="358"/>
      <c r="Y145" s="358"/>
      <c r="Z145" s="358"/>
      <c r="AA145" s="91"/>
      <c r="AB145" s="91"/>
      <c r="AC145" s="91"/>
      <c r="AD145" s="91"/>
      <c r="AE145" s="91"/>
      <c r="AF145" s="91"/>
      <c r="AG145" s="91"/>
      <c r="AH145" s="91"/>
      <c r="AI145" s="366"/>
      <c r="AJ145" s="91"/>
    </row>
    <row r="146" spans="1:44" s="270" customFormat="1" ht="15" customHeight="1" x14ac:dyDescent="0.25">
      <c r="A146" s="358"/>
      <c r="B146" s="358"/>
      <c r="C146" s="91"/>
      <c r="D146" s="359"/>
      <c r="E146" s="359"/>
      <c r="F146" s="91"/>
      <c r="G146" s="183"/>
      <c r="H146" s="91"/>
      <c r="I146" s="91"/>
      <c r="J146" s="91"/>
      <c r="K146" s="91"/>
      <c r="L146" s="91"/>
      <c r="M146" s="91"/>
      <c r="N146" s="32">
        <f t="shared" si="3"/>
        <v>0</v>
      </c>
      <c r="O146" s="16"/>
      <c r="P146" s="410"/>
      <c r="Q146" s="17"/>
      <c r="R146" s="407"/>
      <c r="S146" s="84"/>
      <c r="T146" s="187"/>
      <c r="U146" s="76"/>
      <c r="V146" s="445"/>
      <c r="W146" s="82"/>
      <c r="X146" s="358"/>
      <c r="Y146" s="358"/>
      <c r="Z146" s="358"/>
      <c r="AA146" s="91"/>
      <c r="AB146" s="91"/>
      <c r="AC146" s="91"/>
      <c r="AD146" s="91"/>
      <c r="AE146" s="91"/>
      <c r="AF146" s="91"/>
      <c r="AG146" s="91"/>
      <c r="AH146" s="91"/>
      <c r="AI146" s="366"/>
      <c r="AJ146" s="91"/>
      <c r="AP146" s="2"/>
      <c r="AR146" s="2"/>
    </row>
    <row r="147" spans="1:44" ht="15" customHeight="1" x14ac:dyDescent="0.25">
      <c r="A147" s="358"/>
      <c r="B147" s="358"/>
      <c r="C147" s="91"/>
      <c r="D147" s="359"/>
      <c r="E147" s="359"/>
      <c r="F147" s="91"/>
      <c r="G147" s="91"/>
      <c r="H147" s="91"/>
      <c r="I147" s="91"/>
      <c r="J147" s="91"/>
      <c r="K147" s="91"/>
      <c r="L147" s="91"/>
      <c r="M147" s="91"/>
      <c r="N147" s="32">
        <f t="shared" si="3"/>
        <v>0</v>
      </c>
      <c r="O147" s="134"/>
      <c r="P147" s="410"/>
      <c r="Q147" s="17"/>
      <c r="R147" s="407"/>
      <c r="S147" s="84"/>
      <c r="T147" s="187"/>
      <c r="U147" s="76"/>
      <c r="V147" s="445"/>
      <c r="W147" s="82"/>
      <c r="X147" s="358"/>
      <c r="Y147" s="358"/>
      <c r="Z147" s="358"/>
      <c r="AA147" s="91"/>
      <c r="AB147" s="91"/>
      <c r="AC147" s="91"/>
      <c r="AD147" s="91"/>
      <c r="AE147" s="91"/>
      <c r="AF147" s="91"/>
      <c r="AG147" s="91"/>
      <c r="AH147" s="91"/>
      <c r="AI147" s="366"/>
      <c r="AJ147" s="91"/>
    </row>
    <row r="148" spans="1:44" ht="15" customHeight="1" x14ac:dyDescent="0.25">
      <c r="A148" s="358"/>
      <c r="B148" s="358"/>
      <c r="C148" s="91"/>
      <c r="D148" s="359"/>
      <c r="E148" s="359"/>
      <c r="F148" s="91"/>
      <c r="G148" s="91"/>
      <c r="H148" s="91"/>
      <c r="I148" s="91"/>
      <c r="J148" s="91"/>
      <c r="K148" s="91"/>
      <c r="L148" s="91"/>
      <c r="M148" s="91"/>
      <c r="N148" s="32">
        <f t="shared" si="3"/>
        <v>0</v>
      </c>
      <c r="O148" s="16"/>
      <c r="P148" s="410"/>
      <c r="Q148" s="17"/>
      <c r="R148" s="407"/>
      <c r="S148" s="84"/>
      <c r="T148" s="187"/>
      <c r="U148" s="76"/>
      <c r="V148" s="445"/>
      <c r="W148" s="82"/>
      <c r="X148" s="358"/>
      <c r="Y148" s="358"/>
      <c r="Z148" s="358"/>
      <c r="AA148" s="91"/>
      <c r="AB148" s="91"/>
      <c r="AC148" s="91"/>
      <c r="AD148" s="91"/>
      <c r="AE148" s="91"/>
      <c r="AF148" s="91"/>
      <c r="AG148" s="91"/>
      <c r="AH148" s="91"/>
      <c r="AI148" s="366"/>
      <c r="AJ148" s="91"/>
    </row>
    <row r="149" spans="1:44" ht="15" customHeight="1" x14ac:dyDescent="0.25">
      <c r="A149" s="358"/>
      <c r="B149" s="358"/>
      <c r="C149" s="91"/>
      <c r="D149" s="359"/>
      <c r="E149" s="359"/>
      <c r="F149" s="91"/>
      <c r="G149" s="91"/>
      <c r="H149" s="91"/>
      <c r="I149" s="91"/>
      <c r="J149" s="91"/>
      <c r="K149" s="91"/>
      <c r="L149" s="91"/>
      <c r="M149" s="91"/>
      <c r="N149" s="32">
        <f t="shared" si="3"/>
        <v>0</v>
      </c>
      <c r="O149" s="16"/>
      <c r="P149" s="410"/>
      <c r="Q149" s="17"/>
      <c r="R149" s="407"/>
      <c r="S149" s="84"/>
      <c r="T149" s="187"/>
      <c r="U149" s="76"/>
      <c r="V149" s="445"/>
      <c r="W149" s="82"/>
      <c r="X149" s="358"/>
      <c r="Y149" s="358"/>
      <c r="Z149" s="358"/>
      <c r="AA149" s="91"/>
      <c r="AB149" s="91"/>
      <c r="AC149" s="91"/>
      <c r="AD149" s="91"/>
      <c r="AE149" s="91"/>
      <c r="AF149" s="91"/>
      <c r="AG149" s="91"/>
      <c r="AH149" s="91"/>
      <c r="AI149" s="366"/>
      <c r="AJ149" s="91"/>
      <c r="AR149" s="270"/>
    </row>
    <row r="150" spans="1:44" ht="15" customHeight="1" x14ac:dyDescent="0.25">
      <c r="A150" s="358"/>
      <c r="B150" s="358"/>
      <c r="C150" s="91"/>
      <c r="D150" s="359"/>
      <c r="E150" s="359"/>
      <c r="F150" s="91"/>
      <c r="G150" s="91"/>
      <c r="H150" s="91"/>
      <c r="I150" s="91"/>
      <c r="J150" s="91"/>
      <c r="K150" s="91"/>
      <c r="L150" s="91"/>
      <c r="M150" s="91"/>
      <c r="N150" s="32">
        <f t="shared" si="3"/>
        <v>0</v>
      </c>
      <c r="O150" s="16"/>
      <c r="P150" s="410"/>
      <c r="Q150" s="17"/>
      <c r="R150" s="407"/>
      <c r="S150" s="84"/>
      <c r="T150" s="187"/>
      <c r="U150" s="76"/>
      <c r="V150" s="445"/>
      <c r="W150" s="82"/>
      <c r="X150" s="358"/>
      <c r="Y150" s="358"/>
      <c r="Z150" s="358"/>
      <c r="AA150" s="91"/>
      <c r="AB150" s="91"/>
      <c r="AC150" s="91"/>
      <c r="AD150" s="91"/>
      <c r="AE150" s="91"/>
      <c r="AF150" s="91"/>
      <c r="AG150" s="91"/>
      <c r="AH150" s="91"/>
      <c r="AI150" s="366"/>
      <c r="AJ150" s="91"/>
    </row>
    <row r="151" spans="1:44" ht="15" customHeight="1" x14ac:dyDescent="0.25">
      <c r="A151" s="358"/>
      <c r="B151" s="358"/>
      <c r="C151" s="91"/>
      <c r="D151" s="359"/>
      <c r="E151" s="359"/>
      <c r="F151" s="91"/>
      <c r="G151" s="91"/>
      <c r="H151" s="91"/>
      <c r="I151" s="91"/>
      <c r="J151" s="91"/>
      <c r="K151" s="91"/>
      <c r="L151" s="91"/>
      <c r="M151" s="91"/>
      <c r="N151" s="32">
        <f t="shared" si="3"/>
        <v>0</v>
      </c>
      <c r="O151" s="16"/>
      <c r="P151" s="410"/>
      <c r="Q151" s="17"/>
      <c r="R151" s="407"/>
      <c r="S151" s="84"/>
      <c r="T151" s="187"/>
      <c r="U151" s="76"/>
      <c r="V151" s="445"/>
      <c r="W151" s="306"/>
      <c r="X151" s="358"/>
      <c r="Y151" s="358"/>
      <c r="Z151" s="358"/>
      <c r="AA151" s="91"/>
      <c r="AB151" s="91"/>
      <c r="AC151" s="91"/>
      <c r="AD151" s="91"/>
      <c r="AE151" s="91"/>
      <c r="AF151" s="91"/>
      <c r="AG151" s="91"/>
      <c r="AH151" s="91"/>
      <c r="AI151" s="366"/>
      <c r="AJ151" s="91"/>
      <c r="AP151" s="270"/>
    </row>
    <row r="152" spans="1:44" ht="15" customHeight="1" x14ac:dyDescent="0.25">
      <c r="A152" s="358"/>
      <c r="B152" s="358"/>
      <c r="C152" s="365"/>
      <c r="D152" s="359"/>
      <c r="E152" s="359"/>
      <c r="F152" s="91"/>
      <c r="G152" s="91"/>
      <c r="H152" s="91"/>
      <c r="I152" s="91"/>
      <c r="J152" s="91"/>
      <c r="K152" s="91"/>
      <c r="L152" s="91"/>
      <c r="M152" s="91"/>
      <c r="N152" s="32">
        <f t="shared" si="3"/>
        <v>0</v>
      </c>
      <c r="O152" s="16"/>
      <c r="P152" s="410"/>
      <c r="Q152" s="17"/>
      <c r="R152" s="407"/>
      <c r="S152" s="84"/>
      <c r="T152" s="187"/>
      <c r="U152" s="76"/>
      <c r="V152" s="445"/>
      <c r="W152" s="82"/>
      <c r="X152" s="358"/>
      <c r="Y152" s="358"/>
      <c r="Z152" s="358"/>
      <c r="AA152" s="91"/>
      <c r="AB152" s="91"/>
      <c r="AC152" s="91"/>
      <c r="AD152" s="91"/>
      <c r="AE152" s="91"/>
      <c r="AF152" s="91"/>
      <c r="AG152" s="91"/>
      <c r="AH152" s="91"/>
      <c r="AI152" s="366"/>
      <c r="AJ152" s="91"/>
    </row>
    <row r="153" spans="1:44" ht="15" customHeight="1" x14ac:dyDescent="0.25">
      <c r="A153" s="358"/>
      <c r="B153" s="358"/>
      <c r="C153" s="91"/>
      <c r="D153" s="359"/>
      <c r="E153" s="359"/>
      <c r="F153" s="91"/>
      <c r="G153" s="91"/>
      <c r="H153" s="91"/>
      <c r="I153" s="91"/>
      <c r="J153" s="91"/>
      <c r="K153" s="91"/>
      <c r="L153" s="91"/>
      <c r="M153" s="91"/>
      <c r="N153" s="32">
        <f t="shared" si="3"/>
        <v>0</v>
      </c>
      <c r="O153" s="16"/>
      <c r="P153" s="410"/>
      <c r="Q153" s="17"/>
      <c r="R153" s="407"/>
      <c r="S153" s="84"/>
      <c r="T153" s="187"/>
      <c r="U153" s="76"/>
      <c r="V153" s="445"/>
      <c r="W153" s="82"/>
      <c r="X153" s="358"/>
      <c r="Y153" s="358"/>
      <c r="Z153" s="358"/>
      <c r="AA153" s="91"/>
      <c r="AB153" s="91"/>
      <c r="AC153" s="91"/>
      <c r="AD153" s="91"/>
      <c r="AE153" s="91"/>
      <c r="AF153" s="91"/>
      <c r="AG153" s="91"/>
      <c r="AH153" s="91"/>
      <c r="AI153" s="366"/>
      <c r="AJ153" s="91"/>
    </row>
    <row r="154" spans="1:44" ht="15" customHeight="1" x14ac:dyDescent="0.25">
      <c r="A154" s="358"/>
      <c r="B154" s="358"/>
      <c r="C154" s="91"/>
      <c r="D154" s="359"/>
      <c r="E154" s="359"/>
      <c r="F154" s="91"/>
      <c r="G154" s="91"/>
      <c r="H154" s="91"/>
      <c r="I154" s="91"/>
      <c r="J154" s="91"/>
      <c r="K154" s="91"/>
      <c r="L154" s="91"/>
      <c r="M154" s="91"/>
      <c r="N154" s="32">
        <f t="shared" si="3"/>
        <v>0</v>
      </c>
      <c r="O154" s="134"/>
      <c r="P154" s="410"/>
      <c r="Q154" s="17"/>
      <c r="R154" s="407"/>
      <c r="S154" s="84"/>
      <c r="T154" s="187"/>
      <c r="U154" s="76"/>
      <c r="V154" s="445"/>
      <c r="W154" s="82"/>
      <c r="X154" s="358"/>
      <c r="Y154" s="358"/>
      <c r="Z154" s="358"/>
      <c r="AA154" s="91"/>
      <c r="AB154" s="91"/>
      <c r="AC154" s="91"/>
      <c r="AD154" s="91"/>
      <c r="AE154" s="91"/>
      <c r="AF154" s="91"/>
      <c r="AG154" s="91"/>
      <c r="AH154" s="91"/>
      <c r="AI154" s="366"/>
      <c r="AJ154" s="91"/>
    </row>
    <row r="155" spans="1:44" ht="15" customHeight="1" x14ac:dyDescent="0.25">
      <c r="A155" s="358"/>
      <c r="B155" s="358"/>
      <c r="C155" s="91"/>
      <c r="D155" s="359"/>
      <c r="E155" s="359"/>
      <c r="F155" s="91"/>
      <c r="G155" s="91"/>
      <c r="H155" s="91"/>
      <c r="I155" s="91"/>
      <c r="J155" s="91"/>
      <c r="K155" s="91"/>
      <c r="L155" s="91"/>
      <c r="M155" s="91"/>
      <c r="N155" s="32">
        <f t="shared" si="3"/>
        <v>0</v>
      </c>
      <c r="O155" s="134"/>
      <c r="P155" s="410"/>
      <c r="Q155" s="17"/>
      <c r="R155" s="407"/>
      <c r="S155" s="84"/>
      <c r="T155" s="187"/>
      <c r="U155" s="76"/>
      <c r="V155" s="445"/>
      <c r="W155" s="82"/>
      <c r="X155" s="358"/>
      <c r="Y155" s="358"/>
      <c r="Z155" s="358"/>
      <c r="AA155" s="91"/>
      <c r="AB155" s="91"/>
      <c r="AC155" s="91"/>
      <c r="AD155" s="91"/>
      <c r="AE155" s="91"/>
      <c r="AF155" s="91"/>
      <c r="AG155" s="91"/>
      <c r="AH155" s="91"/>
      <c r="AI155" s="366"/>
      <c r="AJ155" s="91"/>
    </row>
    <row r="156" spans="1:44" s="270" customFormat="1" ht="15" customHeight="1" x14ac:dyDescent="0.25">
      <c r="A156" s="358"/>
      <c r="B156" s="358"/>
      <c r="C156" s="91"/>
      <c r="D156" s="359"/>
      <c r="E156" s="359"/>
      <c r="F156" s="91"/>
      <c r="G156" s="91"/>
      <c r="H156" s="91"/>
      <c r="I156" s="91"/>
      <c r="J156" s="91"/>
      <c r="K156" s="91"/>
      <c r="L156" s="91"/>
      <c r="M156" s="91"/>
      <c r="N156" s="32">
        <f t="shared" si="3"/>
        <v>0</v>
      </c>
      <c r="O156" s="16"/>
      <c r="P156" s="410"/>
      <c r="Q156" s="17"/>
      <c r="R156" s="407"/>
      <c r="S156" s="84"/>
      <c r="T156" s="187"/>
      <c r="U156" s="76"/>
      <c r="V156" s="445"/>
      <c r="W156" s="82"/>
      <c r="X156" s="358"/>
      <c r="Y156" s="358"/>
      <c r="Z156" s="358"/>
      <c r="AA156" s="91"/>
      <c r="AB156" s="91"/>
      <c r="AC156" s="91"/>
      <c r="AD156" s="91"/>
      <c r="AE156" s="91"/>
      <c r="AF156" s="91"/>
      <c r="AG156" s="91"/>
      <c r="AH156" s="91"/>
      <c r="AI156" s="366"/>
      <c r="AJ156" s="91"/>
      <c r="AK156" s="2"/>
      <c r="AL156" s="2"/>
      <c r="AM156" s="2"/>
      <c r="AN156" s="2"/>
      <c r="AO156" s="2"/>
      <c r="AP156" s="2"/>
      <c r="AR156" s="2"/>
    </row>
    <row r="157" spans="1:44" ht="15" customHeight="1" x14ac:dyDescent="0.25">
      <c r="A157" s="358"/>
      <c r="B157" s="358"/>
      <c r="C157" s="91"/>
      <c r="D157" s="359"/>
      <c r="E157" s="359"/>
      <c r="F157" s="91"/>
      <c r="G157" s="91"/>
      <c r="H157" s="91"/>
      <c r="I157" s="91"/>
      <c r="J157" s="91"/>
      <c r="K157" s="91"/>
      <c r="L157" s="91"/>
      <c r="M157" s="91"/>
      <c r="N157" s="32">
        <f t="shared" si="3"/>
        <v>0</v>
      </c>
      <c r="O157" s="134"/>
      <c r="P157" s="410"/>
      <c r="Q157" s="17"/>
      <c r="R157" s="407"/>
      <c r="S157" s="84"/>
      <c r="T157" s="187"/>
      <c r="U157" s="76"/>
      <c r="V157" s="445"/>
      <c r="W157" s="82"/>
      <c r="X157" s="358"/>
      <c r="Y157" s="358"/>
      <c r="Z157" s="358"/>
      <c r="AA157" s="91"/>
      <c r="AB157" s="91"/>
      <c r="AC157" s="91"/>
      <c r="AD157" s="91"/>
      <c r="AE157" s="91"/>
      <c r="AF157" s="91"/>
      <c r="AG157" s="91"/>
      <c r="AH157" s="91"/>
      <c r="AI157" s="366"/>
      <c r="AJ157" s="91"/>
    </row>
    <row r="158" spans="1:44" ht="15" customHeight="1" x14ac:dyDescent="0.25">
      <c r="A158" s="358"/>
      <c r="B158" s="358"/>
      <c r="C158" s="91"/>
      <c r="D158" s="359"/>
      <c r="E158" s="359"/>
      <c r="F158" s="91"/>
      <c r="G158" s="91"/>
      <c r="H158" s="91"/>
      <c r="I158" s="91"/>
      <c r="J158" s="91"/>
      <c r="K158" s="91"/>
      <c r="L158" s="91"/>
      <c r="M158" s="91"/>
      <c r="N158" s="32">
        <f t="shared" si="3"/>
        <v>0</v>
      </c>
      <c r="O158" s="16"/>
      <c r="P158" s="410"/>
      <c r="Q158" s="17"/>
      <c r="R158" s="407"/>
      <c r="S158" s="84"/>
      <c r="T158" s="187"/>
      <c r="U158" s="76"/>
      <c r="V158" s="445"/>
      <c r="W158" s="82"/>
      <c r="X158" s="358"/>
      <c r="Y158" s="358"/>
      <c r="Z158" s="358"/>
      <c r="AA158" s="91"/>
      <c r="AB158" s="91"/>
      <c r="AC158" s="91"/>
      <c r="AD158" s="91"/>
      <c r="AE158" s="91"/>
      <c r="AF158" s="91"/>
      <c r="AG158" s="91"/>
      <c r="AH158" s="91"/>
      <c r="AI158" s="366"/>
      <c r="AJ158" s="91"/>
    </row>
    <row r="159" spans="1:44" ht="15" customHeight="1" x14ac:dyDescent="0.25">
      <c r="A159" s="358"/>
      <c r="B159" s="358"/>
      <c r="C159" s="91"/>
      <c r="D159" s="359"/>
      <c r="E159" s="359"/>
      <c r="F159" s="91"/>
      <c r="G159" s="91"/>
      <c r="H159" s="91"/>
      <c r="I159" s="91"/>
      <c r="J159" s="91"/>
      <c r="K159" s="91"/>
      <c r="L159" s="91"/>
      <c r="M159" s="91"/>
      <c r="N159" s="32">
        <f t="shared" si="3"/>
        <v>0</v>
      </c>
      <c r="O159" s="336"/>
      <c r="P159" s="410"/>
      <c r="Q159" s="17"/>
      <c r="R159" s="407"/>
      <c r="S159" s="84"/>
      <c r="T159" s="187"/>
      <c r="U159" s="76"/>
      <c r="V159" s="445"/>
      <c r="W159" s="82"/>
      <c r="X159" s="358"/>
      <c r="Y159" s="358"/>
      <c r="Z159" s="358"/>
      <c r="AA159" s="91"/>
      <c r="AB159" s="91"/>
      <c r="AC159" s="91"/>
      <c r="AD159" s="91"/>
      <c r="AE159" s="91"/>
      <c r="AF159" s="91"/>
      <c r="AG159" s="91"/>
      <c r="AH159" s="91"/>
      <c r="AI159" s="366"/>
      <c r="AJ159" s="91"/>
      <c r="AR159" s="270"/>
    </row>
    <row r="160" spans="1:44" ht="15" customHeight="1" x14ac:dyDescent="0.25">
      <c r="A160" s="358"/>
      <c r="B160" s="358"/>
      <c r="C160" s="91"/>
      <c r="D160" s="359"/>
      <c r="E160" s="359"/>
      <c r="F160" s="91"/>
      <c r="G160" s="91"/>
      <c r="H160" s="91"/>
      <c r="I160" s="91"/>
      <c r="J160" s="91"/>
      <c r="K160" s="91"/>
      <c r="L160" s="91"/>
      <c r="M160" s="91"/>
      <c r="N160" s="32">
        <f t="shared" si="3"/>
        <v>0</v>
      </c>
      <c r="O160" s="336"/>
      <c r="P160" s="410"/>
      <c r="Q160" s="17"/>
      <c r="R160" s="407"/>
      <c r="S160" s="84"/>
      <c r="T160" s="187"/>
      <c r="U160" s="76"/>
      <c r="V160" s="445"/>
      <c r="W160" s="82"/>
      <c r="X160" s="358"/>
      <c r="Y160" s="358"/>
      <c r="Z160" s="358"/>
      <c r="AA160" s="91"/>
      <c r="AB160" s="91"/>
      <c r="AC160" s="91"/>
      <c r="AD160" s="91"/>
      <c r="AE160" s="91"/>
      <c r="AF160" s="91"/>
      <c r="AG160" s="91"/>
      <c r="AH160" s="91"/>
      <c r="AI160" s="366"/>
      <c r="AJ160" s="91"/>
    </row>
    <row r="161" spans="1:44" ht="15" customHeight="1" x14ac:dyDescent="0.25">
      <c r="A161" s="358"/>
      <c r="B161" s="358"/>
      <c r="C161" s="91"/>
      <c r="D161" s="359"/>
      <c r="E161" s="359"/>
      <c r="F161" s="91"/>
      <c r="G161" s="91"/>
      <c r="H161" s="91"/>
      <c r="I161" s="91"/>
      <c r="J161" s="91"/>
      <c r="K161" s="91"/>
      <c r="L161" s="91"/>
      <c r="M161" s="91"/>
      <c r="N161" s="32">
        <f t="shared" si="3"/>
        <v>0</v>
      </c>
      <c r="O161" s="335"/>
      <c r="P161" s="410"/>
      <c r="Q161" s="17"/>
      <c r="R161" s="407"/>
      <c r="S161" s="84"/>
      <c r="T161" s="187"/>
      <c r="U161" s="76"/>
      <c r="V161" s="445"/>
      <c r="W161" s="82"/>
      <c r="X161" s="358"/>
      <c r="Y161" s="358"/>
      <c r="Z161" s="358"/>
      <c r="AA161" s="91"/>
      <c r="AB161" s="91"/>
      <c r="AC161" s="91"/>
      <c r="AD161" s="91"/>
      <c r="AE161" s="91"/>
      <c r="AF161" s="91"/>
      <c r="AG161" s="91"/>
      <c r="AH161" s="91"/>
      <c r="AI161" s="366"/>
      <c r="AJ161" s="91"/>
    </row>
    <row r="162" spans="1:44" ht="15" customHeight="1" x14ac:dyDescent="0.25">
      <c r="A162" s="358"/>
      <c r="B162" s="358"/>
      <c r="C162" s="91"/>
      <c r="D162" s="359"/>
      <c r="E162" s="359"/>
      <c r="F162" s="91"/>
      <c r="G162" s="91"/>
      <c r="H162" s="91"/>
      <c r="I162" s="91"/>
      <c r="J162" s="91"/>
      <c r="K162" s="91"/>
      <c r="L162" s="91"/>
      <c r="M162" s="91"/>
      <c r="N162" s="32">
        <f t="shared" si="3"/>
        <v>0</v>
      </c>
      <c r="O162" s="16"/>
      <c r="P162" s="410"/>
      <c r="Q162" s="17"/>
      <c r="R162" s="407"/>
      <c r="S162" s="84"/>
      <c r="T162" s="187"/>
      <c r="U162" s="76"/>
      <c r="V162" s="445"/>
      <c r="W162" s="82"/>
      <c r="X162" s="358"/>
      <c r="Y162" s="358"/>
      <c r="Z162" s="358"/>
      <c r="AA162" s="91"/>
      <c r="AB162" s="91"/>
      <c r="AC162" s="91"/>
      <c r="AD162" s="91"/>
      <c r="AE162" s="91"/>
      <c r="AF162" s="91"/>
      <c r="AG162" s="91"/>
      <c r="AH162" s="91"/>
      <c r="AI162" s="366"/>
      <c r="AJ162" s="91"/>
    </row>
    <row r="163" spans="1:44" ht="15" customHeight="1" x14ac:dyDescent="0.25">
      <c r="A163" s="358"/>
      <c r="B163" s="358"/>
      <c r="C163" s="91"/>
      <c r="D163" s="359"/>
      <c r="E163" s="359"/>
      <c r="F163" s="91"/>
      <c r="G163" s="91"/>
      <c r="H163" s="91"/>
      <c r="I163" s="91"/>
      <c r="J163" s="91"/>
      <c r="K163" s="91"/>
      <c r="L163" s="91"/>
      <c r="M163" s="91"/>
      <c r="N163" s="32">
        <f t="shared" si="3"/>
        <v>0</v>
      </c>
      <c r="O163" s="16"/>
      <c r="P163" s="410"/>
      <c r="Q163" s="17"/>
      <c r="R163" s="407"/>
      <c r="S163" s="84"/>
      <c r="T163" s="187"/>
      <c r="U163" s="76"/>
      <c r="V163" s="445"/>
      <c r="W163" s="82"/>
      <c r="X163" s="358"/>
      <c r="Y163" s="358"/>
      <c r="Z163" s="358"/>
      <c r="AA163" s="91"/>
      <c r="AB163" s="91"/>
      <c r="AC163" s="91"/>
      <c r="AD163" s="91"/>
      <c r="AE163" s="91"/>
      <c r="AF163" s="91"/>
      <c r="AG163" s="91"/>
      <c r="AH163" s="91"/>
      <c r="AI163" s="366"/>
      <c r="AJ163" s="91"/>
    </row>
    <row r="164" spans="1:44" ht="15" customHeight="1" x14ac:dyDescent="0.25">
      <c r="A164" s="358"/>
      <c r="B164" s="358"/>
      <c r="C164" s="91"/>
      <c r="D164" s="359"/>
      <c r="E164" s="359"/>
      <c r="F164" s="91"/>
      <c r="G164" s="91"/>
      <c r="H164" s="91"/>
      <c r="I164" s="91"/>
      <c r="J164" s="91"/>
      <c r="K164" s="91"/>
      <c r="L164" s="91"/>
      <c r="M164" s="91"/>
      <c r="N164" s="32">
        <f t="shared" si="3"/>
        <v>0</v>
      </c>
      <c r="O164" s="16"/>
      <c r="P164" s="410"/>
      <c r="Q164" s="17"/>
      <c r="R164" s="407"/>
      <c r="S164" s="84"/>
      <c r="T164" s="187"/>
      <c r="U164" s="76"/>
      <c r="V164" s="445"/>
      <c r="W164" s="82"/>
      <c r="X164" s="358"/>
      <c r="Y164" s="358"/>
      <c r="Z164" s="358"/>
      <c r="AA164" s="91"/>
      <c r="AB164" s="91"/>
      <c r="AC164" s="91"/>
      <c r="AD164" s="91"/>
      <c r="AE164" s="91"/>
      <c r="AF164" s="91"/>
      <c r="AG164" s="91"/>
      <c r="AH164" s="91"/>
      <c r="AI164" s="366"/>
      <c r="AJ164" s="91"/>
    </row>
    <row r="165" spans="1:44" ht="15.75" customHeight="1" x14ac:dyDescent="0.25">
      <c r="A165" s="358"/>
      <c r="B165" s="358"/>
      <c r="C165" s="91"/>
      <c r="D165" s="359"/>
      <c r="E165" s="359"/>
      <c r="F165" s="91"/>
      <c r="G165" s="91"/>
      <c r="H165" s="91"/>
      <c r="I165" s="91"/>
      <c r="J165" s="91"/>
      <c r="K165" s="91"/>
      <c r="L165" s="91"/>
      <c r="M165" s="91"/>
      <c r="N165" s="32">
        <f t="shared" si="3"/>
        <v>0</v>
      </c>
      <c r="O165" s="16"/>
      <c r="P165" s="410"/>
      <c r="Q165" s="17"/>
      <c r="R165" s="407"/>
      <c r="S165" s="84"/>
      <c r="T165" s="187"/>
      <c r="U165" s="76"/>
      <c r="V165" s="445"/>
      <c r="W165" s="82"/>
      <c r="X165" s="358"/>
      <c r="Y165" s="358"/>
      <c r="Z165" s="358"/>
      <c r="AA165" s="91"/>
      <c r="AB165" s="91"/>
      <c r="AC165" s="91"/>
      <c r="AD165" s="91"/>
      <c r="AE165" s="91"/>
      <c r="AF165" s="91"/>
      <c r="AG165" s="91"/>
      <c r="AH165" s="91"/>
      <c r="AI165" s="366"/>
      <c r="AJ165" s="91"/>
    </row>
    <row r="166" spans="1:44" s="270" customFormat="1" ht="15.75" customHeight="1" x14ac:dyDescent="0.25">
      <c r="A166" s="358"/>
      <c r="B166" s="358"/>
      <c r="C166" s="91"/>
      <c r="D166" s="359"/>
      <c r="E166" s="359"/>
      <c r="F166" s="91"/>
      <c r="G166" s="91"/>
      <c r="H166" s="91"/>
      <c r="I166" s="91"/>
      <c r="J166" s="91"/>
      <c r="K166" s="91"/>
      <c r="L166" s="91"/>
      <c r="M166" s="91"/>
      <c r="N166" s="32">
        <f t="shared" si="3"/>
        <v>0</v>
      </c>
      <c r="O166" s="16"/>
      <c r="P166" s="410"/>
      <c r="Q166" s="17"/>
      <c r="R166" s="407"/>
      <c r="S166" s="84"/>
      <c r="T166" s="187"/>
      <c r="U166" s="76"/>
      <c r="V166" s="445"/>
      <c r="W166" s="82"/>
      <c r="X166" s="358"/>
      <c r="Y166" s="358"/>
      <c r="Z166" s="358"/>
      <c r="AA166" s="91"/>
      <c r="AB166" s="91"/>
      <c r="AC166" s="91"/>
      <c r="AD166" s="91"/>
      <c r="AE166" s="91"/>
      <c r="AF166" s="91"/>
      <c r="AG166" s="91"/>
      <c r="AH166" s="91"/>
      <c r="AI166" s="366"/>
      <c r="AJ166" s="91"/>
      <c r="AK166" s="2"/>
      <c r="AL166" s="2"/>
      <c r="AM166" s="2"/>
      <c r="AN166" s="2"/>
      <c r="AO166" s="2"/>
      <c r="AP166" s="2"/>
      <c r="AR166" s="2"/>
    </row>
    <row r="167" spans="1:44" ht="15" customHeight="1" x14ac:dyDescent="0.25">
      <c r="A167" s="358"/>
      <c r="B167" s="358"/>
      <c r="C167" s="91"/>
      <c r="D167" s="359"/>
      <c r="E167" s="359"/>
      <c r="F167" s="91"/>
      <c r="H167" s="91"/>
      <c r="I167" s="91"/>
      <c r="J167" s="91"/>
      <c r="K167" s="91"/>
      <c r="L167" s="91"/>
      <c r="M167" s="91"/>
      <c r="N167" s="32">
        <f t="shared" si="3"/>
        <v>0</v>
      </c>
      <c r="O167" s="16"/>
      <c r="P167" s="410"/>
      <c r="Q167" s="17"/>
      <c r="R167" s="407"/>
      <c r="S167" s="84"/>
      <c r="T167" s="187"/>
      <c r="U167" s="76"/>
      <c r="V167" s="445"/>
      <c r="W167" s="82"/>
      <c r="X167" s="358"/>
      <c r="Y167" s="358"/>
      <c r="Z167" s="358"/>
      <c r="AA167" s="91"/>
      <c r="AB167" s="91"/>
      <c r="AC167" s="91"/>
      <c r="AD167" s="91"/>
      <c r="AE167" s="91"/>
      <c r="AF167" s="91"/>
      <c r="AG167" s="91"/>
      <c r="AH167" s="91"/>
      <c r="AI167" s="366"/>
      <c r="AJ167" s="91"/>
    </row>
    <row r="168" spans="1:44" ht="15" customHeight="1" x14ac:dyDescent="0.25">
      <c r="A168" s="358"/>
      <c r="B168" s="358"/>
      <c r="C168" s="91"/>
      <c r="D168" s="359"/>
      <c r="E168" s="359"/>
      <c r="F168" s="91"/>
      <c r="G168" s="91"/>
      <c r="H168" s="91"/>
      <c r="I168" s="91"/>
      <c r="J168" s="91"/>
      <c r="K168" s="91"/>
      <c r="L168" s="91"/>
      <c r="M168" s="91"/>
      <c r="N168" s="32">
        <f t="shared" si="3"/>
        <v>0</v>
      </c>
      <c r="O168" s="16"/>
      <c r="P168" s="410"/>
      <c r="Q168" s="17"/>
      <c r="R168" s="407"/>
      <c r="S168" s="84"/>
      <c r="T168" s="187"/>
      <c r="U168" s="76"/>
      <c r="V168" s="445"/>
      <c r="W168" s="82"/>
      <c r="X168" s="358"/>
      <c r="Y168" s="358"/>
      <c r="Z168" s="358"/>
      <c r="AA168" s="91"/>
      <c r="AB168" s="91"/>
      <c r="AC168" s="91"/>
      <c r="AD168" s="91"/>
      <c r="AE168" s="91"/>
      <c r="AF168" s="91"/>
      <c r="AG168" s="91"/>
      <c r="AH168" s="91"/>
      <c r="AI168" s="366"/>
      <c r="AJ168" s="91"/>
    </row>
    <row r="169" spans="1:44" ht="15" customHeight="1" x14ac:dyDescent="0.25">
      <c r="A169" s="358"/>
      <c r="B169" s="358"/>
      <c r="C169" s="91"/>
      <c r="D169" s="359"/>
      <c r="E169" s="359"/>
      <c r="F169" s="91"/>
      <c r="G169" s="91"/>
      <c r="H169" s="91"/>
      <c r="I169" s="91"/>
      <c r="J169" s="91"/>
      <c r="K169" s="91"/>
      <c r="L169" s="91"/>
      <c r="M169" s="91"/>
      <c r="N169" s="32">
        <f t="shared" si="3"/>
        <v>0</v>
      </c>
      <c r="O169" s="134"/>
      <c r="P169" s="410"/>
      <c r="Q169" s="17"/>
      <c r="R169" s="407"/>
      <c r="S169" s="84"/>
      <c r="T169" s="187"/>
      <c r="U169" s="76"/>
      <c r="V169" s="445"/>
      <c r="W169" s="82"/>
      <c r="X169" s="358"/>
      <c r="Y169" s="358"/>
      <c r="Z169" s="358"/>
      <c r="AA169" s="91"/>
      <c r="AB169" s="91"/>
      <c r="AC169" s="91"/>
      <c r="AD169" s="91"/>
      <c r="AE169" s="91"/>
      <c r="AF169" s="91"/>
      <c r="AG169" s="91"/>
      <c r="AH169" s="91"/>
      <c r="AI169" s="366"/>
      <c r="AJ169" s="91"/>
    </row>
    <row r="170" spans="1:44" ht="15" customHeight="1" x14ac:dyDescent="0.25">
      <c r="A170" s="358"/>
      <c r="B170" s="358"/>
      <c r="C170" s="91"/>
      <c r="D170" s="359"/>
      <c r="E170" s="359"/>
      <c r="F170" s="91"/>
      <c r="G170" s="91"/>
      <c r="H170" s="91"/>
      <c r="I170" s="91"/>
      <c r="J170" s="91"/>
      <c r="K170" s="91"/>
      <c r="L170" s="91"/>
      <c r="M170" s="91"/>
      <c r="N170" s="32">
        <f t="shared" si="3"/>
        <v>0</v>
      </c>
      <c r="O170" s="16"/>
      <c r="P170" s="410"/>
      <c r="Q170" s="17"/>
      <c r="R170" s="407"/>
      <c r="S170" s="84"/>
      <c r="T170" s="187"/>
      <c r="U170" s="76"/>
      <c r="V170" s="445"/>
      <c r="W170" s="82"/>
      <c r="X170" s="358"/>
      <c r="Y170" s="358"/>
      <c r="Z170" s="358"/>
      <c r="AA170" s="91"/>
      <c r="AB170" s="91"/>
      <c r="AC170" s="91"/>
      <c r="AD170" s="91"/>
      <c r="AE170" s="91"/>
      <c r="AF170" s="91"/>
      <c r="AG170" s="91"/>
      <c r="AH170" s="91"/>
      <c r="AI170" s="366"/>
      <c r="AJ170" s="91"/>
    </row>
    <row r="171" spans="1:44" ht="15" customHeight="1" x14ac:dyDescent="0.25">
      <c r="A171" s="358"/>
      <c r="B171" s="358"/>
      <c r="C171" s="91"/>
      <c r="D171" s="359"/>
      <c r="E171" s="359"/>
      <c r="F171" s="91"/>
      <c r="G171" s="91"/>
      <c r="H171" s="91"/>
      <c r="I171" s="91"/>
      <c r="J171" s="91"/>
      <c r="K171" s="91"/>
      <c r="L171" s="91"/>
      <c r="M171" s="91"/>
      <c r="N171" s="32">
        <f t="shared" si="3"/>
        <v>0</v>
      </c>
      <c r="O171" s="16"/>
      <c r="P171" s="410"/>
      <c r="Q171" s="17"/>
      <c r="R171" s="407"/>
      <c r="S171" s="84"/>
      <c r="T171" s="187"/>
      <c r="U171" s="76"/>
      <c r="V171" s="445"/>
      <c r="W171" s="82"/>
      <c r="X171" s="358"/>
      <c r="Y171" s="358"/>
      <c r="Z171" s="358"/>
      <c r="AA171" s="91"/>
      <c r="AB171" s="91"/>
      <c r="AC171" s="91"/>
      <c r="AD171" s="91"/>
      <c r="AE171" s="91"/>
      <c r="AF171" s="91"/>
      <c r="AG171" s="91"/>
      <c r="AH171" s="91"/>
      <c r="AI171" s="366"/>
      <c r="AJ171" s="91"/>
    </row>
    <row r="172" spans="1:44" ht="15" customHeight="1" x14ac:dyDescent="0.25">
      <c r="A172" s="358"/>
      <c r="B172" s="358"/>
      <c r="C172" s="91"/>
      <c r="D172" s="359"/>
      <c r="E172" s="359"/>
      <c r="F172" s="91"/>
      <c r="G172" s="91"/>
      <c r="H172" s="91"/>
      <c r="I172" s="91"/>
      <c r="J172" s="91"/>
      <c r="K172" s="91"/>
      <c r="L172" s="91"/>
      <c r="M172" s="91"/>
      <c r="N172" s="32">
        <f t="shared" si="3"/>
        <v>0</v>
      </c>
      <c r="O172" s="16"/>
      <c r="P172" s="410"/>
      <c r="Q172" s="17"/>
      <c r="R172" s="407"/>
      <c r="S172" s="84"/>
      <c r="T172" s="187"/>
      <c r="U172" s="76"/>
      <c r="V172" s="445"/>
      <c r="W172" s="82"/>
      <c r="X172" s="358"/>
      <c r="Y172" s="358"/>
      <c r="Z172" s="358"/>
      <c r="AA172" s="91"/>
      <c r="AB172" s="91"/>
      <c r="AC172" s="91"/>
      <c r="AD172" s="91"/>
      <c r="AE172" s="91"/>
      <c r="AF172" s="91"/>
      <c r="AG172" s="91"/>
      <c r="AH172" s="91"/>
      <c r="AI172" s="366"/>
      <c r="AJ172" s="91"/>
    </row>
    <row r="173" spans="1:44" ht="15" customHeight="1" x14ac:dyDescent="0.25">
      <c r="A173" s="358"/>
      <c r="B173" s="358"/>
      <c r="C173" s="91"/>
      <c r="D173" s="359"/>
      <c r="E173" s="359"/>
      <c r="F173" s="91"/>
      <c r="G173" s="91"/>
      <c r="H173" s="91"/>
      <c r="I173" s="91"/>
      <c r="J173" s="91"/>
      <c r="K173" s="91"/>
      <c r="L173" s="91"/>
      <c r="M173" s="91"/>
      <c r="N173" s="32">
        <f t="shared" si="3"/>
        <v>0</v>
      </c>
      <c r="O173" s="134"/>
      <c r="P173" s="410"/>
      <c r="Q173" s="17"/>
      <c r="R173" s="407"/>
      <c r="S173" s="84"/>
      <c r="T173" s="187"/>
      <c r="U173" s="76"/>
      <c r="V173" s="445"/>
      <c r="W173" s="82"/>
      <c r="X173" s="358"/>
      <c r="Y173" s="358"/>
      <c r="Z173" s="358"/>
      <c r="AA173" s="91"/>
      <c r="AB173" s="91"/>
      <c r="AC173" s="91"/>
      <c r="AD173" s="91"/>
      <c r="AE173" s="91"/>
      <c r="AF173" s="91"/>
      <c r="AG173" s="91"/>
      <c r="AH173" s="91"/>
      <c r="AI173" s="366"/>
      <c r="AJ173" s="91"/>
    </row>
    <row r="174" spans="1:44" ht="15" customHeight="1" x14ac:dyDescent="0.25">
      <c r="A174" s="358"/>
      <c r="B174" s="358"/>
      <c r="C174" s="91"/>
      <c r="D174" s="359"/>
      <c r="E174" s="359"/>
      <c r="F174" s="91"/>
      <c r="G174" s="91"/>
      <c r="H174" s="91"/>
      <c r="I174" s="91"/>
      <c r="J174" s="91"/>
      <c r="K174" s="91"/>
      <c r="L174" s="91"/>
      <c r="M174" s="91"/>
      <c r="N174" s="32">
        <f t="shared" si="3"/>
        <v>0</v>
      </c>
      <c r="O174" s="134"/>
      <c r="P174" s="410"/>
      <c r="Q174" s="17"/>
      <c r="R174" s="407"/>
      <c r="S174" s="84"/>
      <c r="T174" s="187"/>
      <c r="U174" s="76"/>
      <c r="V174" s="445"/>
      <c r="W174" s="82"/>
      <c r="X174" s="358"/>
      <c r="Y174" s="358"/>
      <c r="Z174" s="358"/>
      <c r="AA174" s="91"/>
      <c r="AB174" s="91"/>
      <c r="AC174" s="91"/>
      <c r="AD174" s="91"/>
      <c r="AE174" s="91"/>
      <c r="AF174" s="91"/>
      <c r="AG174" s="91"/>
      <c r="AH174" s="91"/>
      <c r="AI174" s="366"/>
      <c r="AJ174" s="91"/>
    </row>
    <row r="175" spans="1:44" ht="15" customHeight="1" x14ac:dyDescent="0.25">
      <c r="A175" s="358"/>
      <c r="B175" s="358"/>
      <c r="C175" s="91"/>
      <c r="D175" s="359"/>
      <c r="E175" s="359"/>
      <c r="F175" s="91"/>
      <c r="G175" s="91"/>
      <c r="H175" s="91"/>
      <c r="I175" s="91"/>
      <c r="J175" s="91"/>
      <c r="K175" s="91"/>
      <c r="L175" s="91"/>
      <c r="M175" s="91"/>
      <c r="N175" s="32">
        <f t="shared" si="3"/>
        <v>0</v>
      </c>
      <c r="O175" s="16"/>
      <c r="P175" s="410"/>
      <c r="Q175" s="17"/>
      <c r="R175" s="407"/>
      <c r="S175" s="84"/>
      <c r="T175" s="189"/>
      <c r="U175" s="912"/>
      <c r="V175" s="445"/>
      <c r="W175" s="82"/>
      <c r="X175" s="358"/>
      <c r="Y175" s="358"/>
      <c r="Z175" s="358"/>
      <c r="AA175" s="91"/>
      <c r="AB175" s="91"/>
      <c r="AC175" s="91"/>
      <c r="AD175" s="91"/>
      <c r="AE175" s="91"/>
      <c r="AF175" s="91"/>
      <c r="AG175" s="91"/>
      <c r="AH175" s="91"/>
      <c r="AI175" s="366"/>
      <c r="AJ175" s="91"/>
    </row>
    <row r="176" spans="1:44" ht="15" customHeight="1" x14ac:dyDescent="0.25">
      <c r="A176" s="358"/>
      <c r="B176" s="358"/>
      <c r="C176" s="91"/>
      <c r="D176" s="359"/>
      <c r="E176" s="359"/>
      <c r="F176" s="91"/>
      <c r="G176" s="91"/>
      <c r="H176" s="91"/>
      <c r="I176" s="91"/>
      <c r="J176" s="91"/>
      <c r="K176" s="91"/>
      <c r="L176" s="91"/>
      <c r="M176" s="91"/>
      <c r="N176" s="32">
        <f t="shared" si="3"/>
        <v>0</v>
      </c>
      <c r="O176" s="16"/>
      <c r="P176" s="410"/>
      <c r="Q176" s="17"/>
      <c r="R176" s="407"/>
      <c r="S176" s="84"/>
      <c r="T176" s="189"/>
      <c r="U176" s="912"/>
      <c r="V176" s="445"/>
      <c r="W176" s="82"/>
      <c r="X176" s="358"/>
      <c r="Y176" s="358"/>
      <c r="Z176" s="358"/>
      <c r="AA176" s="91"/>
      <c r="AB176" s="91"/>
      <c r="AC176" s="91"/>
      <c r="AD176" s="91"/>
      <c r="AE176" s="91"/>
      <c r="AF176" s="91"/>
      <c r="AG176" s="91"/>
      <c r="AH176" s="91"/>
      <c r="AI176" s="366"/>
      <c r="AJ176" s="91"/>
    </row>
    <row r="177" spans="1:41" ht="15" customHeight="1" x14ac:dyDescent="0.25">
      <c r="A177" s="358"/>
      <c r="B177" s="358"/>
      <c r="C177" s="91"/>
      <c r="D177" s="359"/>
      <c r="E177" s="359"/>
      <c r="F177" s="91"/>
      <c r="G177" s="91"/>
      <c r="H177" s="91"/>
      <c r="I177" s="91"/>
      <c r="J177" s="91"/>
      <c r="K177" s="91"/>
      <c r="L177" s="91"/>
      <c r="M177" s="91"/>
      <c r="N177" s="32">
        <f t="shared" si="3"/>
        <v>0</v>
      </c>
      <c r="O177" s="16"/>
      <c r="P177" s="410"/>
      <c r="Q177" s="17"/>
      <c r="R177" s="407"/>
      <c r="S177" s="84"/>
      <c r="T177" s="189"/>
      <c r="U177" s="912"/>
      <c r="V177" s="445"/>
      <c r="W177" s="82"/>
      <c r="X177" s="358"/>
      <c r="Y177" s="358"/>
      <c r="Z177" s="358"/>
      <c r="AA177" s="91"/>
      <c r="AB177" s="91"/>
      <c r="AC177" s="91"/>
      <c r="AD177" s="91"/>
      <c r="AE177" s="91"/>
      <c r="AF177" s="91"/>
      <c r="AG177" s="91"/>
      <c r="AH177" s="91"/>
      <c r="AI177" s="366"/>
      <c r="AJ177" s="91"/>
    </row>
    <row r="178" spans="1:41" ht="15" customHeight="1" x14ac:dyDescent="0.25">
      <c r="A178" s="358"/>
      <c r="B178" s="358"/>
      <c r="C178" s="91"/>
      <c r="D178" s="359"/>
      <c r="E178" s="359"/>
      <c r="F178" s="91"/>
      <c r="G178" s="91"/>
      <c r="H178" s="91"/>
      <c r="I178" s="91"/>
      <c r="J178" s="91"/>
      <c r="K178" s="91"/>
      <c r="L178" s="91"/>
      <c r="M178" s="91"/>
      <c r="N178" s="32">
        <f t="shared" si="3"/>
        <v>0</v>
      </c>
      <c r="O178" s="16"/>
      <c r="P178" s="410"/>
      <c r="Q178" s="17"/>
      <c r="R178" s="407"/>
      <c r="S178" s="84"/>
      <c r="T178" s="189"/>
      <c r="U178" s="912"/>
      <c r="V178" s="445"/>
      <c r="W178" s="82"/>
      <c r="X178" s="358"/>
      <c r="Y178" s="358"/>
      <c r="Z178" s="358"/>
      <c r="AA178" s="91"/>
      <c r="AB178" s="91"/>
      <c r="AC178" s="91"/>
      <c r="AD178" s="91"/>
      <c r="AE178" s="91"/>
      <c r="AF178" s="91"/>
      <c r="AG178" s="91"/>
      <c r="AH178" s="91"/>
      <c r="AI178" s="366"/>
      <c r="AJ178" s="91"/>
    </row>
    <row r="179" spans="1:41" ht="15" customHeight="1" x14ac:dyDescent="0.25">
      <c r="A179" s="358"/>
      <c r="B179" s="358"/>
      <c r="C179" s="91"/>
      <c r="D179" s="359"/>
      <c r="E179" s="359"/>
      <c r="F179" s="91"/>
      <c r="G179" s="91"/>
      <c r="H179" s="91"/>
      <c r="I179" s="91"/>
      <c r="J179" s="91"/>
      <c r="K179" s="91"/>
      <c r="L179" s="91"/>
      <c r="M179" s="91"/>
      <c r="N179" s="32">
        <f t="shared" si="3"/>
        <v>0</v>
      </c>
      <c r="O179" s="16"/>
      <c r="P179" s="410"/>
      <c r="Q179" s="17"/>
      <c r="R179" s="407"/>
      <c r="S179" s="84"/>
      <c r="T179" s="189"/>
      <c r="U179" s="912"/>
      <c r="V179" s="445"/>
      <c r="W179" s="82"/>
      <c r="X179" s="358"/>
      <c r="Y179" s="358"/>
      <c r="Z179" s="358"/>
      <c r="AA179" s="91"/>
      <c r="AB179" s="91"/>
      <c r="AC179" s="91"/>
      <c r="AD179" s="91"/>
      <c r="AE179" s="91"/>
      <c r="AF179" s="91"/>
      <c r="AG179" s="91"/>
      <c r="AH179" s="91"/>
      <c r="AI179" s="366"/>
      <c r="AJ179" s="91"/>
    </row>
    <row r="180" spans="1:41" ht="15" customHeight="1" x14ac:dyDescent="0.25">
      <c r="A180" s="358"/>
      <c r="B180" s="358"/>
      <c r="C180" s="91"/>
      <c r="D180" s="359"/>
      <c r="E180" s="359"/>
      <c r="F180" s="91"/>
      <c r="G180" s="91"/>
      <c r="H180" s="91"/>
      <c r="I180" s="91"/>
      <c r="J180" s="91"/>
      <c r="K180" s="91"/>
      <c r="L180" s="91"/>
      <c r="M180" s="91"/>
      <c r="N180" s="32">
        <f t="shared" si="3"/>
        <v>0</v>
      </c>
      <c r="O180" s="16"/>
      <c r="P180" s="410"/>
      <c r="Q180" s="17"/>
      <c r="R180" s="407"/>
      <c r="S180" s="84"/>
      <c r="T180" s="189"/>
      <c r="U180" s="912"/>
      <c r="V180" s="445"/>
      <c r="W180" s="82"/>
      <c r="X180" s="358"/>
      <c r="Y180" s="358"/>
      <c r="Z180" s="358"/>
      <c r="AA180" s="91"/>
      <c r="AB180" s="91"/>
      <c r="AC180" s="91"/>
      <c r="AD180" s="91"/>
      <c r="AE180" s="91"/>
      <c r="AF180" s="91"/>
      <c r="AG180" s="91"/>
      <c r="AH180" s="91"/>
      <c r="AI180" s="366"/>
      <c r="AJ180" s="91"/>
    </row>
    <row r="181" spans="1:41" ht="15" customHeight="1" x14ac:dyDescent="0.25">
      <c r="A181" s="358"/>
      <c r="B181" s="358"/>
      <c r="C181" s="91"/>
      <c r="D181" s="359"/>
      <c r="E181" s="359"/>
      <c r="F181" s="91"/>
      <c r="G181" s="91"/>
      <c r="H181" s="91"/>
      <c r="I181" s="91"/>
      <c r="J181" s="91"/>
      <c r="K181" s="91"/>
      <c r="L181" s="91"/>
      <c r="M181" s="91"/>
      <c r="N181" s="32">
        <f t="shared" si="3"/>
        <v>0</v>
      </c>
      <c r="O181" s="16"/>
      <c r="P181" s="410"/>
      <c r="Q181" s="17"/>
      <c r="R181" s="407"/>
      <c r="S181" s="84"/>
      <c r="T181" s="187"/>
      <c r="U181" s="76"/>
      <c r="V181" s="445"/>
      <c r="W181" s="82"/>
      <c r="X181" s="358"/>
      <c r="Y181" s="358"/>
      <c r="Z181" s="358"/>
      <c r="AA181" s="91"/>
      <c r="AB181" s="91"/>
      <c r="AC181" s="91"/>
      <c r="AD181" s="91"/>
      <c r="AE181" s="91"/>
      <c r="AF181" s="91"/>
      <c r="AG181" s="91"/>
      <c r="AH181" s="91"/>
      <c r="AI181" s="366"/>
      <c r="AJ181" s="91"/>
    </row>
    <row r="182" spans="1:41" ht="15" customHeight="1" x14ac:dyDescent="0.25">
      <c r="A182" s="358"/>
      <c r="B182" s="358"/>
      <c r="C182" s="91"/>
      <c r="D182" s="359"/>
      <c r="E182" s="359"/>
      <c r="F182" s="91"/>
      <c r="G182" s="91"/>
      <c r="H182" s="91"/>
      <c r="I182" s="91"/>
      <c r="J182" s="91"/>
      <c r="K182" s="91"/>
      <c r="L182" s="91"/>
      <c r="M182" s="91"/>
      <c r="N182" s="32">
        <f t="shared" si="3"/>
        <v>0</v>
      </c>
      <c r="O182" s="134"/>
      <c r="P182" s="410"/>
      <c r="Q182" s="17"/>
      <c r="R182" s="407"/>
      <c r="S182" s="84"/>
      <c r="T182" s="187"/>
      <c r="U182" s="76"/>
      <c r="V182" s="445"/>
      <c r="W182" s="82"/>
      <c r="X182" s="358"/>
      <c r="Y182" s="358"/>
      <c r="Z182" s="358"/>
      <c r="AA182" s="91"/>
      <c r="AB182" s="91"/>
      <c r="AC182" s="91"/>
      <c r="AD182" s="91"/>
      <c r="AE182" s="91"/>
      <c r="AF182" s="91"/>
      <c r="AG182" s="91"/>
      <c r="AH182" s="91"/>
      <c r="AI182" s="366"/>
      <c r="AJ182" s="91"/>
    </row>
    <row r="183" spans="1:41" ht="15" customHeight="1" x14ac:dyDescent="0.25">
      <c r="A183" s="358"/>
      <c r="B183" s="358"/>
      <c r="C183" s="91"/>
      <c r="D183" s="359"/>
      <c r="E183" s="359"/>
      <c r="F183" s="91"/>
      <c r="G183" s="91"/>
      <c r="H183" s="91"/>
      <c r="I183" s="91"/>
      <c r="J183" s="91"/>
      <c r="K183" s="91"/>
      <c r="L183" s="91"/>
      <c r="M183" s="91"/>
      <c r="N183" s="32">
        <f t="shared" si="3"/>
        <v>0</v>
      </c>
      <c r="O183" s="134"/>
      <c r="P183" s="410"/>
      <c r="Q183" s="17"/>
      <c r="R183" s="407"/>
      <c r="S183" s="84"/>
      <c r="T183" s="187"/>
      <c r="U183" s="76"/>
      <c r="V183" s="445"/>
      <c r="W183" s="82"/>
      <c r="X183" s="358"/>
      <c r="Y183" s="358"/>
      <c r="Z183" s="358"/>
      <c r="AA183" s="91"/>
      <c r="AB183" s="91"/>
      <c r="AC183" s="91"/>
      <c r="AD183" s="91"/>
      <c r="AE183" s="91"/>
      <c r="AF183" s="91"/>
      <c r="AG183" s="91"/>
      <c r="AH183" s="91"/>
      <c r="AI183" s="366"/>
      <c r="AJ183" s="91"/>
    </row>
    <row r="184" spans="1:41" ht="15" customHeight="1" x14ac:dyDescent="0.25">
      <c r="A184" s="358"/>
      <c r="B184" s="358"/>
      <c r="C184" s="91"/>
      <c r="D184" s="359"/>
      <c r="E184" s="359"/>
      <c r="F184" s="91"/>
      <c r="G184" s="91"/>
      <c r="H184" s="91"/>
      <c r="I184" s="91"/>
      <c r="J184" s="91"/>
      <c r="K184" s="91"/>
      <c r="L184" s="91"/>
      <c r="M184" s="91"/>
      <c r="N184" s="32">
        <f t="shared" si="3"/>
        <v>0</v>
      </c>
      <c r="O184" s="134"/>
      <c r="P184" s="410"/>
      <c r="Q184" s="17"/>
      <c r="R184" s="407"/>
      <c r="S184" s="84"/>
      <c r="T184" s="187"/>
      <c r="U184" s="76"/>
      <c r="V184" s="445"/>
      <c r="W184" s="82"/>
      <c r="X184" s="358"/>
      <c r="Y184" s="358"/>
      <c r="Z184" s="358"/>
      <c r="AA184" s="91"/>
      <c r="AB184" s="91"/>
      <c r="AC184" s="91"/>
      <c r="AD184" s="91"/>
      <c r="AE184" s="91"/>
      <c r="AF184" s="91"/>
      <c r="AG184" s="91"/>
      <c r="AH184" s="91"/>
      <c r="AI184" s="366"/>
      <c r="AJ184" s="91"/>
    </row>
    <row r="185" spans="1:41" ht="15" customHeight="1" x14ac:dyDescent="0.25">
      <c r="A185" s="358"/>
      <c r="B185" s="358"/>
      <c r="C185" s="91"/>
      <c r="D185" s="359"/>
      <c r="E185" s="359"/>
      <c r="F185" s="91"/>
      <c r="G185" s="91"/>
      <c r="H185" s="91"/>
      <c r="I185" s="91"/>
      <c r="J185" s="91"/>
      <c r="K185" s="91"/>
      <c r="L185" s="91"/>
      <c r="M185" s="91"/>
      <c r="N185" s="32">
        <f t="shared" si="3"/>
        <v>0</v>
      </c>
      <c r="O185" s="134"/>
      <c r="P185" s="410"/>
      <c r="Q185" s="17"/>
      <c r="R185" s="407"/>
      <c r="S185" s="84"/>
      <c r="T185" s="187"/>
      <c r="U185" s="76"/>
      <c r="V185" s="445"/>
      <c r="W185" s="82"/>
      <c r="X185" s="358"/>
      <c r="Y185" s="358"/>
      <c r="Z185" s="358"/>
      <c r="AA185" s="91"/>
      <c r="AB185" s="91"/>
      <c r="AC185" s="91"/>
      <c r="AD185" s="91"/>
      <c r="AE185" s="91"/>
      <c r="AF185" s="91"/>
      <c r="AG185" s="91"/>
      <c r="AH185" s="91"/>
      <c r="AI185" s="366"/>
      <c r="AJ185" s="91"/>
    </row>
    <row r="186" spans="1:41" ht="15" customHeight="1" x14ac:dyDescent="0.25">
      <c r="A186" s="358"/>
      <c r="B186" s="358"/>
      <c r="C186" s="91"/>
      <c r="D186" s="359"/>
      <c r="E186" s="359"/>
      <c r="F186" s="91"/>
      <c r="G186" s="91"/>
      <c r="H186" s="91"/>
      <c r="I186" s="91"/>
      <c r="J186" s="91"/>
      <c r="K186" s="91"/>
      <c r="L186" s="91"/>
      <c r="M186" s="91"/>
      <c r="N186" s="32">
        <f t="shared" si="3"/>
        <v>0</v>
      </c>
      <c r="O186" s="16"/>
      <c r="P186" s="410"/>
      <c r="Q186" s="17"/>
      <c r="R186" s="407"/>
      <c r="S186" s="84"/>
      <c r="T186" s="187"/>
      <c r="U186" s="76"/>
      <c r="V186" s="445"/>
      <c r="W186" s="82"/>
      <c r="X186" s="358"/>
      <c r="Y186" s="358"/>
      <c r="Z186" s="358"/>
      <c r="AA186" s="91"/>
      <c r="AB186" s="91"/>
      <c r="AC186" s="91"/>
      <c r="AD186" s="91"/>
      <c r="AE186" s="91"/>
      <c r="AF186" s="91"/>
      <c r="AG186" s="91"/>
      <c r="AH186" s="91"/>
      <c r="AI186" s="366"/>
      <c r="AJ186" s="91"/>
    </row>
    <row r="187" spans="1:41" ht="15" customHeight="1" x14ac:dyDescent="0.25">
      <c r="A187" s="358"/>
      <c r="B187" s="358"/>
      <c r="C187" s="91"/>
      <c r="D187" s="359"/>
      <c r="E187" s="359"/>
      <c r="F187" s="91"/>
      <c r="G187" s="91"/>
      <c r="H187" s="91"/>
      <c r="I187" s="91"/>
      <c r="J187" s="91"/>
      <c r="K187" s="91"/>
      <c r="L187" s="91"/>
      <c r="M187" s="91"/>
      <c r="N187" s="32">
        <f t="shared" si="3"/>
        <v>0</v>
      </c>
      <c r="O187" s="134"/>
      <c r="P187" s="410"/>
      <c r="Q187" s="17"/>
      <c r="R187" s="407"/>
      <c r="S187" s="84"/>
      <c r="T187" s="187"/>
      <c r="U187" s="76"/>
      <c r="V187" s="445"/>
      <c r="W187" s="82"/>
      <c r="X187" s="358"/>
      <c r="Y187" s="358"/>
      <c r="Z187" s="358"/>
      <c r="AA187" s="91"/>
      <c r="AB187" s="91"/>
      <c r="AC187" s="91"/>
      <c r="AD187" s="91"/>
      <c r="AE187" s="91"/>
      <c r="AF187" s="91"/>
      <c r="AG187" s="91"/>
      <c r="AH187" s="91"/>
      <c r="AI187" s="366"/>
      <c r="AJ187" s="91"/>
      <c r="AK187" s="2" t="s">
        <v>6</v>
      </c>
    </row>
    <row r="188" spans="1:41" ht="15" customHeight="1" x14ac:dyDescent="0.25">
      <c r="A188" s="358"/>
      <c r="B188" s="358"/>
      <c r="C188" s="91"/>
      <c r="D188" s="359"/>
      <c r="E188" s="359"/>
      <c r="F188" s="91"/>
      <c r="G188" s="91"/>
      <c r="H188" s="91"/>
      <c r="I188" s="91"/>
      <c r="J188" s="91"/>
      <c r="K188" s="91"/>
      <c r="L188" s="91"/>
      <c r="M188" s="91"/>
      <c r="N188" s="32">
        <f t="shared" si="3"/>
        <v>0</v>
      </c>
      <c r="O188" s="134"/>
      <c r="P188" s="410"/>
      <c r="Q188" s="17"/>
      <c r="R188" s="407"/>
      <c r="S188" s="84"/>
      <c r="T188" s="187"/>
      <c r="U188" s="76"/>
      <c r="V188" s="445"/>
      <c r="W188" s="82"/>
      <c r="X188" s="358"/>
      <c r="Y188" s="358"/>
      <c r="Z188" s="358"/>
      <c r="AA188" s="91"/>
      <c r="AB188" s="91"/>
      <c r="AC188" s="91"/>
      <c r="AD188" s="91"/>
      <c r="AE188" s="91"/>
      <c r="AF188" s="91"/>
      <c r="AG188" s="91"/>
      <c r="AH188" s="91"/>
      <c r="AI188" s="366"/>
      <c r="AJ188" s="91"/>
      <c r="AK188" s="270"/>
      <c r="AL188" s="270"/>
      <c r="AM188" s="270"/>
      <c r="AN188" s="270"/>
      <c r="AO188" s="270"/>
    </row>
    <row r="189" spans="1:41" ht="15" customHeight="1" x14ac:dyDescent="0.25">
      <c r="A189" s="358"/>
      <c r="B189" s="358"/>
      <c r="C189" s="91"/>
      <c r="D189" s="359"/>
      <c r="E189" s="359"/>
      <c r="F189" s="91"/>
      <c r="G189" s="91"/>
      <c r="H189" s="91"/>
      <c r="I189" s="91"/>
      <c r="J189" s="91"/>
      <c r="K189" s="91"/>
      <c r="L189" s="91"/>
      <c r="M189" s="91"/>
      <c r="N189" s="32">
        <f t="shared" si="3"/>
        <v>0</v>
      </c>
      <c r="O189" s="134"/>
      <c r="P189" s="410"/>
      <c r="Q189" s="17"/>
      <c r="R189" s="407"/>
      <c r="S189" s="84"/>
      <c r="T189" s="187"/>
      <c r="U189" s="76"/>
      <c r="V189" s="445"/>
      <c r="W189" s="82"/>
      <c r="X189" s="358"/>
      <c r="Y189" s="358"/>
      <c r="Z189" s="358"/>
      <c r="AA189" s="91"/>
      <c r="AB189" s="91"/>
      <c r="AC189" s="91"/>
      <c r="AD189" s="91"/>
      <c r="AE189" s="91"/>
      <c r="AF189" s="91"/>
      <c r="AG189" s="91"/>
      <c r="AH189" s="91"/>
      <c r="AI189" s="366"/>
      <c r="AJ189" s="91"/>
    </row>
    <row r="190" spans="1:41" ht="15" customHeight="1" x14ac:dyDescent="0.25">
      <c r="A190" s="358"/>
      <c r="B190" s="358"/>
      <c r="C190" s="91"/>
      <c r="D190" s="359"/>
      <c r="E190" s="359"/>
      <c r="F190" s="91"/>
      <c r="G190" s="91"/>
      <c r="H190" s="91"/>
      <c r="I190" s="91"/>
      <c r="J190" s="91"/>
      <c r="K190" s="91"/>
      <c r="L190" s="91"/>
      <c r="M190" s="91"/>
      <c r="N190" s="32">
        <f t="shared" si="3"/>
        <v>0</v>
      </c>
      <c r="O190" s="134"/>
      <c r="P190" s="410"/>
      <c r="Q190" s="17"/>
      <c r="R190" s="407"/>
      <c r="S190" s="84"/>
      <c r="T190" s="187"/>
      <c r="U190" s="76"/>
      <c r="V190" s="445"/>
      <c r="W190" s="82"/>
      <c r="X190" s="358"/>
      <c r="Y190" s="358"/>
      <c r="Z190" s="358"/>
      <c r="AA190" s="91"/>
      <c r="AB190" s="91"/>
      <c r="AC190" s="91"/>
      <c r="AD190" s="91"/>
      <c r="AE190" s="91"/>
      <c r="AF190" s="91"/>
      <c r="AG190" s="91"/>
      <c r="AH190" s="91"/>
      <c r="AI190" s="366"/>
      <c r="AJ190" s="91"/>
    </row>
    <row r="191" spans="1:41" ht="15" customHeight="1" x14ac:dyDescent="0.25">
      <c r="A191" s="358"/>
      <c r="B191" s="358"/>
      <c r="C191" s="91"/>
      <c r="D191" s="359"/>
      <c r="E191" s="359"/>
      <c r="F191" s="91"/>
      <c r="G191" s="91"/>
      <c r="H191" s="91"/>
      <c r="I191" s="91"/>
      <c r="J191" s="91"/>
      <c r="K191" s="91"/>
      <c r="L191" s="91"/>
      <c r="M191" s="91"/>
      <c r="N191" s="32">
        <f t="shared" si="3"/>
        <v>0</v>
      </c>
      <c r="O191" s="134"/>
      <c r="P191" s="410"/>
      <c r="Q191" s="17"/>
      <c r="R191" s="407"/>
      <c r="S191" s="84"/>
      <c r="T191" s="187"/>
      <c r="U191" s="76"/>
      <c r="V191" s="445"/>
      <c r="W191" s="82"/>
      <c r="X191" s="358"/>
      <c r="Y191" s="358"/>
      <c r="Z191" s="358"/>
      <c r="AA191" s="91"/>
      <c r="AB191" s="91"/>
      <c r="AC191" s="91"/>
      <c r="AD191" s="91"/>
      <c r="AE191" s="91"/>
      <c r="AF191" s="91"/>
      <c r="AG191" s="91"/>
      <c r="AH191" s="91"/>
      <c r="AI191" s="366"/>
      <c r="AJ191" s="91"/>
    </row>
    <row r="192" spans="1:41" ht="15" customHeight="1" x14ac:dyDescent="0.25">
      <c r="A192" s="358"/>
      <c r="B192" s="358"/>
      <c r="C192" s="91"/>
      <c r="D192" s="359"/>
      <c r="E192" s="359"/>
      <c r="F192" s="91"/>
      <c r="G192" s="91"/>
      <c r="H192" s="91"/>
      <c r="I192" s="91"/>
      <c r="J192" s="91"/>
      <c r="K192" s="91"/>
      <c r="L192" s="91"/>
      <c r="M192" s="91"/>
      <c r="N192" s="32">
        <f t="shared" si="3"/>
        <v>0</v>
      </c>
      <c r="O192" s="134"/>
      <c r="P192" s="410"/>
      <c r="Q192" s="17"/>
      <c r="R192" s="407"/>
      <c r="S192" s="84"/>
      <c r="T192" s="187"/>
      <c r="U192" s="76"/>
      <c r="V192" s="445"/>
      <c r="W192" s="82"/>
      <c r="X192" s="358"/>
      <c r="Y192" s="358"/>
      <c r="Z192" s="358"/>
      <c r="AA192" s="91"/>
      <c r="AB192" s="91"/>
      <c r="AC192" s="91"/>
      <c r="AD192" s="91"/>
      <c r="AE192" s="91"/>
      <c r="AF192" s="91"/>
      <c r="AG192" s="91"/>
      <c r="AH192" s="91"/>
      <c r="AI192" s="366"/>
      <c r="AJ192" s="91"/>
    </row>
    <row r="193" spans="1:44" ht="15" customHeight="1" x14ac:dyDescent="0.25">
      <c r="A193" s="358"/>
      <c r="B193" s="358"/>
      <c r="C193" s="91"/>
      <c r="D193" s="359"/>
      <c r="E193" s="359"/>
      <c r="F193" s="91"/>
      <c r="G193" s="91"/>
      <c r="H193" s="91"/>
      <c r="I193" s="91"/>
      <c r="J193" s="91"/>
      <c r="K193" s="91"/>
      <c r="L193" s="91"/>
      <c r="M193" s="91"/>
      <c r="N193" s="32">
        <f t="shared" si="3"/>
        <v>0</v>
      </c>
      <c r="O193" s="134"/>
      <c r="P193" s="410"/>
      <c r="Q193" s="17"/>
      <c r="R193" s="408"/>
      <c r="S193" s="469"/>
      <c r="T193" s="192"/>
      <c r="U193" s="913"/>
      <c r="V193" s="445"/>
      <c r="W193" s="82"/>
      <c r="X193" s="358"/>
      <c r="Y193" s="358"/>
      <c r="Z193" s="358"/>
      <c r="AA193" s="91"/>
      <c r="AB193" s="91"/>
      <c r="AC193" s="91"/>
      <c r="AD193" s="91"/>
      <c r="AE193" s="91"/>
      <c r="AF193" s="91"/>
      <c r="AG193" s="91"/>
      <c r="AH193" s="91"/>
      <c r="AI193" s="366"/>
      <c r="AJ193" s="91"/>
      <c r="AP193" s="270"/>
    </row>
    <row r="194" spans="1:44" ht="15" customHeight="1" x14ac:dyDescent="0.25">
      <c r="A194" s="358"/>
      <c r="B194" s="358"/>
      <c r="C194" s="91"/>
      <c r="D194" s="359"/>
      <c r="E194" s="359"/>
      <c r="F194" s="91"/>
      <c r="G194" s="91"/>
      <c r="H194" s="91"/>
      <c r="I194" s="91"/>
      <c r="J194" s="91"/>
      <c r="K194" s="91"/>
      <c r="L194" s="91"/>
      <c r="M194" s="91"/>
      <c r="N194" s="32">
        <f t="shared" si="3"/>
        <v>0</v>
      </c>
      <c r="O194" s="134"/>
      <c r="P194" s="410"/>
      <c r="Q194" s="17"/>
      <c r="R194" s="408"/>
      <c r="S194" s="469"/>
      <c r="T194" s="192"/>
      <c r="U194" s="913"/>
      <c r="V194" s="445"/>
      <c r="W194" s="82"/>
      <c r="X194" s="358"/>
      <c r="Y194" s="358"/>
      <c r="Z194" s="358"/>
      <c r="AA194" s="91"/>
      <c r="AB194" s="91"/>
      <c r="AC194" s="91"/>
      <c r="AD194" s="91"/>
      <c r="AE194" s="91"/>
      <c r="AF194" s="91"/>
      <c r="AG194" s="91"/>
      <c r="AH194" s="91"/>
      <c r="AI194" s="366"/>
      <c r="AJ194" s="91"/>
    </row>
    <row r="195" spans="1:44" ht="15" customHeight="1" x14ac:dyDescent="0.25">
      <c r="A195" s="358"/>
      <c r="B195" s="358"/>
      <c r="C195" s="91"/>
      <c r="D195" s="359"/>
      <c r="E195" s="359"/>
      <c r="F195" s="91"/>
      <c r="G195" s="91"/>
      <c r="H195" s="91"/>
      <c r="I195" s="91"/>
      <c r="J195" s="91"/>
      <c r="K195" s="91"/>
      <c r="L195" s="91"/>
      <c r="M195" s="91"/>
      <c r="N195" s="32">
        <f t="shared" si="3"/>
        <v>0</v>
      </c>
      <c r="O195" s="134"/>
      <c r="P195" s="410"/>
      <c r="Q195" s="17"/>
      <c r="R195" s="408"/>
      <c r="S195" s="469"/>
      <c r="T195" s="192"/>
      <c r="U195" s="913"/>
      <c r="V195" s="445"/>
      <c r="W195" s="82"/>
      <c r="X195" s="358"/>
      <c r="Y195" s="358"/>
      <c r="Z195" s="358"/>
      <c r="AA195" s="91"/>
      <c r="AB195" s="91"/>
      <c r="AC195" s="91"/>
      <c r="AD195" s="91"/>
      <c r="AE195" s="91"/>
      <c r="AF195" s="91"/>
      <c r="AG195" s="91"/>
      <c r="AH195" s="91"/>
      <c r="AI195" s="366"/>
      <c r="AJ195" s="91"/>
    </row>
    <row r="196" spans="1:44" ht="15" customHeight="1" x14ac:dyDescent="0.25">
      <c r="A196" s="358"/>
      <c r="B196" s="358"/>
      <c r="C196" s="91"/>
      <c r="D196" s="359"/>
      <c r="E196" s="359"/>
      <c r="F196" s="91"/>
      <c r="G196" s="91"/>
      <c r="H196" s="91"/>
      <c r="I196" s="91"/>
      <c r="J196" s="91"/>
      <c r="K196" s="91"/>
      <c r="L196" s="91"/>
      <c r="M196" s="91"/>
      <c r="N196" s="32">
        <f t="shared" si="3"/>
        <v>0</v>
      </c>
      <c r="O196" s="134"/>
      <c r="P196" s="410"/>
      <c r="Q196" s="17"/>
      <c r="R196" s="408"/>
      <c r="S196" s="469"/>
      <c r="T196" s="192"/>
      <c r="U196" s="913"/>
      <c r="V196" s="445"/>
      <c r="W196" s="82"/>
      <c r="X196" s="358"/>
      <c r="Y196" s="358"/>
      <c r="Z196" s="358"/>
      <c r="AA196" s="91"/>
      <c r="AB196" s="91"/>
      <c r="AC196" s="91"/>
      <c r="AD196" s="91"/>
      <c r="AE196" s="91"/>
      <c r="AF196" s="91"/>
      <c r="AG196" s="91"/>
      <c r="AH196" s="91"/>
      <c r="AI196" s="366"/>
      <c r="AJ196" s="91"/>
    </row>
    <row r="197" spans="1:44" ht="15" customHeight="1" x14ac:dyDescent="0.25">
      <c r="A197" s="358"/>
      <c r="B197" s="358"/>
      <c r="C197" s="91"/>
      <c r="D197" s="359"/>
      <c r="E197" s="359"/>
      <c r="F197" s="91"/>
      <c r="G197" s="91"/>
      <c r="H197" s="91"/>
      <c r="I197" s="91"/>
      <c r="J197" s="91"/>
      <c r="K197" s="91"/>
      <c r="L197" s="91"/>
      <c r="M197" s="91"/>
      <c r="N197" s="32">
        <f t="shared" si="3"/>
        <v>0</v>
      </c>
      <c r="O197" s="134"/>
      <c r="P197" s="410"/>
      <c r="Q197" s="17"/>
      <c r="R197" s="407"/>
      <c r="S197" s="84"/>
      <c r="T197" s="187"/>
      <c r="U197" s="76"/>
      <c r="V197" s="445"/>
      <c r="W197" s="82"/>
      <c r="X197" s="358"/>
      <c r="Y197" s="358"/>
      <c r="Z197" s="358"/>
      <c r="AA197" s="91"/>
      <c r="AB197" s="91"/>
      <c r="AC197" s="91"/>
      <c r="AD197" s="91"/>
      <c r="AE197" s="91"/>
      <c r="AF197" s="91"/>
      <c r="AG197" s="91"/>
      <c r="AH197" s="91"/>
      <c r="AI197" s="366"/>
      <c r="AJ197" s="91"/>
    </row>
    <row r="198" spans="1:44" ht="15" customHeight="1" x14ac:dyDescent="0.25">
      <c r="A198" s="358"/>
      <c r="B198" s="358"/>
      <c r="C198" s="91"/>
      <c r="D198" s="359"/>
      <c r="E198" s="359"/>
      <c r="F198" s="91"/>
      <c r="G198" s="91"/>
      <c r="H198" s="91"/>
      <c r="I198" s="91"/>
      <c r="J198" s="91"/>
      <c r="K198" s="91"/>
      <c r="L198" s="91"/>
      <c r="M198" s="91"/>
      <c r="N198" s="32">
        <f t="shared" si="3"/>
        <v>0</v>
      </c>
      <c r="O198" s="134"/>
      <c r="P198" s="410"/>
      <c r="Q198" s="17"/>
      <c r="R198" s="407"/>
      <c r="S198" s="84"/>
      <c r="T198" s="187"/>
      <c r="U198" s="76"/>
      <c r="V198" s="445"/>
      <c r="W198" s="82"/>
      <c r="X198" s="358"/>
      <c r="Y198" s="358"/>
      <c r="Z198" s="358"/>
      <c r="AA198" s="91"/>
      <c r="AB198" s="91"/>
      <c r="AC198" s="91"/>
      <c r="AD198" s="91"/>
      <c r="AE198" s="91"/>
      <c r="AF198" s="91"/>
      <c r="AG198" s="91"/>
      <c r="AH198" s="91"/>
      <c r="AI198" s="366"/>
      <c r="AJ198" s="91"/>
    </row>
    <row r="199" spans="1:44" ht="15" customHeight="1" x14ac:dyDescent="0.25">
      <c r="A199" s="358"/>
      <c r="B199" s="358"/>
      <c r="C199" s="91"/>
      <c r="D199" s="359"/>
      <c r="E199" s="359"/>
      <c r="F199" s="91"/>
      <c r="G199" s="91"/>
      <c r="H199" s="91"/>
      <c r="I199" s="91"/>
      <c r="J199" s="91"/>
      <c r="K199" s="91"/>
      <c r="L199" s="91"/>
      <c r="M199" s="91"/>
      <c r="N199" s="32">
        <f t="shared" si="3"/>
        <v>0</v>
      </c>
      <c r="O199" s="134"/>
      <c r="P199" s="410"/>
      <c r="Q199" s="17"/>
      <c r="R199" s="407"/>
      <c r="S199" s="84"/>
      <c r="T199" s="187"/>
      <c r="U199" s="76"/>
      <c r="V199" s="445"/>
      <c r="W199" s="82"/>
      <c r="X199" s="358"/>
      <c r="Y199" s="358"/>
      <c r="Z199" s="358"/>
      <c r="AA199" s="91"/>
      <c r="AB199" s="91"/>
      <c r="AC199" s="91"/>
      <c r="AD199" s="91"/>
      <c r="AE199" s="91"/>
      <c r="AF199" s="91"/>
      <c r="AG199" s="91"/>
      <c r="AH199" s="91"/>
      <c r="AI199" s="366"/>
      <c r="AJ199" s="91"/>
    </row>
    <row r="200" spans="1:44" ht="15" customHeight="1" x14ac:dyDescent="0.25">
      <c r="A200" s="358"/>
      <c r="B200" s="358"/>
      <c r="C200" s="91"/>
      <c r="D200" s="359"/>
      <c r="E200" s="359"/>
      <c r="F200" s="91"/>
      <c r="G200" s="91"/>
      <c r="H200" s="91"/>
      <c r="I200" s="91"/>
      <c r="J200" s="91"/>
      <c r="K200" s="91"/>
      <c r="L200" s="91"/>
      <c r="M200" s="91"/>
      <c r="N200" s="32">
        <f t="shared" si="3"/>
        <v>0</v>
      </c>
      <c r="O200" s="134"/>
      <c r="P200" s="410"/>
      <c r="Q200" s="17"/>
      <c r="R200" s="407"/>
      <c r="S200" s="84"/>
      <c r="T200" s="187"/>
      <c r="U200" s="76"/>
      <c r="V200" s="445"/>
      <c r="W200" s="82"/>
      <c r="X200" s="358"/>
      <c r="Y200" s="358"/>
      <c r="Z200" s="358"/>
      <c r="AA200" s="91"/>
      <c r="AB200" s="91"/>
      <c r="AC200" s="91"/>
      <c r="AD200" s="91"/>
      <c r="AE200" s="91"/>
      <c r="AF200" s="91"/>
      <c r="AG200" s="91"/>
      <c r="AH200" s="91"/>
      <c r="AI200" s="366"/>
      <c r="AJ200" s="91"/>
    </row>
    <row r="201" spans="1:44" ht="15" customHeight="1" x14ac:dyDescent="0.25">
      <c r="A201" s="358"/>
      <c r="B201" s="358"/>
      <c r="C201" s="91"/>
      <c r="D201" s="359"/>
      <c r="E201" s="359"/>
      <c r="F201" s="91"/>
      <c r="G201" s="91"/>
      <c r="H201" s="91"/>
      <c r="I201" s="91"/>
      <c r="J201" s="91"/>
      <c r="K201" s="91"/>
      <c r="L201" s="91"/>
      <c r="M201" s="91"/>
      <c r="N201" s="32">
        <f t="shared" si="3"/>
        <v>0</v>
      </c>
      <c r="O201" s="134"/>
      <c r="P201" s="410"/>
      <c r="Q201" s="17"/>
      <c r="R201" s="407"/>
      <c r="S201" s="84"/>
      <c r="T201" s="187"/>
      <c r="U201" s="76"/>
      <c r="V201" s="445"/>
      <c r="W201" s="82"/>
      <c r="X201" s="358"/>
      <c r="Y201" s="358"/>
      <c r="Z201" s="358"/>
      <c r="AA201" s="91"/>
      <c r="AB201" s="91"/>
      <c r="AC201" s="91"/>
      <c r="AD201" s="91"/>
      <c r="AE201" s="91"/>
      <c r="AF201" s="91"/>
      <c r="AG201" s="91"/>
      <c r="AH201" s="91"/>
      <c r="AI201" s="366"/>
      <c r="AJ201" s="91"/>
      <c r="AR201" s="270"/>
    </row>
    <row r="202" spans="1:44" ht="15" customHeight="1" x14ac:dyDescent="0.25">
      <c r="A202" s="358"/>
      <c r="B202" s="358"/>
      <c r="C202" s="91"/>
      <c r="D202" s="359"/>
      <c r="E202" s="359"/>
      <c r="F202" s="91"/>
      <c r="G202" s="91"/>
      <c r="H202" s="91"/>
      <c r="I202" s="91"/>
      <c r="J202" s="91"/>
      <c r="K202" s="91"/>
      <c r="L202" s="91"/>
      <c r="M202" s="91"/>
      <c r="N202" s="32">
        <f t="shared" si="3"/>
        <v>0</v>
      </c>
      <c r="O202" s="134"/>
      <c r="P202" s="410"/>
      <c r="Q202" s="17"/>
      <c r="R202" s="407"/>
      <c r="S202" s="84"/>
      <c r="T202" s="187"/>
      <c r="U202" s="76"/>
      <c r="V202" s="445"/>
      <c r="W202" s="82"/>
      <c r="X202" s="358"/>
      <c r="Y202" s="358"/>
      <c r="Z202" s="358"/>
      <c r="AA202" s="91"/>
      <c r="AB202" s="91"/>
      <c r="AC202" s="91"/>
      <c r="AD202" s="91"/>
      <c r="AE202" s="91"/>
      <c r="AF202" s="91"/>
      <c r="AG202" s="91"/>
      <c r="AH202" s="91"/>
      <c r="AI202" s="366"/>
      <c r="AJ202" s="91"/>
    </row>
    <row r="203" spans="1:44" ht="15" customHeight="1" x14ac:dyDescent="0.25">
      <c r="A203" s="358"/>
      <c r="B203" s="358"/>
      <c r="C203" s="91"/>
      <c r="D203" s="359"/>
      <c r="E203" s="359"/>
      <c r="F203" s="91"/>
      <c r="G203" s="91"/>
      <c r="H203" s="91"/>
      <c r="I203" s="91"/>
      <c r="J203" s="91"/>
      <c r="K203" s="91"/>
      <c r="L203" s="91"/>
      <c r="M203" s="91"/>
      <c r="N203" s="32">
        <f t="shared" si="3"/>
        <v>0</v>
      </c>
      <c r="O203" s="134"/>
      <c r="P203" s="410"/>
      <c r="Q203" s="17"/>
      <c r="R203" s="407"/>
      <c r="S203" s="84"/>
      <c r="T203" s="187"/>
      <c r="U203" s="76"/>
      <c r="V203" s="445"/>
      <c r="W203" s="82"/>
      <c r="X203" s="358"/>
      <c r="Y203" s="358"/>
      <c r="Z203" s="358"/>
      <c r="AA203" s="91"/>
      <c r="AB203" s="91"/>
      <c r="AC203" s="91"/>
      <c r="AD203" s="91"/>
      <c r="AE203" s="91"/>
      <c r="AF203" s="91"/>
      <c r="AG203" s="91"/>
      <c r="AH203" s="91"/>
      <c r="AI203" s="366"/>
      <c r="AJ203" s="91"/>
    </row>
    <row r="204" spans="1:44" ht="15" customHeight="1" x14ac:dyDescent="0.25">
      <c r="A204" s="358"/>
      <c r="B204" s="358"/>
      <c r="C204" s="91"/>
      <c r="D204" s="359"/>
      <c r="E204" s="359"/>
      <c r="F204" s="91"/>
      <c r="G204" s="91"/>
      <c r="H204" s="91"/>
      <c r="I204" s="91"/>
      <c r="J204" s="91"/>
      <c r="K204" s="91"/>
      <c r="L204" s="91"/>
      <c r="M204" s="91"/>
      <c r="N204" s="32">
        <f t="shared" si="3"/>
        <v>0</v>
      </c>
      <c r="O204" s="134"/>
      <c r="P204" s="410"/>
      <c r="Q204" s="17"/>
      <c r="R204" s="407"/>
      <c r="S204" s="84"/>
      <c r="T204" s="187"/>
      <c r="U204" s="76"/>
      <c r="V204" s="445"/>
      <c r="W204" s="82"/>
      <c r="X204" s="358"/>
      <c r="Y204" s="358"/>
      <c r="Z204" s="358"/>
      <c r="AA204" s="91"/>
      <c r="AB204" s="91"/>
      <c r="AC204" s="91"/>
      <c r="AD204" s="91"/>
      <c r="AE204" s="91"/>
      <c r="AF204" s="91"/>
      <c r="AG204" s="91"/>
      <c r="AH204" s="91"/>
      <c r="AI204" s="366"/>
      <c r="AJ204" s="91"/>
    </row>
    <row r="205" spans="1:44" ht="15" customHeight="1" x14ac:dyDescent="0.25">
      <c r="A205" s="358"/>
      <c r="B205" s="358"/>
      <c r="C205" s="91"/>
      <c r="D205" s="359"/>
      <c r="E205" s="359"/>
      <c r="F205" s="91"/>
      <c r="G205" s="91"/>
      <c r="H205" s="91"/>
      <c r="I205" s="91"/>
      <c r="J205" s="91"/>
      <c r="K205" s="91"/>
      <c r="L205" s="91"/>
      <c r="M205" s="91"/>
      <c r="N205" s="32">
        <f t="shared" si="3"/>
        <v>0</v>
      </c>
      <c r="O205" s="134"/>
      <c r="P205" s="410"/>
      <c r="Q205" s="17"/>
      <c r="R205" s="407"/>
      <c r="S205" s="84"/>
      <c r="T205" s="187"/>
      <c r="U205" s="76"/>
      <c r="V205" s="445"/>
      <c r="W205" s="82"/>
      <c r="X205" s="358"/>
      <c r="Y205" s="358"/>
      <c r="Z205" s="358"/>
      <c r="AA205" s="91"/>
      <c r="AB205" s="91"/>
      <c r="AC205" s="91"/>
      <c r="AD205" s="91"/>
      <c r="AE205" s="91"/>
      <c r="AF205" s="91"/>
      <c r="AG205" s="91"/>
      <c r="AH205" s="91"/>
      <c r="AI205" s="366"/>
      <c r="AJ205" s="91"/>
    </row>
    <row r="206" spans="1:44" ht="15" customHeight="1" x14ac:dyDescent="0.25">
      <c r="A206" s="358"/>
      <c r="B206" s="358"/>
      <c r="C206" s="91"/>
      <c r="D206" s="359"/>
      <c r="E206" s="359"/>
      <c r="F206" s="91"/>
      <c r="G206" s="91"/>
      <c r="H206" s="91"/>
      <c r="I206" s="91"/>
      <c r="J206" s="91"/>
      <c r="K206" s="91"/>
      <c r="L206" s="91"/>
      <c r="M206" s="91"/>
      <c r="N206" s="32">
        <f t="shared" ref="N206:N269" si="4">SUM(O206:W206)</f>
        <v>0</v>
      </c>
      <c r="O206" s="16"/>
      <c r="P206" s="410"/>
      <c r="Q206" s="17"/>
      <c r="R206" s="407"/>
      <c r="S206" s="84"/>
      <c r="T206" s="187"/>
      <c r="U206" s="76"/>
      <c r="V206" s="445"/>
      <c r="W206" s="82"/>
      <c r="X206" s="358"/>
      <c r="Y206" s="358"/>
      <c r="Z206" s="358"/>
      <c r="AA206" s="91"/>
      <c r="AB206" s="91"/>
      <c r="AC206" s="91"/>
      <c r="AD206" s="91"/>
      <c r="AE206" s="91"/>
      <c r="AF206" s="91"/>
      <c r="AG206" s="91"/>
      <c r="AH206" s="91"/>
      <c r="AI206" s="366"/>
      <c r="AJ206" s="91"/>
    </row>
    <row r="207" spans="1:44" ht="15" customHeight="1" x14ac:dyDescent="0.25">
      <c r="A207" s="358"/>
      <c r="B207" s="358"/>
      <c r="C207" s="91"/>
      <c r="D207" s="359"/>
      <c r="E207" s="359"/>
      <c r="F207" s="91"/>
      <c r="G207" s="91"/>
      <c r="H207" s="91"/>
      <c r="I207" s="91"/>
      <c r="J207" s="91"/>
      <c r="K207" s="91"/>
      <c r="L207" s="91"/>
      <c r="M207" s="91"/>
      <c r="N207" s="32">
        <f t="shared" si="4"/>
        <v>0</v>
      </c>
      <c r="O207" s="16"/>
      <c r="P207" s="410"/>
      <c r="Q207" s="17"/>
      <c r="R207" s="407"/>
      <c r="S207" s="84"/>
      <c r="T207" s="187"/>
      <c r="U207" s="76"/>
      <c r="V207" s="445"/>
      <c r="W207" s="82"/>
      <c r="X207" s="358"/>
      <c r="Y207" s="358"/>
      <c r="Z207" s="358"/>
      <c r="AA207" s="91"/>
      <c r="AB207" s="91"/>
      <c r="AC207" s="91"/>
      <c r="AD207" s="91"/>
      <c r="AE207" s="91"/>
      <c r="AF207" s="91"/>
      <c r="AG207" s="91"/>
      <c r="AH207" s="91"/>
      <c r="AI207" s="366"/>
      <c r="AJ207" s="91"/>
    </row>
    <row r="208" spans="1:44" s="270" customFormat="1" ht="15" customHeight="1" x14ac:dyDescent="0.25">
      <c r="A208" s="358"/>
      <c r="B208" s="358"/>
      <c r="C208" s="91"/>
      <c r="D208" s="359"/>
      <c r="E208" s="361"/>
      <c r="F208" s="183"/>
      <c r="G208" s="91"/>
      <c r="H208" s="91"/>
      <c r="I208" s="91"/>
      <c r="J208" s="91"/>
      <c r="K208" s="91"/>
      <c r="L208" s="91"/>
      <c r="M208" s="91"/>
      <c r="N208" s="32">
        <f t="shared" si="4"/>
        <v>0</v>
      </c>
      <c r="O208" s="134"/>
      <c r="P208" s="410"/>
      <c r="Q208" s="17"/>
      <c r="R208" s="407"/>
      <c r="S208" s="84"/>
      <c r="T208" s="187"/>
      <c r="U208" s="76"/>
      <c r="V208" s="445"/>
      <c r="W208" s="82"/>
      <c r="X208" s="358"/>
      <c r="Y208" s="358"/>
      <c r="Z208" s="358"/>
      <c r="AA208" s="91"/>
      <c r="AB208" s="91"/>
      <c r="AC208" s="91"/>
      <c r="AD208" s="91"/>
      <c r="AE208" s="91"/>
      <c r="AF208" s="91"/>
      <c r="AG208" s="91"/>
      <c r="AH208" s="91"/>
      <c r="AI208" s="366"/>
      <c r="AJ208" s="91"/>
      <c r="AK208" s="2"/>
      <c r="AL208" s="2"/>
      <c r="AM208" s="2"/>
      <c r="AN208" s="2"/>
      <c r="AO208" s="2"/>
      <c r="AP208" s="2"/>
      <c r="AR208" s="2"/>
    </row>
    <row r="209" spans="1:41" ht="15" customHeight="1" x14ac:dyDescent="0.25">
      <c r="A209" s="358"/>
      <c r="B209" s="358"/>
      <c r="C209" s="91"/>
      <c r="D209" s="359"/>
      <c r="E209" s="361"/>
      <c r="F209" s="183"/>
      <c r="G209" s="91"/>
      <c r="H209" s="91"/>
      <c r="I209" s="91"/>
      <c r="J209" s="91"/>
      <c r="K209" s="91"/>
      <c r="L209" s="91"/>
      <c r="M209" s="91"/>
      <c r="N209" s="32">
        <f t="shared" si="4"/>
        <v>0</v>
      </c>
      <c r="O209" s="134"/>
      <c r="P209" s="410"/>
      <c r="Q209" s="17"/>
      <c r="R209" s="407"/>
      <c r="S209" s="84"/>
      <c r="T209" s="187"/>
      <c r="U209" s="76"/>
      <c r="V209" s="445"/>
      <c r="W209" s="82"/>
      <c r="X209" s="358"/>
      <c r="Y209" s="358"/>
      <c r="Z209" s="358"/>
      <c r="AA209" s="91"/>
      <c r="AB209" s="91"/>
      <c r="AC209" s="91"/>
      <c r="AD209" s="91"/>
      <c r="AE209" s="91"/>
      <c r="AF209" s="91"/>
      <c r="AG209" s="91"/>
      <c r="AH209" s="91"/>
      <c r="AI209" s="366"/>
      <c r="AJ209" s="91"/>
    </row>
    <row r="210" spans="1:41" ht="15" customHeight="1" x14ac:dyDescent="0.25">
      <c r="A210" s="358"/>
      <c r="B210" s="358"/>
      <c r="C210" s="91"/>
      <c r="D210" s="359"/>
      <c r="E210" s="361"/>
      <c r="F210" s="183"/>
      <c r="G210" s="91"/>
      <c r="H210" s="91"/>
      <c r="I210" s="91"/>
      <c r="J210" s="91"/>
      <c r="K210" s="91"/>
      <c r="L210" s="91"/>
      <c r="M210" s="91"/>
      <c r="N210" s="32">
        <f t="shared" si="4"/>
        <v>0</v>
      </c>
      <c r="O210" s="134"/>
      <c r="P210" s="410"/>
      <c r="Q210" s="17"/>
      <c r="R210" s="407"/>
      <c r="S210" s="84"/>
      <c r="T210" s="187"/>
      <c r="U210" s="76"/>
      <c r="V210" s="445"/>
      <c r="W210" s="82"/>
      <c r="X210" s="358"/>
      <c r="Y210" s="358"/>
      <c r="Z210" s="358"/>
      <c r="AA210" s="91"/>
      <c r="AB210" s="91"/>
      <c r="AC210" s="91"/>
      <c r="AD210" s="91"/>
      <c r="AE210" s="91"/>
      <c r="AF210" s="91"/>
      <c r="AG210" s="91"/>
      <c r="AH210" s="91"/>
      <c r="AI210" s="366"/>
      <c r="AJ210" s="91"/>
    </row>
    <row r="211" spans="1:41" ht="15" customHeight="1" x14ac:dyDescent="0.25">
      <c r="A211" s="358"/>
      <c r="B211" s="358"/>
      <c r="C211" s="91"/>
      <c r="D211" s="359"/>
      <c r="E211" s="361"/>
      <c r="F211" s="183"/>
      <c r="G211" s="91"/>
      <c r="H211" s="91"/>
      <c r="I211" s="91"/>
      <c r="J211" s="91"/>
      <c r="K211" s="91"/>
      <c r="L211" s="91"/>
      <c r="M211" s="91"/>
      <c r="N211" s="32">
        <f t="shared" si="4"/>
        <v>0</v>
      </c>
      <c r="O211" s="134"/>
      <c r="P211" s="410"/>
      <c r="Q211" s="17"/>
      <c r="R211" s="407"/>
      <c r="S211" s="84"/>
      <c r="T211" s="187"/>
      <c r="U211" s="76"/>
      <c r="V211" s="445"/>
      <c r="W211" s="82"/>
      <c r="X211" s="358"/>
      <c r="Y211" s="358"/>
      <c r="Z211" s="358"/>
      <c r="AA211" s="91"/>
      <c r="AB211" s="91"/>
      <c r="AC211" s="91"/>
      <c r="AD211" s="91"/>
      <c r="AE211" s="91"/>
      <c r="AF211" s="91"/>
      <c r="AG211" s="91"/>
      <c r="AH211" s="91"/>
      <c r="AI211" s="366"/>
      <c r="AJ211" s="91"/>
    </row>
    <row r="212" spans="1:41" ht="15" customHeight="1" x14ac:dyDescent="0.25">
      <c r="A212" s="358"/>
      <c r="B212" s="358"/>
      <c r="C212" s="91"/>
      <c r="D212" s="359"/>
      <c r="E212" s="359"/>
      <c r="F212" s="91"/>
      <c r="G212" s="91"/>
      <c r="H212" s="91"/>
      <c r="I212" s="91"/>
      <c r="J212" s="91"/>
      <c r="K212" s="91"/>
      <c r="L212" s="91"/>
      <c r="M212" s="91"/>
      <c r="N212" s="32">
        <f t="shared" si="4"/>
        <v>0</v>
      </c>
      <c r="O212" s="134"/>
      <c r="P212" s="410"/>
      <c r="Q212" s="17"/>
      <c r="R212" s="407"/>
      <c r="S212" s="84"/>
      <c r="T212" s="187"/>
      <c r="U212" s="76"/>
      <c r="V212" s="445"/>
      <c r="W212" s="82"/>
      <c r="X212" s="358"/>
      <c r="Y212" s="358"/>
      <c r="Z212" s="358"/>
      <c r="AA212" s="91"/>
      <c r="AB212" s="91"/>
      <c r="AC212" s="91"/>
      <c r="AD212" s="91"/>
      <c r="AE212" s="91"/>
      <c r="AF212" s="91"/>
      <c r="AG212" s="91"/>
      <c r="AH212" s="91"/>
      <c r="AI212" s="366"/>
      <c r="AJ212" s="91"/>
    </row>
    <row r="213" spans="1:41" ht="15" customHeight="1" x14ac:dyDescent="0.25">
      <c r="A213" s="358"/>
      <c r="B213" s="358"/>
      <c r="C213" s="91"/>
      <c r="D213" s="359"/>
      <c r="E213" s="359"/>
      <c r="F213" s="91"/>
      <c r="G213" s="91"/>
      <c r="H213" s="91"/>
      <c r="I213" s="91"/>
      <c r="J213" s="91"/>
      <c r="K213" s="91"/>
      <c r="L213" s="91"/>
      <c r="M213" s="91"/>
      <c r="N213" s="32">
        <f t="shared" si="4"/>
        <v>0</v>
      </c>
      <c r="O213" s="16"/>
      <c r="P213" s="410"/>
      <c r="Q213" s="17"/>
      <c r="R213" s="407"/>
      <c r="S213" s="84"/>
      <c r="T213" s="187"/>
      <c r="U213" s="76"/>
      <c r="V213" s="445"/>
      <c r="W213" s="82"/>
      <c r="X213" s="358"/>
      <c r="Y213" s="358"/>
      <c r="Z213" s="358"/>
      <c r="AA213" s="91"/>
      <c r="AB213" s="91"/>
      <c r="AC213" s="91"/>
      <c r="AD213" s="91"/>
      <c r="AE213" s="91"/>
      <c r="AF213" s="91"/>
      <c r="AG213" s="91"/>
      <c r="AH213" s="91"/>
      <c r="AI213" s="366"/>
      <c r="AJ213" s="91"/>
    </row>
    <row r="214" spans="1:41" ht="15" customHeight="1" x14ac:dyDescent="0.25">
      <c r="A214" s="358"/>
      <c r="B214" s="358"/>
      <c r="C214" s="91"/>
      <c r="D214" s="359"/>
      <c r="E214" s="359"/>
      <c r="F214" s="91"/>
      <c r="G214" s="91"/>
      <c r="H214" s="91"/>
      <c r="I214" s="91"/>
      <c r="J214" s="91"/>
      <c r="K214" s="91"/>
      <c r="L214" s="91"/>
      <c r="M214" s="91"/>
      <c r="N214" s="32">
        <f t="shared" si="4"/>
        <v>0</v>
      </c>
      <c r="O214" s="16"/>
      <c r="P214" s="410"/>
      <c r="Q214" s="17"/>
      <c r="R214" s="407"/>
      <c r="S214" s="84"/>
      <c r="T214" s="187"/>
      <c r="U214" s="76"/>
      <c r="V214" s="445"/>
      <c r="W214" s="82"/>
      <c r="X214" s="358"/>
      <c r="Y214" s="358"/>
      <c r="Z214" s="358"/>
      <c r="AA214" s="91"/>
      <c r="AB214" s="91"/>
      <c r="AC214" s="91"/>
      <c r="AD214" s="91"/>
      <c r="AE214" s="91"/>
      <c r="AF214" s="91"/>
      <c r="AG214" s="91"/>
      <c r="AH214" s="91"/>
      <c r="AI214" s="366"/>
      <c r="AJ214" s="91"/>
    </row>
    <row r="215" spans="1:41" ht="15" customHeight="1" x14ac:dyDescent="0.25">
      <c r="A215" s="358"/>
      <c r="B215" s="358"/>
      <c r="C215" s="91"/>
      <c r="D215" s="359"/>
      <c r="E215" s="359"/>
      <c r="F215" s="91"/>
      <c r="G215" s="91"/>
      <c r="H215" s="91"/>
      <c r="I215" s="91"/>
      <c r="J215" s="91"/>
      <c r="K215" s="91"/>
      <c r="L215" s="91"/>
      <c r="M215" s="91"/>
      <c r="N215" s="32">
        <f t="shared" si="4"/>
        <v>0</v>
      </c>
      <c r="O215" s="16"/>
      <c r="P215" s="410"/>
      <c r="Q215" s="17"/>
      <c r="R215" s="407"/>
      <c r="S215" s="84"/>
      <c r="T215" s="187"/>
      <c r="U215" s="76"/>
      <c r="V215" s="445"/>
      <c r="W215" s="82"/>
      <c r="X215" s="358"/>
      <c r="Y215" s="358"/>
      <c r="Z215" s="358"/>
      <c r="AA215" s="91"/>
      <c r="AB215" s="91"/>
      <c r="AC215" s="91"/>
      <c r="AD215" s="91"/>
      <c r="AE215" s="91"/>
      <c r="AF215" s="91"/>
      <c r="AG215" s="91"/>
      <c r="AH215" s="91"/>
      <c r="AI215" s="366"/>
      <c r="AJ215" s="91"/>
    </row>
    <row r="216" spans="1:41" ht="15" customHeight="1" x14ac:dyDescent="0.25">
      <c r="A216" s="358"/>
      <c r="B216" s="358"/>
      <c r="C216" s="91"/>
      <c r="D216" s="359"/>
      <c r="E216" s="359"/>
      <c r="F216" s="91"/>
      <c r="G216" s="91"/>
      <c r="H216" s="91"/>
      <c r="I216" s="91"/>
      <c r="J216" s="91"/>
      <c r="K216" s="91"/>
      <c r="L216" s="91"/>
      <c r="M216" s="91"/>
      <c r="N216" s="32">
        <f t="shared" si="4"/>
        <v>0</v>
      </c>
      <c r="O216" s="16"/>
      <c r="P216" s="410"/>
      <c r="Q216" s="17"/>
      <c r="R216" s="407"/>
      <c r="S216" s="84"/>
      <c r="T216" s="187"/>
      <c r="U216" s="76"/>
      <c r="V216" s="445"/>
      <c r="W216" s="82"/>
      <c r="X216" s="358"/>
      <c r="Y216" s="358"/>
      <c r="Z216" s="358"/>
      <c r="AA216" s="91"/>
      <c r="AB216" s="91"/>
      <c r="AC216" s="91"/>
      <c r="AD216" s="91"/>
      <c r="AE216" s="91"/>
      <c r="AF216" s="91"/>
      <c r="AG216" s="91"/>
      <c r="AH216" s="91"/>
      <c r="AI216" s="366"/>
      <c r="AJ216" s="91"/>
    </row>
    <row r="217" spans="1:41" ht="15" customHeight="1" x14ac:dyDescent="0.25">
      <c r="A217" s="358"/>
      <c r="B217" s="358"/>
      <c r="C217" s="91"/>
      <c r="D217" s="359"/>
      <c r="E217" s="359"/>
      <c r="F217" s="91"/>
      <c r="G217" s="91"/>
      <c r="H217" s="91"/>
      <c r="I217" s="91"/>
      <c r="J217" s="91"/>
      <c r="K217" s="91"/>
      <c r="L217" s="91"/>
      <c r="M217" s="91"/>
      <c r="N217" s="32">
        <f t="shared" si="4"/>
        <v>0</v>
      </c>
      <c r="O217" s="134"/>
      <c r="P217" s="410"/>
      <c r="Q217" s="17"/>
      <c r="R217" s="407"/>
      <c r="S217" s="84"/>
      <c r="T217" s="187"/>
      <c r="U217" s="76"/>
      <c r="V217" s="445"/>
      <c r="W217" s="82"/>
      <c r="X217" s="358"/>
      <c r="Y217" s="358"/>
      <c r="Z217" s="358"/>
      <c r="AA217" s="91"/>
      <c r="AB217" s="91"/>
      <c r="AC217" s="91"/>
      <c r="AD217" s="91"/>
      <c r="AE217" s="91"/>
      <c r="AF217" s="91"/>
      <c r="AG217" s="91"/>
      <c r="AH217" s="91"/>
      <c r="AI217" s="366"/>
      <c r="AJ217" s="91"/>
    </row>
    <row r="218" spans="1:41" ht="15" customHeight="1" x14ac:dyDescent="0.25">
      <c r="A218" s="358"/>
      <c r="B218" s="358"/>
      <c r="C218" s="91"/>
      <c r="D218" s="359"/>
      <c r="E218" s="359"/>
      <c r="F218" s="91"/>
      <c r="G218" s="91"/>
      <c r="H218" s="91"/>
      <c r="I218" s="91"/>
      <c r="J218" s="91"/>
      <c r="K218" s="91"/>
      <c r="L218" s="91"/>
      <c r="M218" s="91"/>
      <c r="N218" s="32">
        <f t="shared" si="4"/>
        <v>0</v>
      </c>
      <c r="O218" s="134"/>
      <c r="P218" s="410"/>
      <c r="Q218" s="17"/>
      <c r="R218" s="407"/>
      <c r="S218" s="84"/>
      <c r="T218" s="187"/>
      <c r="U218" s="76"/>
      <c r="V218" s="445"/>
      <c r="W218" s="82"/>
      <c r="X218" s="358"/>
      <c r="Y218" s="358"/>
      <c r="Z218" s="358"/>
      <c r="AA218" s="91"/>
      <c r="AB218" s="91"/>
      <c r="AC218" s="91"/>
      <c r="AD218" s="91"/>
      <c r="AE218" s="91"/>
      <c r="AF218" s="91"/>
      <c r="AG218" s="91"/>
      <c r="AH218" s="91"/>
      <c r="AI218" s="366"/>
      <c r="AJ218" s="91"/>
    </row>
    <row r="219" spans="1:41" ht="15" customHeight="1" x14ac:dyDescent="0.25">
      <c r="A219" s="358"/>
      <c r="B219" s="358"/>
      <c r="C219" s="91"/>
      <c r="D219" s="359"/>
      <c r="E219" s="359"/>
      <c r="F219" s="91"/>
      <c r="G219" s="91"/>
      <c r="H219" s="91"/>
      <c r="I219" s="91"/>
      <c r="J219" s="91"/>
      <c r="K219" s="91"/>
      <c r="L219" s="91"/>
      <c r="M219" s="91"/>
      <c r="N219" s="32">
        <f t="shared" si="4"/>
        <v>0</v>
      </c>
      <c r="O219" s="134"/>
      <c r="P219" s="410"/>
      <c r="Q219" s="17"/>
      <c r="R219" s="407"/>
      <c r="S219" s="84"/>
      <c r="T219" s="187"/>
      <c r="U219" s="76"/>
      <c r="V219" s="445"/>
      <c r="W219" s="82"/>
      <c r="X219" s="358"/>
      <c r="Y219" s="358"/>
      <c r="Z219" s="358"/>
      <c r="AA219" s="91"/>
      <c r="AB219" s="91"/>
      <c r="AC219" s="91"/>
      <c r="AD219" s="91"/>
      <c r="AE219" s="91"/>
      <c r="AF219" s="91"/>
      <c r="AG219" s="91"/>
      <c r="AH219" s="91"/>
      <c r="AI219" s="366"/>
      <c r="AJ219" s="91"/>
    </row>
    <row r="220" spans="1:41" ht="15" customHeight="1" x14ac:dyDescent="0.25">
      <c r="A220" s="358"/>
      <c r="B220" s="358"/>
      <c r="C220" s="91"/>
      <c r="D220" s="359"/>
      <c r="E220" s="359"/>
      <c r="F220" s="91"/>
      <c r="G220" s="91"/>
      <c r="H220" s="91"/>
      <c r="I220" s="91"/>
      <c r="J220" s="91"/>
      <c r="K220" s="91"/>
      <c r="L220" s="91"/>
      <c r="M220" s="91"/>
      <c r="N220" s="32">
        <f t="shared" si="4"/>
        <v>0</v>
      </c>
      <c r="O220" s="134"/>
      <c r="P220" s="410"/>
      <c r="Q220" s="17"/>
      <c r="R220" s="407"/>
      <c r="S220" s="84"/>
      <c r="T220" s="187"/>
      <c r="U220" s="76"/>
      <c r="V220" s="445"/>
      <c r="W220" s="82"/>
      <c r="X220" s="358"/>
      <c r="Y220" s="358"/>
      <c r="Z220" s="358"/>
      <c r="AA220" s="91"/>
      <c r="AB220" s="91"/>
      <c r="AC220" s="91"/>
      <c r="AD220" s="91"/>
      <c r="AE220" s="91"/>
      <c r="AF220" s="91"/>
      <c r="AG220" s="91"/>
      <c r="AH220" s="91"/>
      <c r="AI220" s="366"/>
      <c r="AJ220" s="91"/>
    </row>
    <row r="221" spans="1:41" ht="15" customHeight="1" x14ac:dyDescent="0.25">
      <c r="A221" s="358"/>
      <c r="B221" s="358"/>
      <c r="C221" s="91"/>
      <c r="D221" s="359"/>
      <c r="E221" s="359"/>
      <c r="F221" s="91"/>
      <c r="G221" s="91"/>
      <c r="H221" s="91"/>
      <c r="I221" s="91"/>
      <c r="J221" s="91"/>
      <c r="K221" s="91"/>
      <c r="L221" s="91"/>
      <c r="M221" s="91"/>
      <c r="N221" s="32">
        <f t="shared" si="4"/>
        <v>0</v>
      </c>
      <c r="O221" s="134"/>
      <c r="P221" s="410"/>
      <c r="Q221" s="17"/>
      <c r="R221" s="407"/>
      <c r="S221" s="84"/>
      <c r="T221" s="187"/>
      <c r="U221" s="76"/>
      <c r="V221" s="445"/>
      <c r="W221" s="82"/>
      <c r="X221" s="358"/>
      <c r="Y221" s="358"/>
      <c r="Z221" s="358"/>
      <c r="AA221" s="91"/>
      <c r="AB221" s="91"/>
      <c r="AC221" s="91"/>
      <c r="AD221" s="91"/>
      <c r="AE221" s="91"/>
      <c r="AF221" s="91"/>
      <c r="AG221" s="91"/>
      <c r="AH221" s="91"/>
      <c r="AI221" s="366"/>
      <c r="AJ221" s="91"/>
    </row>
    <row r="222" spans="1:41" ht="15" customHeight="1" x14ac:dyDescent="0.25">
      <c r="A222" s="358"/>
      <c r="B222" s="358"/>
      <c r="C222" s="91"/>
      <c r="D222" s="359"/>
      <c r="E222" s="359"/>
      <c r="F222" s="91"/>
      <c r="G222" s="91"/>
      <c r="H222" s="91"/>
      <c r="I222" s="91"/>
      <c r="J222" s="91"/>
      <c r="K222" s="91"/>
      <c r="L222" s="91"/>
      <c r="M222" s="91"/>
      <c r="N222" s="32">
        <f t="shared" si="4"/>
        <v>0</v>
      </c>
      <c r="O222" s="134"/>
      <c r="P222" s="410"/>
      <c r="Q222" s="17"/>
      <c r="R222" s="407"/>
      <c r="S222" s="84"/>
      <c r="T222" s="187"/>
      <c r="U222" s="76"/>
      <c r="V222" s="445"/>
      <c r="W222" s="82"/>
      <c r="X222" s="358"/>
      <c r="Y222" s="358"/>
      <c r="Z222" s="358"/>
      <c r="AA222" s="91"/>
      <c r="AB222" s="91"/>
      <c r="AC222" s="91"/>
      <c r="AD222" s="91"/>
      <c r="AE222" s="91"/>
      <c r="AF222" s="91"/>
      <c r="AG222" s="91"/>
      <c r="AH222" s="91"/>
      <c r="AI222" s="366"/>
      <c r="AJ222" s="91"/>
      <c r="AK222" s="270"/>
      <c r="AL222" s="270"/>
      <c r="AM222" s="270"/>
      <c r="AN222" s="270"/>
      <c r="AO222" s="270"/>
    </row>
    <row r="223" spans="1:41" ht="15" customHeight="1" x14ac:dyDescent="0.25">
      <c r="A223" s="358"/>
      <c r="B223" s="358"/>
      <c r="C223" s="91"/>
      <c r="D223" s="359"/>
      <c r="E223" s="359"/>
      <c r="F223" s="91"/>
      <c r="G223" s="91"/>
      <c r="H223" s="91"/>
      <c r="I223" s="91"/>
      <c r="J223" s="91"/>
      <c r="K223" s="91"/>
      <c r="L223" s="91"/>
      <c r="M223" s="91"/>
      <c r="N223" s="32">
        <f t="shared" si="4"/>
        <v>0</v>
      </c>
      <c r="O223" s="134"/>
      <c r="P223" s="410"/>
      <c r="Q223" s="17"/>
      <c r="R223" s="407"/>
      <c r="S223" s="84"/>
      <c r="T223" s="187"/>
      <c r="U223" s="76"/>
      <c r="V223" s="445"/>
      <c r="W223" s="82"/>
      <c r="X223" s="358"/>
      <c r="Y223" s="358"/>
      <c r="Z223" s="358"/>
      <c r="AA223" s="91"/>
      <c r="AB223" s="91"/>
      <c r="AC223" s="91"/>
      <c r="AD223" s="91"/>
      <c r="AE223" s="91"/>
      <c r="AF223" s="91"/>
      <c r="AG223" s="91"/>
      <c r="AH223" s="91"/>
      <c r="AI223" s="366"/>
      <c r="AJ223" s="91"/>
      <c r="AK223" s="270"/>
      <c r="AL223" s="270"/>
      <c r="AM223" s="270"/>
      <c r="AN223" s="270"/>
      <c r="AO223" s="270"/>
    </row>
    <row r="224" spans="1:41" ht="15" customHeight="1" x14ac:dyDescent="0.25">
      <c r="A224" s="358"/>
      <c r="B224" s="358"/>
      <c r="C224" s="91"/>
      <c r="D224" s="359"/>
      <c r="E224" s="359"/>
      <c r="F224" s="91"/>
      <c r="G224" s="91"/>
      <c r="H224" s="91"/>
      <c r="I224" s="91"/>
      <c r="J224" s="91"/>
      <c r="K224" s="91"/>
      <c r="L224" s="91"/>
      <c r="M224" s="91"/>
      <c r="N224" s="32">
        <f t="shared" si="4"/>
        <v>0</v>
      </c>
      <c r="O224" s="134"/>
      <c r="P224" s="410"/>
      <c r="Q224" s="17"/>
      <c r="R224" s="407"/>
      <c r="S224" s="84"/>
      <c r="T224" s="187"/>
      <c r="U224" s="76"/>
      <c r="V224" s="445"/>
      <c r="W224" s="82"/>
      <c r="X224" s="358"/>
      <c r="Y224" s="358"/>
      <c r="Z224" s="358"/>
      <c r="AA224" s="91"/>
      <c r="AB224" s="91"/>
      <c r="AC224" s="91"/>
      <c r="AD224" s="91"/>
      <c r="AE224" s="91"/>
      <c r="AF224" s="91"/>
      <c r="AG224" s="91"/>
      <c r="AH224" s="91"/>
      <c r="AI224" s="366"/>
      <c r="AJ224" s="91"/>
      <c r="AK224" s="270"/>
      <c r="AL224" s="270"/>
      <c r="AM224" s="270"/>
      <c r="AN224" s="270"/>
      <c r="AO224" s="270"/>
    </row>
    <row r="225" spans="1:44" ht="15" customHeight="1" x14ac:dyDescent="0.25">
      <c r="A225" s="358"/>
      <c r="B225" s="358"/>
      <c r="C225" s="91"/>
      <c r="D225" s="359"/>
      <c r="E225" s="359"/>
      <c r="F225" s="91"/>
      <c r="G225" s="91"/>
      <c r="H225" s="91"/>
      <c r="I225" s="91"/>
      <c r="J225" s="91"/>
      <c r="K225" s="91"/>
      <c r="L225" s="91"/>
      <c r="M225" s="91"/>
      <c r="N225" s="32">
        <f t="shared" si="4"/>
        <v>0</v>
      </c>
      <c r="O225" s="134"/>
      <c r="P225" s="410"/>
      <c r="Q225" s="17"/>
      <c r="R225" s="407"/>
      <c r="S225" s="84"/>
      <c r="T225" s="187"/>
      <c r="U225" s="76"/>
      <c r="V225" s="445"/>
      <c r="W225" s="82"/>
      <c r="X225" s="358"/>
      <c r="Y225" s="358"/>
      <c r="Z225" s="358"/>
      <c r="AA225" s="91"/>
      <c r="AB225" s="91"/>
      <c r="AC225" s="91"/>
      <c r="AD225" s="91"/>
      <c r="AE225" s="91"/>
      <c r="AF225" s="91"/>
      <c r="AG225" s="91"/>
      <c r="AH225" s="91"/>
      <c r="AI225" s="366"/>
      <c r="AJ225" s="91"/>
      <c r="AK225" s="270"/>
      <c r="AL225" s="270"/>
      <c r="AM225" s="270"/>
      <c r="AN225" s="270"/>
      <c r="AO225" s="270"/>
    </row>
    <row r="226" spans="1:44" ht="15" customHeight="1" x14ac:dyDescent="0.25">
      <c r="A226" s="358"/>
      <c r="B226" s="358"/>
      <c r="C226" s="91"/>
      <c r="D226" s="359"/>
      <c r="E226" s="359"/>
      <c r="F226" s="91"/>
      <c r="G226" s="91"/>
      <c r="H226" s="91"/>
      <c r="I226" s="91"/>
      <c r="J226" s="91"/>
      <c r="K226" s="91"/>
      <c r="L226" s="91"/>
      <c r="M226" s="91"/>
      <c r="N226" s="32">
        <f t="shared" si="4"/>
        <v>0</v>
      </c>
      <c r="O226" s="134"/>
      <c r="P226" s="410"/>
      <c r="Q226" s="17"/>
      <c r="R226" s="407"/>
      <c r="S226" s="84"/>
      <c r="T226" s="187"/>
      <c r="U226" s="76"/>
      <c r="V226" s="445"/>
      <c r="W226" s="82"/>
      <c r="X226" s="358"/>
      <c r="Y226" s="358"/>
      <c r="Z226" s="358"/>
      <c r="AA226" s="91"/>
      <c r="AB226" s="91"/>
      <c r="AC226" s="91"/>
      <c r="AD226" s="91"/>
      <c r="AE226" s="91"/>
      <c r="AF226" s="91"/>
      <c r="AG226" s="91"/>
      <c r="AH226" s="91"/>
      <c r="AI226" s="366"/>
      <c r="AJ226" s="91"/>
      <c r="AK226" s="270"/>
      <c r="AL226" s="270"/>
      <c r="AM226" s="270"/>
      <c r="AN226" s="270"/>
      <c r="AO226" s="270"/>
    </row>
    <row r="227" spans="1:44" ht="15" customHeight="1" x14ac:dyDescent="0.25">
      <c r="A227" s="358"/>
      <c r="B227" s="358"/>
      <c r="C227" s="91"/>
      <c r="D227" s="359"/>
      <c r="E227" s="359"/>
      <c r="F227" s="91"/>
      <c r="G227" s="91"/>
      <c r="H227" s="91"/>
      <c r="I227" s="91"/>
      <c r="J227" s="91"/>
      <c r="K227" s="91"/>
      <c r="L227" s="91"/>
      <c r="M227" s="91"/>
      <c r="N227" s="32">
        <f t="shared" si="4"/>
        <v>0</v>
      </c>
      <c r="O227" s="134"/>
      <c r="P227" s="410"/>
      <c r="Q227" s="17"/>
      <c r="R227" s="407"/>
      <c r="S227" s="84"/>
      <c r="T227" s="187"/>
      <c r="U227" s="76"/>
      <c r="V227" s="445"/>
      <c r="W227" s="82"/>
      <c r="X227" s="358"/>
      <c r="Y227" s="358"/>
      <c r="Z227" s="358"/>
      <c r="AA227" s="91"/>
      <c r="AB227" s="91"/>
      <c r="AC227" s="91"/>
      <c r="AD227" s="91"/>
      <c r="AE227" s="91"/>
      <c r="AF227" s="91"/>
      <c r="AG227" s="91"/>
      <c r="AH227" s="91"/>
      <c r="AI227" s="366"/>
      <c r="AJ227" s="91"/>
      <c r="AP227" s="270"/>
    </row>
    <row r="228" spans="1:44" ht="15" customHeight="1" x14ac:dyDescent="0.25">
      <c r="A228" s="358"/>
      <c r="B228" s="358"/>
      <c r="C228" s="91"/>
      <c r="D228" s="359"/>
      <c r="E228" s="359"/>
      <c r="F228" s="91"/>
      <c r="G228" s="91"/>
      <c r="H228" s="91"/>
      <c r="I228" s="91"/>
      <c r="J228" s="91"/>
      <c r="K228" s="91"/>
      <c r="L228" s="91"/>
      <c r="M228" s="91"/>
      <c r="N228" s="32">
        <f t="shared" si="4"/>
        <v>0</v>
      </c>
      <c r="O228" s="134"/>
      <c r="P228" s="410"/>
      <c r="Q228" s="17"/>
      <c r="R228" s="407"/>
      <c r="S228" s="84"/>
      <c r="T228" s="187"/>
      <c r="U228" s="76"/>
      <c r="V228" s="445"/>
      <c r="W228" s="82"/>
      <c r="X228" s="358"/>
      <c r="Y228" s="358"/>
      <c r="Z228" s="358"/>
      <c r="AA228" s="91"/>
      <c r="AB228" s="91"/>
      <c r="AC228" s="91"/>
      <c r="AD228" s="91"/>
      <c r="AE228" s="91"/>
      <c r="AF228" s="91"/>
      <c r="AG228" s="91"/>
      <c r="AH228" s="91"/>
      <c r="AI228" s="366"/>
      <c r="AJ228" s="91"/>
      <c r="AP228" s="270"/>
    </row>
    <row r="229" spans="1:44" ht="15" customHeight="1" x14ac:dyDescent="0.25">
      <c r="A229" s="358"/>
      <c r="B229" s="358"/>
      <c r="C229" s="91"/>
      <c r="D229" s="359"/>
      <c r="E229" s="359"/>
      <c r="F229" s="91"/>
      <c r="G229" s="91"/>
      <c r="H229" s="91"/>
      <c r="I229" s="91"/>
      <c r="J229" s="91"/>
      <c r="K229" s="91"/>
      <c r="L229" s="91"/>
      <c r="M229" s="91"/>
      <c r="N229" s="32">
        <f t="shared" si="4"/>
        <v>0</v>
      </c>
      <c r="O229" s="134"/>
      <c r="P229" s="410"/>
      <c r="Q229" s="17"/>
      <c r="R229" s="407"/>
      <c r="S229" s="84"/>
      <c r="T229" s="187"/>
      <c r="U229" s="76"/>
      <c r="V229" s="445"/>
      <c r="W229" s="82"/>
      <c r="X229" s="358"/>
      <c r="Y229" s="358"/>
      <c r="Z229" s="358"/>
      <c r="AA229" s="91"/>
      <c r="AB229" s="91"/>
      <c r="AC229" s="91"/>
      <c r="AD229" s="91"/>
      <c r="AE229" s="91"/>
      <c r="AF229" s="91"/>
      <c r="AG229" s="91"/>
      <c r="AH229" s="91"/>
      <c r="AI229" s="366"/>
      <c r="AJ229" s="91"/>
      <c r="AP229" s="270"/>
    </row>
    <row r="230" spans="1:44" ht="15" customHeight="1" x14ac:dyDescent="0.25">
      <c r="A230" s="358"/>
      <c r="B230" s="358"/>
      <c r="C230" s="91"/>
      <c r="D230" s="359"/>
      <c r="E230" s="359"/>
      <c r="F230" s="91"/>
      <c r="G230" s="91"/>
      <c r="H230" s="91"/>
      <c r="I230" s="91"/>
      <c r="J230" s="91"/>
      <c r="K230" s="91"/>
      <c r="L230" s="91"/>
      <c r="M230" s="91"/>
      <c r="N230" s="32">
        <f t="shared" si="4"/>
        <v>0</v>
      </c>
      <c r="O230" s="134"/>
      <c r="P230" s="410"/>
      <c r="Q230" s="17"/>
      <c r="R230" s="407"/>
      <c r="S230" s="84"/>
      <c r="T230" s="187"/>
      <c r="U230" s="76"/>
      <c r="V230" s="445"/>
      <c r="W230" s="82"/>
      <c r="X230" s="358"/>
      <c r="Y230" s="358"/>
      <c r="Z230" s="358"/>
      <c r="AA230" s="91"/>
      <c r="AB230" s="91"/>
      <c r="AC230" s="91"/>
      <c r="AD230" s="91"/>
      <c r="AE230" s="91"/>
      <c r="AF230" s="91"/>
      <c r="AG230" s="91"/>
      <c r="AH230" s="91"/>
      <c r="AI230" s="366"/>
      <c r="AJ230" s="91"/>
      <c r="AP230" s="270"/>
    </row>
    <row r="231" spans="1:44" ht="15" customHeight="1" x14ac:dyDescent="0.25">
      <c r="A231" s="358"/>
      <c r="B231" s="358"/>
      <c r="C231" s="91"/>
      <c r="D231" s="359"/>
      <c r="E231" s="359"/>
      <c r="F231" s="91"/>
      <c r="G231" s="91"/>
      <c r="H231" s="91"/>
      <c r="I231" s="91"/>
      <c r="J231" s="91"/>
      <c r="K231" s="91"/>
      <c r="L231" s="91"/>
      <c r="M231" s="91"/>
      <c r="N231" s="32">
        <f t="shared" si="4"/>
        <v>0</v>
      </c>
      <c r="O231" s="134"/>
      <c r="P231" s="410"/>
      <c r="Q231" s="17"/>
      <c r="R231" s="407"/>
      <c r="S231" s="84"/>
      <c r="T231" s="187"/>
      <c r="U231" s="76"/>
      <c r="V231" s="445"/>
      <c r="W231" s="82"/>
      <c r="X231" s="358"/>
      <c r="Y231" s="358"/>
      <c r="Z231" s="358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P231" s="270"/>
    </row>
    <row r="232" spans="1:44" ht="15" customHeight="1" x14ac:dyDescent="0.25">
      <c r="A232" s="358"/>
      <c r="B232" s="358"/>
      <c r="C232" s="91"/>
      <c r="D232" s="359"/>
      <c r="E232" s="359"/>
      <c r="F232" s="91"/>
      <c r="G232" s="91"/>
      <c r="H232" s="91"/>
      <c r="I232" s="91"/>
      <c r="J232" s="91"/>
      <c r="K232" s="91"/>
      <c r="L232" s="91"/>
      <c r="M232" s="91"/>
      <c r="N232" s="32">
        <f t="shared" si="4"/>
        <v>0</v>
      </c>
      <c r="O232" s="134"/>
      <c r="P232" s="410"/>
      <c r="Q232" s="17"/>
      <c r="R232" s="407"/>
      <c r="S232" s="84"/>
      <c r="T232" s="187"/>
      <c r="U232" s="76"/>
      <c r="V232" s="445"/>
      <c r="W232" s="82"/>
      <c r="X232" s="358"/>
      <c r="Y232" s="358"/>
      <c r="Z232" s="358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</row>
    <row r="233" spans="1:44" ht="15" customHeight="1" x14ac:dyDescent="0.25">
      <c r="A233" s="358"/>
      <c r="B233" s="358"/>
      <c r="C233" s="91"/>
      <c r="D233" s="359"/>
      <c r="E233" s="359"/>
      <c r="F233" s="91"/>
      <c r="G233" s="91"/>
      <c r="H233" s="91"/>
      <c r="I233" s="91"/>
      <c r="J233" s="91"/>
      <c r="K233" s="91"/>
      <c r="L233" s="91"/>
      <c r="M233" s="91"/>
      <c r="N233" s="32">
        <f t="shared" si="4"/>
        <v>0</v>
      </c>
      <c r="O233" s="134"/>
      <c r="P233" s="410"/>
      <c r="Q233" s="17"/>
      <c r="R233" s="407"/>
      <c r="S233" s="84"/>
      <c r="T233" s="187"/>
      <c r="U233" s="76"/>
      <c r="V233" s="445"/>
      <c r="W233" s="82"/>
      <c r="X233" s="358"/>
      <c r="Y233" s="358"/>
      <c r="Z233" s="358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</row>
    <row r="234" spans="1:44" ht="15" customHeight="1" x14ac:dyDescent="0.25">
      <c r="A234" s="358"/>
      <c r="B234" s="358"/>
      <c r="C234" s="91"/>
      <c r="D234" s="359"/>
      <c r="E234" s="359"/>
      <c r="F234" s="91"/>
      <c r="G234" s="91"/>
      <c r="H234" s="91"/>
      <c r="I234" s="91"/>
      <c r="J234" s="91"/>
      <c r="K234" s="91"/>
      <c r="L234" s="91"/>
      <c r="M234" s="91"/>
      <c r="N234" s="32">
        <f t="shared" si="4"/>
        <v>0</v>
      </c>
      <c r="O234" s="134"/>
      <c r="P234" s="410"/>
      <c r="Q234" s="17"/>
      <c r="R234" s="407"/>
      <c r="S234" s="84"/>
      <c r="T234" s="187"/>
      <c r="U234" s="76"/>
      <c r="V234" s="445"/>
      <c r="W234" s="82"/>
      <c r="X234" s="358"/>
      <c r="Y234" s="358"/>
      <c r="Z234" s="358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</row>
    <row r="235" spans="1:44" ht="15" customHeight="1" x14ac:dyDescent="0.25">
      <c r="A235" s="358"/>
      <c r="B235" s="358"/>
      <c r="C235" s="91"/>
      <c r="D235" s="359"/>
      <c r="E235" s="359"/>
      <c r="F235" s="91"/>
      <c r="G235" s="91"/>
      <c r="H235" s="91"/>
      <c r="I235" s="91"/>
      <c r="J235" s="91"/>
      <c r="K235" s="91"/>
      <c r="L235" s="91"/>
      <c r="M235" s="91"/>
      <c r="N235" s="32">
        <f t="shared" si="4"/>
        <v>0</v>
      </c>
      <c r="O235" s="134"/>
      <c r="P235" s="410"/>
      <c r="Q235" s="17"/>
      <c r="R235" s="407"/>
      <c r="S235" s="84"/>
      <c r="T235" s="187"/>
      <c r="U235" s="76"/>
      <c r="V235" s="445"/>
      <c r="W235" s="82"/>
      <c r="X235" s="358"/>
      <c r="Y235" s="358"/>
      <c r="Z235" s="358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R235" s="270"/>
    </row>
    <row r="236" spans="1:44" ht="15" customHeight="1" x14ac:dyDescent="0.25">
      <c r="A236" s="358"/>
      <c r="B236" s="358"/>
      <c r="C236" s="91"/>
      <c r="D236" s="359"/>
      <c r="E236" s="359"/>
      <c r="F236" s="91"/>
      <c r="G236" s="91"/>
      <c r="H236" s="91"/>
      <c r="I236" s="91"/>
      <c r="J236" s="91"/>
      <c r="K236" s="91"/>
      <c r="L236" s="91"/>
      <c r="M236" s="91"/>
      <c r="N236" s="32">
        <f t="shared" si="4"/>
        <v>0</v>
      </c>
      <c r="O236" s="134"/>
      <c r="P236" s="410"/>
      <c r="Q236" s="17"/>
      <c r="R236" s="407"/>
      <c r="S236" s="84"/>
      <c r="T236" s="187"/>
      <c r="U236" s="76"/>
      <c r="V236" s="445"/>
      <c r="W236" s="82"/>
      <c r="X236" s="358"/>
      <c r="Y236" s="358"/>
      <c r="Z236" s="358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R236" s="270"/>
    </row>
    <row r="237" spans="1:44" ht="15" customHeight="1" x14ac:dyDescent="0.25">
      <c r="A237" s="358"/>
      <c r="B237" s="358"/>
      <c r="C237" s="91"/>
      <c r="D237" s="359"/>
      <c r="E237" s="359"/>
      <c r="F237" s="91"/>
      <c r="G237" s="91"/>
      <c r="H237" s="91"/>
      <c r="I237" s="91"/>
      <c r="J237" s="91"/>
      <c r="K237" s="91"/>
      <c r="L237" s="91"/>
      <c r="M237" s="91"/>
      <c r="N237" s="32">
        <f t="shared" si="4"/>
        <v>0</v>
      </c>
      <c r="O237" s="134"/>
      <c r="P237" s="411"/>
      <c r="Q237" s="138"/>
      <c r="R237" s="408"/>
      <c r="S237" s="84"/>
      <c r="T237" s="187"/>
      <c r="U237" s="76"/>
      <c r="V237" s="445"/>
      <c r="W237" s="82"/>
      <c r="X237" s="358"/>
      <c r="Y237" s="358"/>
      <c r="Z237" s="358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R237" s="270"/>
    </row>
    <row r="238" spans="1:44" ht="15" customHeight="1" x14ac:dyDescent="0.25">
      <c r="A238" s="358"/>
      <c r="B238" s="358"/>
      <c r="C238" s="91"/>
      <c r="D238" s="359"/>
      <c r="E238" s="359"/>
      <c r="F238" s="91"/>
      <c r="G238" s="91"/>
      <c r="H238" s="91"/>
      <c r="I238" s="91"/>
      <c r="J238" s="91"/>
      <c r="K238" s="91"/>
      <c r="L238" s="91"/>
      <c r="M238" s="91"/>
      <c r="N238" s="32">
        <f t="shared" si="4"/>
        <v>0</v>
      </c>
      <c r="O238" s="134"/>
      <c r="P238" s="410"/>
      <c r="Q238" s="17"/>
      <c r="R238" s="407"/>
      <c r="S238" s="84"/>
      <c r="T238" s="187"/>
      <c r="U238" s="76"/>
      <c r="V238" s="445"/>
      <c r="W238" s="82"/>
      <c r="X238" s="358"/>
      <c r="Y238" s="358"/>
      <c r="Z238" s="358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R238" s="270"/>
    </row>
    <row r="239" spans="1:44" ht="15" customHeight="1" x14ac:dyDescent="0.25">
      <c r="A239" s="358"/>
      <c r="B239" s="358"/>
      <c r="C239" s="91"/>
      <c r="D239" s="359"/>
      <c r="E239" s="359"/>
      <c r="F239" s="91"/>
      <c r="G239" s="91"/>
      <c r="H239" s="91"/>
      <c r="I239" s="91"/>
      <c r="J239" s="91"/>
      <c r="K239" s="91"/>
      <c r="L239" s="91"/>
      <c r="M239" s="91"/>
      <c r="N239" s="32">
        <f t="shared" si="4"/>
        <v>0</v>
      </c>
      <c r="O239" s="134"/>
      <c r="P239" s="410"/>
      <c r="Q239" s="17"/>
      <c r="R239" s="407"/>
      <c r="S239" s="84"/>
      <c r="T239" s="187"/>
      <c r="U239" s="76"/>
      <c r="V239" s="445"/>
      <c r="W239" s="82"/>
      <c r="X239" s="358"/>
      <c r="Y239" s="358"/>
      <c r="Z239" s="358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R239" s="270"/>
    </row>
    <row r="240" spans="1:44" ht="15" customHeight="1" x14ac:dyDescent="0.25">
      <c r="A240" s="358"/>
      <c r="B240" s="358"/>
      <c r="C240" s="91"/>
      <c r="D240" s="359"/>
      <c r="E240" s="359"/>
      <c r="F240" s="91"/>
      <c r="G240" s="91"/>
      <c r="H240" s="91"/>
      <c r="I240" s="91"/>
      <c r="J240" s="91"/>
      <c r="K240" s="91"/>
      <c r="L240" s="91"/>
      <c r="M240" s="91"/>
      <c r="N240" s="32">
        <f t="shared" si="4"/>
        <v>0</v>
      </c>
      <c r="O240" s="134"/>
      <c r="P240" s="410"/>
      <c r="Q240" s="17"/>
      <c r="R240" s="407"/>
      <c r="S240" s="84"/>
      <c r="T240" s="187"/>
      <c r="U240" s="76"/>
      <c r="V240" s="445"/>
      <c r="W240" s="82"/>
      <c r="X240" s="358"/>
      <c r="Y240" s="358"/>
      <c r="Z240" s="358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</row>
    <row r="241" spans="1:44" ht="15" customHeight="1" x14ac:dyDescent="0.25">
      <c r="A241" s="358"/>
      <c r="B241" s="358"/>
      <c r="C241" s="91"/>
      <c r="D241" s="359"/>
      <c r="E241" s="359"/>
      <c r="F241" s="91"/>
      <c r="G241" s="91"/>
      <c r="H241" s="91"/>
      <c r="I241" s="91"/>
      <c r="J241" s="91"/>
      <c r="K241" s="91"/>
      <c r="L241" s="91"/>
      <c r="M241" s="91"/>
      <c r="N241" s="32">
        <f t="shared" si="4"/>
        <v>0</v>
      </c>
      <c r="O241" s="134"/>
      <c r="P241" s="410"/>
      <c r="Q241" s="17"/>
      <c r="R241" s="407"/>
      <c r="S241" s="84"/>
      <c r="T241" s="187"/>
      <c r="U241" s="76"/>
      <c r="V241" s="445"/>
      <c r="W241" s="82"/>
      <c r="X241" s="358"/>
      <c r="Y241" s="358"/>
      <c r="Z241" s="358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</row>
    <row r="242" spans="1:44" s="270" customFormat="1" ht="15" customHeight="1" x14ac:dyDescent="0.25">
      <c r="A242" s="358"/>
      <c r="B242" s="358"/>
      <c r="C242" s="91"/>
      <c r="D242" s="359"/>
      <c r="E242" s="359"/>
      <c r="F242" s="91"/>
      <c r="G242" s="91"/>
      <c r="H242" s="91"/>
      <c r="I242" s="91"/>
      <c r="J242" s="91"/>
      <c r="K242" s="91"/>
      <c r="L242" s="91"/>
      <c r="M242" s="91"/>
      <c r="N242" s="32">
        <f t="shared" si="4"/>
        <v>0</v>
      </c>
      <c r="O242" s="134"/>
      <c r="P242" s="410"/>
      <c r="Q242" s="17"/>
      <c r="R242" s="407"/>
      <c r="S242" s="84"/>
      <c r="T242" s="187"/>
      <c r="U242" s="76"/>
      <c r="V242" s="445"/>
      <c r="W242" s="82"/>
      <c r="X242" s="358"/>
      <c r="Y242" s="358"/>
      <c r="Z242" s="358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2"/>
      <c r="AL242" s="2"/>
      <c r="AM242" s="2"/>
      <c r="AN242" s="2"/>
      <c r="AO242" s="2"/>
      <c r="AP242" s="2"/>
      <c r="AR242" s="2"/>
    </row>
    <row r="243" spans="1:44" s="270" customFormat="1" ht="15" customHeight="1" x14ac:dyDescent="0.25">
      <c r="A243" s="358"/>
      <c r="B243" s="358"/>
      <c r="C243" s="91"/>
      <c r="D243" s="359"/>
      <c r="E243" s="359"/>
      <c r="F243" s="91"/>
      <c r="G243" s="91"/>
      <c r="H243" s="91"/>
      <c r="I243" s="91"/>
      <c r="J243" s="91"/>
      <c r="K243" s="91"/>
      <c r="L243" s="91"/>
      <c r="M243" s="91"/>
      <c r="N243" s="32">
        <f t="shared" si="4"/>
        <v>0</v>
      </c>
      <c r="O243" s="134"/>
      <c r="P243" s="410"/>
      <c r="Q243" s="17"/>
      <c r="R243" s="407"/>
      <c r="S243" s="84"/>
      <c r="T243" s="187"/>
      <c r="U243" s="76"/>
      <c r="V243" s="445"/>
      <c r="W243" s="82"/>
      <c r="X243" s="358"/>
      <c r="Y243" s="358"/>
      <c r="Z243" s="358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2"/>
      <c r="AL243" s="2"/>
      <c r="AM243" s="2"/>
      <c r="AN243" s="2"/>
      <c r="AO243" s="2"/>
      <c r="AP243" s="2"/>
      <c r="AR243" s="2"/>
    </row>
    <row r="244" spans="1:44" s="270" customFormat="1" ht="15" customHeight="1" x14ac:dyDescent="0.25">
      <c r="A244" s="358"/>
      <c r="B244" s="358"/>
      <c r="C244" s="91"/>
      <c r="D244" s="359"/>
      <c r="E244" s="359"/>
      <c r="F244" s="91"/>
      <c r="G244" s="91"/>
      <c r="H244" s="91"/>
      <c r="I244" s="91"/>
      <c r="J244" s="91"/>
      <c r="K244" s="91"/>
      <c r="L244" s="91"/>
      <c r="M244" s="91"/>
      <c r="N244" s="32">
        <f t="shared" si="4"/>
        <v>0</v>
      </c>
      <c r="O244" s="134"/>
      <c r="P244" s="410"/>
      <c r="Q244" s="17"/>
      <c r="R244" s="407"/>
      <c r="S244" s="84"/>
      <c r="T244" s="187"/>
      <c r="U244" s="76"/>
      <c r="V244" s="445"/>
      <c r="W244" s="82"/>
      <c r="X244" s="358"/>
      <c r="Y244" s="358"/>
      <c r="Z244" s="358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2"/>
      <c r="AL244" s="2"/>
      <c r="AM244" s="2"/>
      <c r="AN244" s="2"/>
      <c r="AO244" s="2"/>
      <c r="AP244" s="2"/>
      <c r="AR244" s="2"/>
    </row>
    <row r="245" spans="1:44" s="270" customFormat="1" ht="15" customHeight="1" x14ac:dyDescent="0.25">
      <c r="A245" s="358"/>
      <c r="B245" s="358"/>
      <c r="C245" s="91"/>
      <c r="D245" s="359"/>
      <c r="E245" s="359"/>
      <c r="F245" s="91"/>
      <c r="G245" s="91"/>
      <c r="H245" s="91"/>
      <c r="I245" s="91"/>
      <c r="J245" s="91"/>
      <c r="K245" s="91"/>
      <c r="L245" s="91"/>
      <c r="M245" s="91"/>
      <c r="N245" s="32">
        <f t="shared" si="4"/>
        <v>0</v>
      </c>
      <c r="O245" s="134"/>
      <c r="P245" s="410"/>
      <c r="Q245" s="17"/>
      <c r="R245" s="407"/>
      <c r="S245" s="84"/>
      <c r="T245" s="187"/>
      <c r="U245" s="76"/>
      <c r="V245" s="445"/>
      <c r="W245" s="82"/>
      <c r="X245" s="358"/>
      <c r="Y245" s="358"/>
      <c r="Z245" s="358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2"/>
      <c r="AL245" s="2"/>
      <c r="AM245" s="2"/>
      <c r="AN245" s="2"/>
      <c r="AO245" s="2"/>
      <c r="AP245" s="2"/>
      <c r="AR245" s="2"/>
    </row>
    <row r="246" spans="1:44" s="270" customFormat="1" ht="15" customHeight="1" x14ac:dyDescent="0.25">
      <c r="A246" s="358"/>
      <c r="B246" s="358"/>
      <c r="C246" s="91"/>
      <c r="D246" s="359"/>
      <c r="E246" s="359"/>
      <c r="F246" s="91"/>
      <c r="G246" s="91"/>
      <c r="H246" s="91"/>
      <c r="I246" s="91"/>
      <c r="J246" s="91"/>
      <c r="K246" s="91"/>
      <c r="L246" s="91"/>
      <c r="M246" s="91"/>
      <c r="N246" s="32">
        <f t="shared" si="4"/>
        <v>0</v>
      </c>
      <c r="O246" s="134"/>
      <c r="P246" s="410"/>
      <c r="Q246" s="17"/>
      <c r="R246" s="407"/>
      <c r="S246" s="84"/>
      <c r="T246" s="187"/>
      <c r="U246" s="76"/>
      <c r="V246" s="445"/>
      <c r="W246" s="82"/>
      <c r="X246" s="358"/>
      <c r="Y246" s="358"/>
      <c r="Z246" s="358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2"/>
      <c r="AL246" s="2"/>
      <c r="AM246" s="2"/>
      <c r="AN246" s="2"/>
      <c r="AO246" s="2"/>
      <c r="AP246" s="2"/>
      <c r="AR246" s="2"/>
    </row>
    <row r="247" spans="1:44" ht="15" customHeight="1" x14ac:dyDescent="0.25">
      <c r="A247" s="358"/>
      <c r="B247" s="358"/>
      <c r="C247" s="91"/>
      <c r="D247" s="359"/>
      <c r="E247" s="359"/>
      <c r="F247" s="91"/>
      <c r="G247" s="91"/>
      <c r="H247" s="91"/>
      <c r="I247" s="91"/>
      <c r="J247" s="91"/>
      <c r="K247" s="91"/>
      <c r="L247" s="91"/>
      <c r="M247" s="91"/>
      <c r="N247" s="32">
        <f t="shared" si="4"/>
        <v>0</v>
      </c>
      <c r="O247" s="16"/>
      <c r="P247" s="410"/>
      <c r="Q247" s="17"/>
      <c r="R247" s="407"/>
      <c r="S247" s="84"/>
      <c r="T247" s="187"/>
      <c r="U247" s="76"/>
      <c r="V247" s="445"/>
      <c r="W247" s="82"/>
      <c r="X247" s="358"/>
      <c r="Y247" s="358"/>
      <c r="Z247" s="358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</row>
    <row r="248" spans="1:44" ht="15" customHeight="1" x14ac:dyDescent="0.25">
      <c r="A248" s="358"/>
      <c r="B248" s="358"/>
      <c r="C248" s="91"/>
      <c r="D248" s="359"/>
      <c r="E248" s="359"/>
      <c r="F248" s="91"/>
      <c r="G248" s="91"/>
      <c r="H248" s="91"/>
      <c r="I248" s="91"/>
      <c r="J248" s="91"/>
      <c r="K248" s="91"/>
      <c r="L248" s="91"/>
      <c r="M248" s="91"/>
      <c r="N248" s="32">
        <f t="shared" si="4"/>
        <v>0</v>
      </c>
      <c r="O248" s="16"/>
      <c r="P248" s="410"/>
      <c r="Q248" s="17"/>
      <c r="R248" s="407"/>
      <c r="S248" s="84"/>
      <c r="T248" s="187"/>
      <c r="U248" s="76"/>
      <c r="V248" s="445"/>
      <c r="W248" s="82"/>
      <c r="X248" s="358"/>
      <c r="Y248" s="358"/>
      <c r="Z248" s="358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</row>
    <row r="249" spans="1:44" ht="15" customHeight="1" x14ac:dyDescent="0.25">
      <c r="A249" s="358"/>
      <c r="B249" s="358"/>
      <c r="C249" s="91"/>
      <c r="D249" s="359"/>
      <c r="E249" s="359"/>
      <c r="F249" s="91"/>
      <c r="G249" s="91"/>
      <c r="H249" s="91"/>
      <c r="I249" s="91"/>
      <c r="J249" s="91"/>
      <c r="K249" s="91"/>
      <c r="L249" s="91"/>
      <c r="M249" s="91"/>
      <c r="N249" s="32">
        <f t="shared" si="4"/>
        <v>0</v>
      </c>
      <c r="O249" s="134"/>
      <c r="P249" s="410"/>
      <c r="Q249" s="17"/>
      <c r="R249" s="407"/>
      <c r="S249" s="84"/>
      <c r="T249" s="187"/>
      <c r="U249" s="76"/>
      <c r="V249" s="445"/>
      <c r="W249" s="82"/>
      <c r="X249" s="358"/>
      <c r="Y249" s="358"/>
      <c r="Z249" s="358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</row>
    <row r="250" spans="1:44" ht="15" customHeight="1" x14ac:dyDescent="0.25">
      <c r="A250" s="358"/>
      <c r="B250" s="358"/>
      <c r="C250" s="91"/>
      <c r="D250" s="359"/>
      <c r="E250" s="359"/>
      <c r="F250" s="91"/>
      <c r="G250" s="91"/>
      <c r="H250" s="183"/>
      <c r="I250" s="183"/>
      <c r="J250" s="91"/>
      <c r="K250" s="91"/>
      <c r="L250" s="91"/>
      <c r="M250" s="91"/>
      <c r="N250" s="32">
        <f t="shared" si="4"/>
        <v>0</v>
      </c>
      <c r="O250" s="16"/>
      <c r="P250" s="410"/>
      <c r="Q250" s="17"/>
      <c r="R250" s="407"/>
      <c r="S250" s="84"/>
      <c r="T250" s="187"/>
      <c r="U250" s="76"/>
      <c r="V250" s="445"/>
      <c r="W250" s="82"/>
      <c r="X250" s="358"/>
      <c r="Y250" s="358"/>
      <c r="Z250" s="358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2" t="s">
        <v>6</v>
      </c>
    </row>
    <row r="251" spans="1:44" ht="15" customHeight="1" x14ac:dyDescent="0.25">
      <c r="A251" s="358"/>
      <c r="B251" s="358"/>
      <c r="C251" s="91"/>
      <c r="D251" s="359"/>
      <c r="E251" s="359"/>
      <c r="F251" s="91"/>
      <c r="G251" s="91"/>
      <c r="H251" s="91"/>
      <c r="I251" s="91"/>
      <c r="J251" s="91"/>
      <c r="K251" s="91"/>
      <c r="L251" s="91"/>
      <c r="M251" s="91"/>
      <c r="N251" s="32">
        <f t="shared" si="4"/>
        <v>0</v>
      </c>
      <c r="O251" s="16"/>
      <c r="P251" s="410"/>
      <c r="Q251" s="17"/>
      <c r="R251" s="407"/>
      <c r="S251" s="84"/>
      <c r="T251" s="187"/>
      <c r="U251" s="76"/>
      <c r="V251" s="445"/>
      <c r="W251" s="82"/>
      <c r="X251" s="367"/>
      <c r="Y251" s="367"/>
      <c r="Z251" s="367"/>
      <c r="AA251" s="91"/>
      <c r="AB251" s="91"/>
      <c r="AC251" s="183"/>
      <c r="AD251" s="91"/>
      <c r="AE251" s="91"/>
      <c r="AF251" s="91"/>
      <c r="AG251" s="91"/>
      <c r="AH251" s="91"/>
      <c r="AI251" s="91"/>
      <c r="AJ251" s="91"/>
      <c r="AK251" s="2" t="s">
        <v>6</v>
      </c>
    </row>
    <row r="252" spans="1:44" ht="15" customHeight="1" x14ac:dyDescent="0.25">
      <c r="A252" s="358"/>
      <c r="B252" s="358"/>
      <c r="C252" s="91"/>
      <c r="D252" s="359"/>
      <c r="E252" s="359"/>
      <c r="F252" s="91"/>
      <c r="G252" s="91"/>
      <c r="H252" s="91"/>
      <c r="I252" s="91"/>
      <c r="J252" s="91"/>
      <c r="K252" s="91"/>
      <c r="L252" s="91"/>
      <c r="M252" s="91"/>
      <c r="N252" s="32">
        <f t="shared" si="4"/>
        <v>0</v>
      </c>
      <c r="O252" s="16"/>
      <c r="P252" s="410"/>
      <c r="Q252" s="17"/>
      <c r="R252" s="407"/>
      <c r="S252" s="84"/>
      <c r="T252" s="187"/>
      <c r="U252" s="76"/>
      <c r="V252" s="445"/>
      <c r="W252" s="82"/>
      <c r="X252" s="358"/>
      <c r="Y252" s="358"/>
      <c r="Z252" s="358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2" t="s">
        <v>6</v>
      </c>
    </row>
    <row r="253" spans="1:44" ht="15" customHeight="1" x14ac:dyDescent="0.25">
      <c r="A253" s="358"/>
      <c r="B253" s="358"/>
      <c r="C253" s="91"/>
      <c r="D253" s="359"/>
      <c r="E253" s="359"/>
      <c r="F253" s="91"/>
      <c r="G253" s="91"/>
      <c r="H253" s="91"/>
      <c r="I253" s="91"/>
      <c r="J253" s="91"/>
      <c r="K253" s="91"/>
      <c r="L253" s="91"/>
      <c r="M253" s="91"/>
      <c r="N253" s="32">
        <f t="shared" si="4"/>
        <v>0</v>
      </c>
      <c r="O253" s="16"/>
      <c r="P253" s="410"/>
      <c r="Q253" s="17"/>
      <c r="R253" s="407"/>
      <c r="S253" s="84"/>
      <c r="T253" s="187"/>
      <c r="U253" s="76"/>
      <c r="V253" s="445"/>
      <c r="W253" s="82"/>
      <c r="X253" s="358"/>
      <c r="Y253" s="358"/>
      <c r="Z253" s="358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2" t="s">
        <v>6</v>
      </c>
    </row>
    <row r="254" spans="1:44" ht="15" customHeight="1" x14ac:dyDescent="0.25">
      <c r="A254" s="68"/>
      <c r="B254" s="358"/>
      <c r="C254" s="91"/>
      <c r="D254" s="359"/>
      <c r="E254" s="359"/>
      <c r="F254" s="91"/>
      <c r="G254" s="91"/>
      <c r="H254" s="91"/>
      <c r="I254" s="91"/>
      <c r="J254" s="91"/>
      <c r="K254" s="91"/>
      <c r="L254" s="91"/>
      <c r="M254" s="91"/>
      <c r="N254" s="32">
        <f t="shared" si="4"/>
        <v>0</v>
      </c>
      <c r="O254" s="16"/>
      <c r="P254" s="410"/>
      <c r="Q254" s="17"/>
      <c r="R254" s="407"/>
      <c r="S254" s="84"/>
      <c r="T254" s="187"/>
      <c r="U254" s="76"/>
      <c r="V254" s="445"/>
      <c r="W254" s="82"/>
      <c r="X254" s="358"/>
      <c r="Y254" s="358"/>
      <c r="Z254" s="358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2" t="s">
        <v>6</v>
      </c>
    </row>
    <row r="255" spans="1:44" ht="15" customHeight="1" x14ac:dyDescent="0.25">
      <c r="A255" s="68"/>
      <c r="B255" s="358"/>
      <c r="C255" s="91"/>
      <c r="D255" s="359"/>
      <c r="E255" s="359"/>
      <c r="F255" s="91"/>
      <c r="G255" s="91"/>
      <c r="H255" s="91"/>
      <c r="I255" s="91"/>
      <c r="J255" s="91"/>
      <c r="K255" s="91"/>
      <c r="L255" s="91"/>
      <c r="M255" s="91"/>
      <c r="N255" s="32">
        <f t="shared" si="4"/>
        <v>0</v>
      </c>
      <c r="O255" s="16"/>
      <c r="P255" s="410"/>
      <c r="Q255" s="17"/>
      <c r="R255" s="407"/>
      <c r="S255" s="84"/>
      <c r="T255" s="187"/>
      <c r="U255" s="76"/>
      <c r="V255" s="445"/>
      <c r="W255" s="82"/>
      <c r="X255" s="358"/>
      <c r="Y255" s="358"/>
      <c r="Z255" s="358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</row>
    <row r="256" spans="1:44" ht="15" customHeight="1" x14ac:dyDescent="0.25">
      <c r="A256" s="68"/>
      <c r="B256" s="358"/>
      <c r="C256" s="91"/>
      <c r="D256" s="359"/>
      <c r="E256" s="359"/>
      <c r="F256" s="91"/>
      <c r="G256" s="91"/>
      <c r="H256" s="91"/>
      <c r="I256" s="91"/>
      <c r="J256" s="91"/>
      <c r="K256" s="91"/>
      <c r="L256" s="91"/>
      <c r="M256" s="91"/>
      <c r="N256" s="32">
        <f t="shared" si="4"/>
        <v>0</v>
      </c>
      <c r="O256" s="134"/>
      <c r="P256" s="410"/>
      <c r="Q256" s="17"/>
      <c r="R256" s="407"/>
      <c r="S256" s="84"/>
      <c r="T256" s="187"/>
      <c r="U256" s="76"/>
      <c r="V256" s="445"/>
      <c r="W256" s="82"/>
      <c r="X256" s="358"/>
      <c r="Y256" s="358"/>
      <c r="Z256" s="358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</row>
    <row r="257" spans="1:36" ht="15" customHeight="1" x14ac:dyDescent="0.25">
      <c r="A257" s="68"/>
      <c r="B257" s="358"/>
      <c r="C257" s="91"/>
      <c r="D257" s="359"/>
      <c r="E257" s="359"/>
      <c r="F257" s="91"/>
      <c r="G257" s="91"/>
      <c r="H257" s="91"/>
      <c r="I257" s="91"/>
      <c r="J257" s="91"/>
      <c r="K257" s="91"/>
      <c r="L257" s="91"/>
      <c r="M257" s="91"/>
      <c r="N257" s="32">
        <f t="shared" si="4"/>
        <v>0</v>
      </c>
      <c r="O257" s="16"/>
      <c r="P257" s="410"/>
      <c r="Q257" s="17"/>
      <c r="R257" s="407"/>
      <c r="S257" s="84"/>
      <c r="T257" s="187"/>
      <c r="U257" s="76"/>
      <c r="V257" s="445"/>
      <c r="W257" s="82"/>
      <c r="X257" s="358"/>
      <c r="Y257" s="358"/>
      <c r="Z257" s="358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</row>
    <row r="258" spans="1:36" ht="15" customHeight="1" x14ac:dyDescent="0.25">
      <c r="A258" s="68"/>
      <c r="B258" s="358"/>
      <c r="C258" s="91"/>
      <c r="D258" s="359"/>
      <c r="E258" s="359"/>
      <c r="F258" s="91"/>
      <c r="G258" s="91"/>
      <c r="H258" s="91"/>
      <c r="I258" s="91"/>
      <c r="J258" s="91"/>
      <c r="K258" s="91"/>
      <c r="L258" s="91"/>
      <c r="M258" s="91"/>
      <c r="N258" s="32">
        <f t="shared" si="4"/>
        <v>0</v>
      </c>
      <c r="O258" s="16"/>
      <c r="P258" s="410"/>
      <c r="Q258" s="17"/>
      <c r="R258" s="407"/>
      <c r="S258" s="84"/>
      <c r="T258" s="187"/>
      <c r="U258" s="76"/>
      <c r="V258" s="445"/>
      <c r="W258" s="82"/>
      <c r="X258" s="358"/>
      <c r="Y258" s="358"/>
      <c r="Z258" s="358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</row>
    <row r="259" spans="1:36" ht="15" customHeight="1" x14ac:dyDescent="0.25">
      <c r="A259" s="68"/>
      <c r="B259" s="358"/>
      <c r="C259" s="91"/>
      <c r="D259" s="359"/>
      <c r="E259" s="359"/>
      <c r="F259" s="91"/>
      <c r="G259" s="91"/>
      <c r="H259" s="91"/>
      <c r="I259" s="91"/>
      <c r="J259" s="91"/>
      <c r="K259" s="91"/>
      <c r="L259" s="91"/>
      <c r="M259" s="91"/>
      <c r="N259" s="32">
        <f t="shared" si="4"/>
        <v>0</v>
      </c>
      <c r="O259" s="16"/>
      <c r="P259" s="410"/>
      <c r="Q259" s="17"/>
      <c r="R259" s="407"/>
      <c r="S259" s="84"/>
      <c r="T259" s="187"/>
      <c r="U259" s="76"/>
      <c r="V259" s="445"/>
      <c r="W259" s="82"/>
      <c r="X259" s="358"/>
      <c r="Y259" s="358"/>
      <c r="Z259" s="358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</row>
    <row r="260" spans="1:36" ht="15" customHeight="1" x14ac:dyDescent="0.25">
      <c r="A260" s="68"/>
      <c r="B260" s="358"/>
      <c r="C260" s="91"/>
      <c r="D260" s="359"/>
      <c r="E260" s="359"/>
      <c r="F260" s="91"/>
      <c r="G260" s="91"/>
      <c r="H260" s="91"/>
      <c r="I260" s="91"/>
      <c r="J260" s="91"/>
      <c r="K260" s="91"/>
      <c r="L260" s="91"/>
      <c r="M260" s="91"/>
      <c r="N260" s="32">
        <f t="shared" si="4"/>
        <v>0</v>
      </c>
      <c r="O260" s="16"/>
      <c r="P260" s="410"/>
      <c r="Q260" s="17"/>
      <c r="R260" s="407"/>
      <c r="S260" s="84"/>
      <c r="T260" s="187"/>
      <c r="U260" s="76"/>
      <c r="V260" s="445"/>
      <c r="W260" s="82"/>
      <c r="X260" s="358"/>
      <c r="Y260" s="358"/>
      <c r="Z260" s="358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</row>
    <row r="261" spans="1:36" ht="15" customHeight="1" x14ac:dyDescent="0.25">
      <c r="A261" s="68"/>
      <c r="B261" s="358"/>
      <c r="C261" s="91"/>
      <c r="D261" s="359"/>
      <c r="E261" s="359"/>
      <c r="F261" s="91"/>
      <c r="G261" s="91"/>
      <c r="H261" s="91"/>
      <c r="I261" s="91"/>
      <c r="J261" s="91"/>
      <c r="K261" s="91"/>
      <c r="L261" s="91"/>
      <c r="M261" s="91"/>
      <c r="N261" s="32">
        <f t="shared" si="4"/>
        <v>0</v>
      </c>
      <c r="O261" s="16"/>
      <c r="P261" s="410"/>
      <c r="Q261" s="17"/>
      <c r="R261" s="407"/>
      <c r="S261" s="84"/>
      <c r="T261" s="187"/>
      <c r="U261" s="76"/>
      <c r="V261" s="445"/>
      <c r="W261" s="82"/>
      <c r="X261" s="358"/>
      <c r="Y261" s="358"/>
      <c r="Z261" s="358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</row>
    <row r="262" spans="1:36" ht="15" customHeight="1" x14ac:dyDescent="0.25">
      <c r="A262" s="68"/>
      <c r="B262" s="358"/>
      <c r="C262" s="91"/>
      <c r="D262" s="359"/>
      <c r="E262" s="359"/>
      <c r="F262" s="91"/>
      <c r="G262" s="91"/>
      <c r="H262" s="91"/>
      <c r="I262" s="91"/>
      <c r="J262" s="91"/>
      <c r="K262" s="91"/>
      <c r="L262" s="91"/>
      <c r="M262" s="91"/>
      <c r="N262" s="32">
        <f t="shared" si="4"/>
        <v>0</v>
      </c>
      <c r="O262" s="16"/>
      <c r="P262" s="410"/>
      <c r="Q262" s="17"/>
      <c r="R262" s="407"/>
      <c r="S262" s="84"/>
      <c r="T262" s="187"/>
      <c r="U262" s="76"/>
      <c r="V262" s="445"/>
      <c r="W262" s="82"/>
      <c r="X262" s="358"/>
      <c r="Y262" s="358"/>
      <c r="Z262" s="358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</row>
    <row r="263" spans="1:36" ht="15" customHeight="1" x14ac:dyDescent="0.25">
      <c r="A263" s="68"/>
      <c r="B263" s="358"/>
      <c r="C263" s="91"/>
      <c r="D263" s="359"/>
      <c r="E263" s="359"/>
      <c r="F263" s="91"/>
      <c r="G263" s="91"/>
      <c r="H263" s="91"/>
      <c r="I263" s="91"/>
      <c r="J263" s="91"/>
      <c r="K263" s="91"/>
      <c r="L263" s="91"/>
      <c r="M263" s="91"/>
      <c r="N263" s="32">
        <f t="shared" si="4"/>
        <v>0</v>
      </c>
      <c r="O263" s="16"/>
      <c r="P263" s="410"/>
      <c r="Q263" s="17"/>
      <c r="R263" s="407"/>
      <c r="S263" s="84"/>
      <c r="T263" s="187"/>
      <c r="U263" s="76"/>
      <c r="V263" s="445"/>
      <c r="W263" s="82"/>
      <c r="X263" s="358"/>
      <c r="Y263" s="358"/>
      <c r="Z263" s="358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</row>
    <row r="264" spans="1:36" ht="15" customHeight="1" x14ac:dyDescent="0.25">
      <c r="A264" s="68"/>
      <c r="B264" s="358"/>
      <c r="C264" s="91"/>
      <c r="D264" s="359"/>
      <c r="E264" s="359"/>
      <c r="F264" s="91"/>
      <c r="G264" s="91"/>
      <c r="H264" s="91"/>
      <c r="I264" s="91"/>
      <c r="J264" s="91"/>
      <c r="K264" s="91"/>
      <c r="L264" s="91"/>
      <c r="M264" s="91"/>
      <c r="N264" s="32">
        <f t="shared" si="4"/>
        <v>0</v>
      </c>
      <c r="O264" s="16"/>
      <c r="P264" s="410"/>
      <c r="Q264" s="17"/>
      <c r="R264" s="407"/>
      <c r="S264" s="84"/>
      <c r="T264" s="187"/>
      <c r="U264" s="76"/>
      <c r="V264" s="445"/>
      <c r="W264" s="82"/>
      <c r="X264" s="358"/>
      <c r="Y264" s="358"/>
      <c r="Z264" s="358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</row>
    <row r="265" spans="1:36" ht="15" customHeight="1" x14ac:dyDescent="0.25">
      <c r="A265" s="68"/>
      <c r="B265" s="358"/>
      <c r="C265" s="91"/>
      <c r="D265" s="359"/>
      <c r="E265" s="359"/>
      <c r="F265" s="91"/>
      <c r="G265" s="91"/>
      <c r="H265" s="91"/>
      <c r="I265" s="91"/>
      <c r="J265" s="91"/>
      <c r="K265" s="91"/>
      <c r="L265" s="91"/>
      <c r="M265" s="91"/>
      <c r="N265" s="32">
        <f t="shared" si="4"/>
        <v>0</v>
      </c>
      <c r="O265" s="16"/>
      <c r="P265" s="410"/>
      <c r="Q265" s="17"/>
      <c r="R265" s="407"/>
      <c r="S265" s="84"/>
      <c r="T265" s="187"/>
      <c r="U265" s="76"/>
      <c r="V265" s="445"/>
      <c r="W265" s="82"/>
      <c r="X265" s="358"/>
      <c r="Y265" s="358"/>
      <c r="Z265" s="358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</row>
    <row r="266" spans="1:36" ht="15" customHeight="1" x14ac:dyDescent="0.25">
      <c r="A266" s="68"/>
      <c r="B266" s="358"/>
      <c r="C266" s="91"/>
      <c r="D266" s="359"/>
      <c r="E266" s="359"/>
      <c r="F266" s="91"/>
      <c r="G266" s="91"/>
      <c r="H266" s="91"/>
      <c r="I266" s="91"/>
      <c r="J266" s="91"/>
      <c r="K266" s="91"/>
      <c r="L266" s="91"/>
      <c r="M266" s="91"/>
      <c r="N266" s="32">
        <f t="shared" si="4"/>
        <v>0</v>
      </c>
      <c r="O266" s="16"/>
      <c r="P266" s="410"/>
      <c r="Q266" s="17"/>
      <c r="R266" s="407"/>
      <c r="S266" s="84"/>
      <c r="T266" s="187"/>
      <c r="U266" s="76"/>
      <c r="V266" s="445"/>
      <c r="W266" s="82"/>
      <c r="X266" s="358"/>
      <c r="Y266" s="358"/>
      <c r="Z266" s="358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</row>
    <row r="267" spans="1:36" ht="15" customHeight="1" x14ac:dyDescent="0.25">
      <c r="A267" s="68"/>
      <c r="B267" s="358"/>
      <c r="C267" s="91"/>
      <c r="D267" s="359"/>
      <c r="E267" s="359"/>
      <c r="F267" s="91"/>
      <c r="G267" s="91"/>
      <c r="H267" s="91"/>
      <c r="I267" s="91"/>
      <c r="J267" s="91"/>
      <c r="K267" s="91"/>
      <c r="L267" s="91"/>
      <c r="M267" s="91"/>
      <c r="N267" s="32">
        <f t="shared" si="4"/>
        <v>0</v>
      </c>
      <c r="O267" s="16"/>
      <c r="P267" s="410"/>
      <c r="Q267" s="17"/>
      <c r="R267" s="407"/>
      <c r="S267" s="84"/>
      <c r="T267" s="187"/>
      <c r="U267" s="76"/>
      <c r="V267" s="445"/>
      <c r="W267" s="82"/>
      <c r="X267" s="358"/>
      <c r="Y267" s="358"/>
      <c r="Z267" s="358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</row>
    <row r="268" spans="1:36" ht="15" customHeight="1" x14ac:dyDescent="0.25">
      <c r="A268" s="68"/>
      <c r="B268" s="358"/>
      <c r="C268" s="91"/>
      <c r="D268" s="359"/>
      <c r="E268" s="359"/>
      <c r="F268" s="91"/>
      <c r="G268" s="91"/>
      <c r="H268" s="91"/>
      <c r="I268" s="91"/>
      <c r="J268" s="91"/>
      <c r="K268" s="91"/>
      <c r="L268" s="91"/>
      <c r="M268" s="91"/>
      <c r="N268" s="32">
        <f t="shared" si="4"/>
        <v>0</v>
      </c>
      <c r="O268" s="16"/>
      <c r="P268" s="410"/>
      <c r="Q268" s="17"/>
      <c r="R268" s="407"/>
      <c r="S268" s="84"/>
      <c r="T268" s="187"/>
      <c r="U268" s="76"/>
      <c r="V268" s="445"/>
      <c r="W268" s="82"/>
      <c r="X268" s="358"/>
      <c r="Y268" s="358"/>
      <c r="Z268" s="358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</row>
    <row r="269" spans="1:36" ht="15" customHeight="1" x14ac:dyDescent="0.25">
      <c r="A269" s="68"/>
      <c r="B269" s="358"/>
      <c r="C269" s="91"/>
      <c r="D269" s="359"/>
      <c r="E269" s="359"/>
      <c r="F269" s="91"/>
      <c r="G269" s="91"/>
      <c r="H269" s="91"/>
      <c r="I269" s="91"/>
      <c r="J269" s="91"/>
      <c r="K269" s="91"/>
      <c r="L269" s="91"/>
      <c r="M269" s="91"/>
      <c r="N269" s="32">
        <f t="shared" si="4"/>
        <v>0</v>
      </c>
      <c r="O269" s="16"/>
      <c r="P269" s="410"/>
      <c r="Q269" s="17"/>
      <c r="R269" s="407"/>
      <c r="S269" s="84"/>
      <c r="T269" s="187"/>
      <c r="U269" s="76"/>
      <c r="V269" s="445"/>
      <c r="W269" s="82"/>
      <c r="X269" s="358"/>
      <c r="Y269" s="358"/>
      <c r="Z269" s="358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</row>
    <row r="270" spans="1:36" ht="15" customHeight="1" x14ac:dyDescent="0.25">
      <c r="A270" s="68"/>
      <c r="B270" s="358"/>
      <c r="C270" s="91"/>
      <c r="D270" s="359"/>
      <c r="E270" s="359"/>
      <c r="F270" s="91"/>
      <c r="G270" s="91"/>
      <c r="H270" s="91"/>
      <c r="I270" s="91"/>
      <c r="J270" s="91"/>
      <c r="K270" s="91"/>
      <c r="L270" s="91"/>
      <c r="M270" s="91"/>
      <c r="N270" s="32">
        <f t="shared" ref="N270:N333" si="5">SUM(O270:W270)</f>
        <v>0</v>
      </c>
      <c r="O270" s="134"/>
      <c r="P270" s="411"/>
      <c r="Q270" s="138"/>
      <c r="R270" s="408"/>
      <c r="S270" s="84"/>
      <c r="T270" s="187"/>
      <c r="U270" s="76"/>
      <c r="V270" s="445"/>
      <c r="W270" s="82"/>
      <c r="X270" s="358"/>
      <c r="Y270" s="358"/>
      <c r="Z270" s="358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</row>
    <row r="271" spans="1:36" ht="15" customHeight="1" x14ac:dyDescent="0.25">
      <c r="A271" s="68"/>
      <c r="B271" s="358"/>
      <c r="C271" s="91"/>
      <c r="D271" s="359"/>
      <c r="E271" s="359"/>
      <c r="F271" s="91"/>
      <c r="G271" s="91"/>
      <c r="H271" s="91"/>
      <c r="I271" s="91"/>
      <c r="J271" s="91"/>
      <c r="K271" s="91"/>
      <c r="L271" s="91"/>
      <c r="M271" s="91"/>
      <c r="N271" s="32">
        <f t="shared" si="5"/>
        <v>0</v>
      </c>
      <c r="O271" s="16"/>
      <c r="P271" s="410"/>
      <c r="Q271" s="17"/>
      <c r="R271" s="407"/>
      <c r="S271" s="84"/>
      <c r="T271" s="187"/>
      <c r="U271" s="76"/>
      <c r="V271" s="445"/>
      <c r="W271" s="82"/>
      <c r="X271" s="358"/>
      <c r="Y271" s="358"/>
      <c r="Z271" s="358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</row>
    <row r="272" spans="1:36" ht="15" customHeight="1" x14ac:dyDescent="0.25">
      <c r="A272" s="68"/>
      <c r="B272" s="358"/>
      <c r="C272" s="91"/>
      <c r="D272" s="359"/>
      <c r="E272" s="359"/>
      <c r="F272" s="91"/>
      <c r="G272" s="91"/>
      <c r="H272" s="91"/>
      <c r="I272" s="91"/>
      <c r="J272" s="91"/>
      <c r="K272" s="91"/>
      <c r="L272" s="91"/>
      <c r="M272" s="91"/>
      <c r="N272" s="32">
        <f t="shared" si="5"/>
        <v>0</v>
      </c>
      <c r="O272" s="16"/>
      <c r="P272" s="410"/>
      <c r="Q272" s="17"/>
      <c r="R272" s="407"/>
      <c r="S272" s="84"/>
      <c r="T272" s="187"/>
      <c r="U272" s="76"/>
      <c r="V272" s="445"/>
      <c r="W272" s="82"/>
      <c r="X272" s="358"/>
      <c r="Y272" s="358"/>
      <c r="Z272" s="358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</row>
    <row r="273" spans="1:36" ht="15" customHeight="1" x14ac:dyDescent="0.25">
      <c r="A273" s="68"/>
      <c r="B273" s="358"/>
      <c r="C273" s="91"/>
      <c r="D273" s="359"/>
      <c r="E273" s="359"/>
      <c r="F273" s="91"/>
      <c r="G273" s="91"/>
      <c r="H273" s="91"/>
      <c r="I273" s="91"/>
      <c r="J273" s="91"/>
      <c r="K273" s="91"/>
      <c r="L273" s="91"/>
      <c r="M273" s="91"/>
      <c r="N273" s="32">
        <f t="shared" si="5"/>
        <v>0</v>
      </c>
      <c r="O273" s="16"/>
      <c r="P273" s="410"/>
      <c r="Q273" s="17"/>
      <c r="R273" s="407"/>
      <c r="S273" s="84"/>
      <c r="T273" s="187"/>
      <c r="U273" s="76"/>
      <c r="V273" s="445"/>
      <c r="W273" s="306"/>
      <c r="X273" s="358"/>
      <c r="Y273" s="358"/>
      <c r="Z273" s="358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</row>
    <row r="274" spans="1:36" ht="15" customHeight="1" x14ac:dyDescent="0.25">
      <c r="A274" s="68"/>
      <c r="B274" s="358"/>
      <c r="C274" s="91"/>
      <c r="D274" s="359"/>
      <c r="E274" s="359"/>
      <c r="F274" s="91"/>
      <c r="G274" s="91"/>
      <c r="H274" s="91"/>
      <c r="I274" s="91"/>
      <c r="J274" s="91"/>
      <c r="K274" s="91"/>
      <c r="L274" s="91"/>
      <c r="M274" s="91"/>
      <c r="N274" s="32">
        <f t="shared" si="5"/>
        <v>0</v>
      </c>
      <c r="O274" s="16"/>
      <c r="P274" s="410"/>
      <c r="Q274" s="17"/>
      <c r="R274" s="407"/>
      <c r="S274" s="84"/>
      <c r="T274" s="187"/>
      <c r="U274" s="76"/>
      <c r="V274" s="445"/>
      <c r="W274" s="82"/>
      <c r="X274" s="358"/>
      <c r="Y274" s="358"/>
      <c r="Z274" s="358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</row>
    <row r="275" spans="1:36" ht="15" customHeight="1" x14ac:dyDescent="0.25">
      <c r="A275" s="68"/>
      <c r="B275" s="358"/>
      <c r="C275" s="91"/>
      <c r="D275" s="359"/>
      <c r="E275" s="359"/>
      <c r="F275" s="91"/>
      <c r="G275" s="91"/>
      <c r="H275" s="91"/>
      <c r="I275" s="91"/>
      <c r="J275" s="91"/>
      <c r="K275" s="91"/>
      <c r="L275" s="91"/>
      <c r="M275" s="91"/>
      <c r="N275" s="32">
        <f t="shared" si="5"/>
        <v>0</v>
      </c>
      <c r="O275" s="16"/>
      <c r="P275" s="410"/>
      <c r="Q275" s="17"/>
      <c r="R275" s="407"/>
      <c r="S275" s="84"/>
      <c r="T275" s="187"/>
      <c r="U275" s="76"/>
      <c r="V275" s="445"/>
      <c r="W275" s="82"/>
      <c r="X275" s="358"/>
      <c r="Y275" s="358"/>
      <c r="Z275" s="358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</row>
    <row r="276" spans="1:36" ht="15" customHeight="1" x14ac:dyDescent="0.25">
      <c r="A276" s="68"/>
      <c r="B276" s="358"/>
      <c r="C276" s="91"/>
      <c r="D276" s="359"/>
      <c r="E276" s="359"/>
      <c r="F276" s="91"/>
      <c r="G276" s="91"/>
      <c r="H276" s="91"/>
      <c r="I276" s="91"/>
      <c r="J276" s="91"/>
      <c r="K276" s="91"/>
      <c r="L276" s="91"/>
      <c r="M276" s="91"/>
      <c r="N276" s="32">
        <f t="shared" si="5"/>
        <v>0</v>
      </c>
      <c r="O276" s="16"/>
      <c r="P276" s="410"/>
      <c r="Q276" s="17"/>
      <c r="R276" s="407"/>
      <c r="S276" s="84"/>
      <c r="T276" s="187"/>
      <c r="U276" s="76"/>
      <c r="V276" s="445"/>
      <c r="W276" s="82"/>
      <c r="X276" s="358"/>
      <c r="Y276" s="358"/>
      <c r="Z276" s="358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</row>
    <row r="277" spans="1:36" ht="15" customHeight="1" x14ac:dyDescent="0.25">
      <c r="A277" s="68"/>
      <c r="B277" s="358"/>
      <c r="C277" s="91"/>
      <c r="D277" s="359"/>
      <c r="E277" s="359"/>
      <c r="F277" s="91"/>
      <c r="G277" s="91"/>
      <c r="H277" s="91"/>
      <c r="I277" s="91"/>
      <c r="J277" s="91"/>
      <c r="K277" s="91"/>
      <c r="L277" s="91"/>
      <c r="M277" s="91"/>
      <c r="N277" s="32">
        <f t="shared" si="5"/>
        <v>0</v>
      </c>
      <c r="O277" s="16"/>
      <c r="P277" s="410"/>
      <c r="Q277" s="17"/>
      <c r="R277" s="407"/>
      <c r="S277" s="84"/>
      <c r="T277" s="187"/>
      <c r="U277" s="76"/>
      <c r="V277" s="445"/>
      <c r="W277" s="82"/>
      <c r="X277" s="358"/>
      <c r="Y277" s="358"/>
      <c r="Z277" s="358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</row>
    <row r="278" spans="1:36" ht="15" customHeight="1" x14ac:dyDescent="0.25">
      <c r="A278" s="68"/>
      <c r="B278" s="358"/>
      <c r="C278" s="91"/>
      <c r="D278" s="359"/>
      <c r="E278" s="359"/>
      <c r="F278" s="91"/>
      <c r="G278" s="91"/>
      <c r="H278" s="91"/>
      <c r="I278" s="91"/>
      <c r="J278" s="91"/>
      <c r="K278" s="91"/>
      <c r="L278" s="91"/>
      <c r="M278" s="91"/>
      <c r="N278" s="32">
        <f t="shared" si="5"/>
        <v>0</v>
      </c>
      <c r="O278" s="16"/>
      <c r="P278" s="410"/>
      <c r="Q278" s="17"/>
      <c r="R278" s="407"/>
      <c r="S278" s="84"/>
      <c r="T278" s="187"/>
      <c r="U278" s="76"/>
      <c r="V278" s="445"/>
      <c r="W278" s="82"/>
      <c r="X278" s="358"/>
      <c r="Y278" s="358"/>
      <c r="Z278" s="358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</row>
    <row r="279" spans="1:36" ht="15" customHeight="1" x14ac:dyDescent="0.25">
      <c r="A279" s="68"/>
      <c r="B279" s="358"/>
      <c r="C279" s="91"/>
      <c r="D279" s="359"/>
      <c r="E279" s="359"/>
      <c r="F279" s="91"/>
      <c r="G279" s="91"/>
      <c r="H279" s="91"/>
      <c r="I279" s="91"/>
      <c r="J279" s="91"/>
      <c r="K279" s="91"/>
      <c r="L279" s="91"/>
      <c r="M279" s="91"/>
      <c r="N279" s="32">
        <f t="shared" si="5"/>
        <v>0</v>
      </c>
      <c r="O279" s="16"/>
      <c r="P279" s="410"/>
      <c r="Q279" s="17"/>
      <c r="R279" s="407"/>
      <c r="S279" s="84"/>
      <c r="T279" s="187"/>
      <c r="U279" s="76"/>
      <c r="V279" s="445"/>
      <c r="W279" s="82"/>
      <c r="X279" s="358"/>
      <c r="Y279" s="358"/>
      <c r="Z279" s="358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</row>
    <row r="280" spans="1:36" ht="15" customHeight="1" x14ac:dyDescent="0.25">
      <c r="A280" s="68"/>
      <c r="B280" s="358"/>
      <c r="C280" s="91"/>
      <c r="D280" s="359"/>
      <c r="E280" s="359"/>
      <c r="F280" s="91"/>
      <c r="G280" s="91"/>
      <c r="H280" s="91"/>
      <c r="I280" s="91"/>
      <c r="J280" s="91"/>
      <c r="K280" s="91"/>
      <c r="L280" s="91"/>
      <c r="M280" s="91"/>
      <c r="N280" s="32">
        <f t="shared" si="5"/>
        <v>0</v>
      </c>
      <c r="O280" s="16"/>
      <c r="P280" s="410"/>
      <c r="Q280" s="17"/>
      <c r="R280" s="407"/>
      <c r="S280" s="84"/>
      <c r="T280" s="187"/>
      <c r="U280" s="76"/>
      <c r="V280" s="445"/>
      <c r="W280" s="82"/>
      <c r="X280" s="358"/>
      <c r="Y280" s="358"/>
      <c r="Z280" s="358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</row>
    <row r="281" spans="1:36" ht="15" customHeight="1" x14ac:dyDescent="0.25">
      <c r="A281" s="68"/>
      <c r="B281" s="358"/>
      <c r="C281" s="91"/>
      <c r="D281" s="359"/>
      <c r="E281" s="359"/>
      <c r="F281" s="91"/>
      <c r="G281" s="91"/>
      <c r="H281" s="91"/>
      <c r="I281" s="91"/>
      <c r="J281" s="91"/>
      <c r="K281" s="91"/>
      <c r="L281" s="91"/>
      <c r="M281" s="91"/>
      <c r="N281" s="32">
        <f t="shared" si="5"/>
        <v>0</v>
      </c>
      <c r="O281" s="16"/>
      <c r="P281" s="410"/>
      <c r="Q281" s="17"/>
      <c r="R281" s="407"/>
      <c r="S281" s="84"/>
      <c r="T281" s="187"/>
      <c r="U281" s="76"/>
      <c r="V281" s="445"/>
      <c r="W281" s="82"/>
      <c r="X281" s="358"/>
      <c r="Y281" s="358"/>
      <c r="Z281" s="358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</row>
    <row r="282" spans="1:36" ht="15" customHeight="1" x14ac:dyDescent="0.25">
      <c r="A282" s="68"/>
      <c r="B282" s="358"/>
      <c r="C282" s="91"/>
      <c r="D282" s="359"/>
      <c r="E282" s="359"/>
      <c r="F282" s="91"/>
      <c r="G282" s="91"/>
      <c r="H282" s="91"/>
      <c r="I282" s="91"/>
      <c r="J282" s="91"/>
      <c r="K282" s="91"/>
      <c r="L282" s="91"/>
      <c r="M282" s="91"/>
      <c r="N282" s="32">
        <f t="shared" si="5"/>
        <v>0</v>
      </c>
      <c r="O282" s="16"/>
      <c r="P282" s="410"/>
      <c r="Q282" s="17"/>
      <c r="R282" s="407"/>
      <c r="S282" s="84"/>
      <c r="T282" s="187"/>
      <c r="U282" s="76"/>
      <c r="V282" s="445"/>
      <c r="W282" s="82"/>
      <c r="X282" s="358"/>
      <c r="Y282" s="358"/>
      <c r="Z282" s="358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</row>
    <row r="283" spans="1:36" ht="15" customHeight="1" x14ac:dyDescent="0.25">
      <c r="A283" s="68"/>
      <c r="B283" s="358"/>
      <c r="C283" s="91"/>
      <c r="D283" s="359"/>
      <c r="E283" s="359"/>
      <c r="F283" s="91"/>
      <c r="G283" s="91"/>
      <c r="H283" s="91"/>
      <c r="I283" s="91"/>
      <c r="J283" s="91"/>
      <c r="K283" s="91"/>
      <c r="L283" s="91"/>
      <c r="M283" s="91"/>
      <c r="N283" s="32">
        <f t="shared" si="5"/>
        <v>0</v>
      </c>
      <c r="O283" s="16"/>
      <c r="P283" s="410"/>
      <c r="Q283" s="17"/>
      <c r="R283" s="407"/>
      <c r="S283" s="84"/>
      <c r="T283" s="187"/>
      <c r="U283" s="76"/>
      <c r="V283" s="445"/>
      <c r="W283" s="82"/>
      <c r="X283" s="358"/>
      <c r="Y283" s="358"/>
      <c r="Z283" s="358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</row>
    <row r="284" spans="1:36" ht="15" customHeight="1" x14ac:dyDescent="0.25">
      <c r="A284" s="68"/>
      <c r="B284" s="358"/>
      <c r="C284" s="91"/>
      <c r="D284" s="359"/>
      <c r="E284" s="359"/>
      <c r="F284" s="91"/>
      <c r="G284" s="91"/>
      <c r="H284" s="91"/>
      <c r="I284" s="91"/>
      <c r="J284" s="91"/>
      <c r="K284" s="91"/>
      <c r="L284" s="91"/>
      <c r="M284" s="91"/>
      <c r="N284" s="32">
        <f t="shared" si="5"/>
        <v>0</v>
      </c>
      <c r="O284" s="16"/>
      <c r="P284" s="410"/>
      <c r="Q284" s="17"/>
      <c r="R284" s="407"/>
      <c r="S284" s="84"/>
      <c r="T284" s="187"/>
      <c r="U284" s="76"/>
      <c r="V284" s="445"/>
      <c r="W284" s="82"/>
      <c r="X284" s="358"/>
      <c r="Y284" s="358"/>
      <c r="Z284" s="358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</row>
    <row r="285" spans="1:36" ht="15" customHeight="1" x14ac:dyDescent="0.25">
      <c r="A285" s="68"/>
      <c r="B285" s="358"/>
      <c r="C285" s="91"/>
      <c r="D285" s="359"/>
      <c r="E285" s="359"/>
      <c r="F285" s="91"/>
      <c r="G285" s="91"/>
      <c r="H285" s="91"/>
      <c r="I285" s="91"/>
      <c r="J285" s="91"/>
      <c r="K285" s="91"/>
      <c r="L285" s="91"/>
      <c r="M285" s="91"/>
      <c r="N285" s="32">
        <f t="shared" si="5"/>
        <v>0</v>
      </c>
      <c r="O285" s="16"/>
      <c r="P285" s="410"/>
      <c r="Q285" s="17"/>
      <c r="R285" s="407"/>
      <c r="S285" s="84"/>
      <c r="T285" s="187"/>
      <c r="U285" s="76"/>
      <c r="V285" s="445"/>
      <c r="W285" s="82"/>
      <c r="X285" s="358"/>
      <c r="Y285" s="358"/>
      <c r="Z285" s="358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</row>
    <row r="286" spans="1:36" ht="15" customHeight="1" x14ac:dyDescent="0.25">
      <c r="A286" s="68"/>
      <c r="B286" s="358"/>
      <c r="C286" s="91"/>
      <c r="D286" s="359"/>
      <c r="E286" s="359"/>
      <c r="F286" s="91"/>
      <c r="G286" s="91"/>
      <c r="H286" s="91"/>
      <c r="I286" s="91"/>
      <c r="J286" s="91"/>
      <c r="K286" s="91"/>
      <c r="L286" s="91"/>
      <c r="M286" s="91"/>
      <c r="N286" s="32">
        <f t="shared" si="5"/>
        <v>0</v>
      </c>
      <c r="O286" s="16"/>
      <c r="P286" s="410"/>
      <c r="Q286" s="17"/>
      <c r="R286" s="407"/>
      <c r="S286" s="84"/>
      <c r="T286" s="187"/>
      <c r="U286" s="76"/>
      <c r="V286" s="445"/>
      <c r="W286" s="82"/>
      <c r="X286" s="358"/>
      <c r="Y286" s="358"/>
      <c r="Z286" s="358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</row>
    <row r="287" spans="1:36" ht="15" customHeight="1" x14ac:dyDescent="0.25">
      <c r="A287" s="68"/>
      <c r="B287" s="358"/>
      <c r="C287" s="91"/>
      <c r="D287" s="359"/>
      <c r="E287" s="359"/>
      <c r="F287" s="91"/>
      <c r="G287" s="91"/>
      <c r="H287" s="91"/>
      <c r="I287" s="91"/>
      <c r="J287" s="91"/>
      <c r="K287" s="91"/>
      <c r="L287" s="91"/>
      <c r="M287" s="91"/>
      <c r="N287" s="32">
        <f t="shared" si="5"/>
        <v>0</v>
      </c>
      <c r="O287" s="16"/>
      <c r="P287" s="410"/>
      <c r="Q287" s="17"/>
      <c r="R287" s="407"/>
      <c r="S287" s="84"/>
      <c r="T287" s="187"/>
      <c r="U287" s="76"/>
      <c r="V287" s="445"/>
      <c r="W287" s="82"/>
      <c r="X287" s="358"/>
      <c r="Y287" s="358"/>
      <c r="Z287" s="358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</row>
    <row r="288" spans="1:36" ht="15" customHeight="1" x14ac:dyDescent="0.25">
      <c r="A288" s="68"/>
      <c r="B288" s="358"/>
      <c r="C288" s="91"/>
      <c r="D288" s="359"/>
      <c r="E288" s="359"/>
      <c r="F288" s="91"/>
      <c r="G288" s="91"/>
      <c r="H288" s="91"/>
      <c r="I288" s="91"/>
      <c r="J288" s="91"/>
      <c r="K288" s="91"/>
      <c r="L288" s="91"/>
      <c r="M288" s="91"/>
      <c r="N288" s="32">
        <f t="shared" si="5"/>
        <v>0</v>
      </c>
      <c r="O288" s="16"/>
      <c r="P288" s="410"/>
      <c r="Q288" s="17"/>
      <c r="R288" s="407"/>
      <c r="S288" s="84"/>
      <c r="T288" s="187"/>
      <c r="U288" s="76"/>
      <c r="V288" s="445"/>
      <c r="W288" s="82"/>
      <c r="X288" s="358"/>
      <c r="Y288" s="358"/>
      <c r="Z288" s="358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</row>
    <row r="289" spans="1:36" ht="15" customHeight="1" x14ac:dyDescent="0.25">
      <c r="A289" s="68"/>
      <c r="B289" s="358"/>
      <c r="C289" s="91"/>
      <c r="D289" s="359"/>
      <c r="E289" s="359"/>
      <c r="F289" s="91"/>
      <c r="G289" s="91"/>
      <c r="H289" s="91"/>
      <c r="I289" s="91"/>
      <c r="J289" s="91"/>
      <c r="K289" s="91"/>
      <c r="L289" s="91"/>
      <c r="M289" s="91"/>
      <c r="N289" s="32">
        <f t="shared" si="5"/>
        <v>0</v>
      </c>
      <c r="O289" s="16"/>
      <c r="P289" s="410"/>
      <c r="Q289" s="17"/>
      <c r="R289" s="407"/>
      <c r="S289" s="84"/>
      <c r="T289" s="187"/>
      <c r="U289" s="76"/>
      <c r="V289" s="445"/>
      <c r="W289" s="82"/>
      <c r="X289" s="358"/>
      <c r="Y289" s="358"/>
      <c r="Z289" s="358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</row>
    <row r="290" spans="1:36" ht="15" customHeight="1" x14ac:dyDescent="0.25">
      <c r="A290" s="68"/>
      <c r="B290" s="358"/>
      <c r="C290" s="91"/>
      <c r="D290" s="359"/>
      <c r="E290" s="359"/>
      <c r="F290" s="91"/>
      <c r="G290" s="91"/>
      <c r="H290" s="91"/>
      <c r="I290" s="91"/>
      <c r="J290" s="91"/>
      <c r="K290" s="91"/>
      <c r="L290" s="91"/>
      <c r="M290" s="91"/>
      <c r="N290" s="32">
        <f t="shared" si="5"/>
        <v>0</v>
      </c>
      <c r="O290" s="16"/>
      <c r="P290" s="410"/>
      <c r="Q290" s="17"/>
      <c r="R290" s="407"/>
      <c r="S290" s="84"/>
      <c r="T290" s="187"/>
      <c r="U290" s="76"/>
      <c r="V290" s="445"/>
      <c r="W290" s="82"/>
      <c r="X290" s="358"/>
      <c r="Y290" s="358"/>
      <c r="Z290" s="358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</row>
    <row r="291" spans="1:36" ht="15" customHeight="1" x14ac:dyDescent="0.25">
      <c r="A291" s="68"/>
      <c r="B291" s="358"/>
      <c r="C291" s="91"/>
      <c r="D291" s="359"/>
      <c r="E291" s="359"/>
      <c r="F291" s="91"/>
      <c r="G291" s="91"/>
      <c r="H291" s="91"/>
      <c r="I291" s="91"/>
      <c r="J291" s="91"/>
      <c r="K291" s="91"/>
      <c r="L291" s="91"/>
      <c r="M291" s="91"/>
      <c r="N291" s="32">
        <f t="shared" si="5"/>
        <v>0</v>
      </c>
      <c r="O291" s="16"/>
      <c r="P291" s="410"/>
      <c r="Q291" s="17"/>
      <c r="R291" s="407"/>
      <c r="S291" s="84"/>
      <c r="T291" s="187"/>
      <c r="U291" s="76"/>
      <c r="V291" s="445"/>
      <c r="W291" s="82"/>
      <c r="X291" s="358"/>
      <c r="Y291" s="358"/>
      <c r="Z291" s="358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</row>
    <row r="292" spans="1:36" ht="15" customHeight="1" x14ac:dyDescent="0.25">
      <c r="A292" s="68"/>
      <c r="B292" s="358"/>
      <c r="C292" s="91"/>
      <c r="D292" s="359"/>
      <c r="E292" s="359"/>
      <c r="F292" s="91"/>
      <c r="G292" s="91"/>
      <c r="H292" s="91"/>
      <c r="I292" s="91"/>
      <c r="J292" s="91"/>
      <c r="K292" s="91"/>
      <c r="L292" s="91"/>
      <c r="M292" s="91"/>
      <c r="N292" s="32">
        <f t="shared" si="5"/>
        <v>0</v>
      </c>
      <c r="O292" s="16"/>
      <c r="P292" s="410"/>
      <c r="Q292" s="17"/>
      <c r="R292" s="407"/>
      <c r="S292" s="84"/>
      <c r="T292" s="187"/>
      <c r="U292" s="76"/>
      <c r="V292" s="445"/>
      <c r="W292" s="82"/>
      <c r="X292" s="358"/>
      <c r="Y292" s="358"/>
      <c r="Z292" s="358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</row>
    <row r="293" spans="1:36" ht="15" customHeight="1" x14ac:dyDescent="0.25">
      <c r="A293" s="68"/>
      <c r="B293" s="358"/>
      <c r="C293" s="91"/>
      <c r="D293" s="359"/>
      <c r="E293" s="359"/>
      <c r="F293" s="91"/>
      <c r="G293" s="91"/>
      <c r="H293" s="91"/>
      <c r="I293" s="91"/>
      <c r="J293" s="91"/>
      <c r="K293" s="91"/>
      <c r="L293" s="91"/>
      <c r="M293" s="91"/>
      <c r="N293" s="32">
        <f t="shared" si="5"/>
        <v>0</v>
      </c>
      <c r="O293" s="16"/>
      <c r="P293" s="410"/>
      <c r="Q293" s="17"/>
      <c r="R293" s="407"/>
      <c r="S293" s="84"/>
      <c r="T293" s="187"/>
      <c r="U293" s="76"/>
      <c r="V293" s="445"/>
      <c r="W293" s="82"/>
      <c r="X293" s="358"/>
      <c r="Y293" s="358"/>
      <c r="Z293" s="358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</row>
    <row r="294" spans="1:36" ht="15" customHeight="1" x14ac:dyDescent="0.25">
      <c r="A294" s="68"/>
      <c r="B294" s="358"/>
      <c r="C294" s="91"/>
      <c r="D294" s="359"/>
      <c r="E294" s="359"/>
      <c r="F294" s="91"/>
      <c r="G294" s="91"/>
      <c r="H294" s="91"/>
      <c r="I294" s="91"/>
      <c r="J294" s="91"/>
      <c r="K294" s="91"/>
      <c r="L294" s="91"/>
      <c r="M294" s="91"/>
      <c r="N294" s="32">
        <f t="shared" si="5"/>
        <v>0</v>
      </c>
      <c r="O294" s="16"/>
      <c r="P294" s="410"/>
      <c r="Q294" s="17"/>
      <c r="R294" s="407"/>
      <c r="S294" s="84"/>
      <c r="T294" s="187"/>
      <c r="U294" s="76"/>
      <c r="V294" s="445"/>
      <c r="W294" s="82"/>
      <c r="X294" s="358"/>
      <c r="Y294" s="358"/>
      <c r="Z294" s="358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</row>
    <row r="295" spans="1:36" ht="15" customHeight="1" x14ac:dyDescent="0.25">
      <c r="A295" s="68"/>
      <c r="B295" s="358"/>
      <c r="C295" s="91"/>
      <c r="D295" s="359"/>
      <c r="E295" s="359"/>
      <c r="F295" s="91"/>
      <c r="G295" s="91"/>
      <c r="H295" s="91"/>
      <c r="I295" s="91"/>
      <c r="J295" s="91"/>
      <c r="K295" s="91"/>
      <c r="L295" s="91"/>
      <c r="M295" s="91"/>
      <c r="N295" s="32">
        <f t="shared" si="5"/>
        <v>0</v>
      </c>
      <c r="O295" s="16"/>
      <c r="P295" s="410"/>
      <c r="Q295" s="17"/>
      <c r="R295" s="407"/>
      <c r="S295" s="84"/>
      <c r="T295" s="187"/>
      <c r="U295" s="76"/>
      <c r="V295" s="445"/>
      <c r="W295" s="82"/>
      <c r="X295" s="358"/>
      <c r="Y295" s="358"/>
      <c r="Z295" s="358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</row>
    <row r="296" spans="1:36" ht="15" customHeight="1" x14ac:dyDescent="0.25">
      <c r="A296" s="68"/>
      <c r="B296" s="358"/>
      <c r="C296" s="91"/>
      <c r="D296" s="359"/>
      <c r="E296" s="359"/>
      <c r="F296" s="91"/>
      <c r="G296" s="91"/>
      <c r="H296" s="91"/>
      <c r="I296" s="91"/>
      <c r="J296" s="91"/>
      <c r="K296" s="91"/>
      <c r="L296" s="91"/>
      <c r="M296" s="91"/>
      <c r="N296" s="32">
        <f t="shared" si="5"/>
        <v>0</v>
      </c>
      <c r="O296" s="16"/>
      <c r="P296" s="410"/>
      <c r="Q296" s="17"/>
      <c r="R296" s="407"/>
      <c r="S296" s="84"/>
      <c r="T296" s="187"/>
      <c r="U296" s="76"/>
      <c r="V296" s="445"/>
      <c r="W296" s="82"/>
      <c r="X296" s="358"/>
      <c r="Y296" s="358"/>
      <c r="Z296" s="358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</row>
    <row r="297" spans="1:36" ht="15" customHeight="1" x14ac:dyDescent="0.25">
      <c r="A297" s="68"/>
      <c r="B297" s="358"/>
      <c r="C297" s="91"/>
      <c r="D297" s="359"/>
      <c r="E297" s="359"/>
      <c r="F297" s="91"/>
      <c r="G297" s="91"/>
      <c r="H297" s="91"/>
      <c r="I297" s="91"/>
      <c r="J297" s="91"/>
      <c r="K297" s="91"/>
      <c r="L297" s="91"/>
      <c r="M297" s="91"/>
      <c r="N297" s="32">
        <f t="shared" si="5"/>
        <v>0</v>
      </c>
      <c r="O297" s="16"/>
      <c r="P297" s="410"/>
      <c r="Q297" s="17"/>
      <c r="R297" s="407"/>
      <c r="S297" s="84"/>
      <c r="T297" s="187"/>
      <c r="U297" s="76"/>
      <c r="V297" s="445"/>
      <c r="W297" s="82"/>
      <c r="X297" s="358"/>
      <c r="Y297" s="358"/>
      <c r="Z297" s="358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</row>
    <row r="298" spans="1:36" ht="15" customHeight="1" x14ac:dyDescent="0.25">
      <c r="A298" s="68"/>
      <c r="B298" s="358"/>
      <c r="C298" s="91"/>
      <c r="D298" s="359"/>
      <c r="E298" s="359"/>
      <c r="F298" s="91"/>
      <c r="G298" s="91"/>
      <c r="H298" s="91"/>
      <c r="I298" s="91"/>
      <c r="J298" s="91"/>
      <c r="K298" s="91"/>
      <c r="L298" s="91"/>
      <c r="M298" s="91"/>
      <c r="N298" s="32">
        <f t="shared" si="5"/>
        <v>0</v>
      </c>
      <c r="O298" s="16"/>
      <c r="P298" s="410"/>
      <c r="Q298" s="17"/>
      <c r="R298" s="407"/>
      <c r="S298" s="84"/>
      <c r="T298" s="187"/>
      <c r="U298" s="76"/>
      <c r="V298" s="445"/>
      <c r="W298" s="82"/>
      <c r="X298" s="358"/>
      <c r="Y298" s="358"/>
      <c r="Z298" s="358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</row>
    <row r="299" spans="1:36" ht="15" customHeight="1" x14ac:dyDescent="0.25">
      <c r="A299" s="68"/>
      <c r="B299" s="358"/>
      <c r="C299" s="91"/>
      <c r="D299" s="359"/>
      <c r="E299" s="359"/>
      <c r="F299" s="91"/>
      <c r="G299" s="91"/>
      <c r="H299" s="91"/>
      <c r="I299" s="91"/>
      <c r="J299" s="91"/>
      <c r="K299" s="91"/>
      <c r="L299" s="91"/>
      <c r="M299" s="91"/>
      <c r="N299" s="32">
        <f t="shared" si="5"/>
        <v>0</v>
      </c>
      <c r="O299" s="16"/>
      <c r="P299" s="410"/>
      <c r="Q299" s="17"/>
      <c r="R299" s="407"/>
      <c r="S299" s="84"/>
      <c r="T299" s="187"/>
      <c r="U299" s="76"/>
      <c r="V299" s="445"/>
      <c r="W299" s="82"/>
      <c r="X299" s="358"/>
      <c r="Y299" s="358"/>
      <c r="Z299" s="358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</row>
    <row r="300" spans="1:36" ht="15" customHeight="1" x14ac:dyDescent="0.25">
      <c r="A300" s="68"/>
      <c r="B300" s="358"/>
      <c r="C300" s="91"/>
      <c r="D300" s="359"/>
      <c r="E300" s="359"/>
      <c r="F300" s="91"/>
      <c r="G300" s="91"/>
      <c r="H300" s="91"/>
      <c r="I300" s="91"/>
      <c r="J300" s="91"/>
      <c r="K300" s="91"/>
      <c r="L300" s="91"/>
      <c r="M300" s="91"/>
      <c r="N300" s="32">
        <f t="shared" si="5"/>
        <v>0</v>
      </c>
      <c r="O300" s="16"/>
      <c r="P300" s="410"/>
      <c r="Q300" s="17"/>
      <c r="R300" s="407"/>
      <c r="S300" s="84"/>
      <c r="T300" s="187"/>
      <c r="U300" s="76"/>
      <c r="V300" s="445"/>
      <c r="W300" s="82"/>
      <c r="X300" s="358"/>
      <c r="Y300" s="358"/>
      <c r="Z300" s="358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</row>
    <row r="301" spans="1:36" ht="15" customHeight="1" x14ac:dyDescent="0.25">
      <c r="A301" s="68"/>
      <c r="B301" s="358"/>
      <c r="C301" s="91"/>
      <c r="D301" s="359"/>
      <c r="E301" s="359"/>
      <c r="F301" s="91"/>
      <c r="G301" s="91"/>
      <c r="H301" s="91"/>
      <c r="I301" s="91"/>
      <c r="J301" s="91"/>
      <c r="K301" s="91"/>
      <c r="L301" s="91"/>
      <c r="M301" s="91"/>
      <c r="N301" s="32">
        <f t="shared" si="5"/>
        <v>0</v>
      </c>
      <c r="O301" s="16"/>
      <c r="P301" s="410"/>
      <c r="Q301" s="17"/>
      <c r="R301" s="407"/>
      <c r="S301" s="84"/>
      <c r="T301" s="187"/>
      <c r="U301" s="76"/>
      <c r="V301" s="445"/>
      <c r="W301" s="82"/>
      <c r="X301" s="358"/>
      <c r="Y301" s="358"/>
      <c r="Z301" s="358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</row>
    <row r="302" spans="1:36" ht="15" customHeight="1" x14ac:dyDescent="0.25">
      <c r="A302" s="68"/>
      <c r="B302" s="358"/>
      <c r="C302" s="91"/>
      <c r="D302" s="359"/>
      <c r="E302" s="359"/>
      <c r="F302" s="91"/>
      <c r="G302" s="91"/>
      <c r="H302" s="91"/>
      <c r="I302" s="91"/>
      <c r="J302" s="91"/>
      <c r="K302" s="91"/>
      <c r="L302" s="91"/>
      <c r="M302" s="91"/>
      <c r="N302" s="32">
        <f t="shared" si="5"/>
        <v>0</v>
      </c>
      <c r="O302" s="16"/>
      <c r="P302" s="410"/>
      <c r="Q302" s="17"/>
      <c r="R302" s="407"/>
      <c r="S302" s="84"/>
      <c r="T302" s="187"/>
      <c r="U302" s="76"/>
      <c r="V302" s="445"/>
      <c r="W302" s="82"/>
      <c r="X302" s="358"/>
      <c r="Y302" s="358"/>
      <c r="Z302" s="358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</row>
    <row r="303" spans="1:36" ht="15" customHeight="1" x14ac:dyDescent="0.25">
      <c r="A303" s="68"/>
      <c r="B303" s="358"/>
      <c r="C303" s="91"/>
      <c r="D303" s="359"/>
      <c r="E303" s="359"/>
      <c r="F303" s="91"/>
      <c r="G303" s="91"/>
      <c r="H303" s="91"/>
      <c r="I303" s="91"/>
      <c r="J303" s="91"/>
      <c r="K303" s="91"/>
      <c r="L303" s="91"/>
      <c r="M303" s="91"/>
      <c r="N303" s="32">
        <f t="shared" si="5"/>
        <v>0</v>
      </c>
      <c r="O303" s="16"/>
      <c r="P303" s="410"/>
      <c r="Q303" s="17"/>
      <c r="R303" s="407"/>
      <c r="S303" s="84"/>
      <c r="T303" s="187"/>
      <c r="U303" s="76"/>
      <c r="V303" s="445"/>
      <c r="W303" s="82"/>
      <c r="X303" s="358"/>
      <c r="Y303" s="358"/>
      <c r="Z303" s="358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</row>
    <row r="304" spans="1:36" ht="15" customHeight="1" x14ac:dyDescent="0.25">
      <c r="A304" s="68"/>
      <c r="B304" s="358"/>
      <c r="C304" s="91"/>
      <c r="D304" s="359"/>
      <c r="E304" s="359"/>
      <c r="F304" s="91"/>
      <c r="G304" s="91"/>
      <c r="H304" s="91"/>
      <c r="I304" s="91"/>
      <c r="J304" s="91"/>
      <c r="K304" s="91"/>
      <c r="L304" s="91"/>
      <c r="M304" s="91"/>
      <c r="N304" s="32">
        <f t="shared" si="5"/>
        <v>0</v>
      </c>
      <c r="O304" s="16"/>
      <c r="P304" s="410"/>
      <c r="Q304" s="17"/>
      <c r="R304" s="407"/>
      <c r="S304" s="84"/>
      <c r="T304" s="187"/>
      <c r="U304" s="76"/>
      <c r="V304" s="445"/>
      <c r="W304" s="82"/>
      <c r="X304" s="358"/>
      <c r="Y304" s="358"/>
      <c r="Z304" s="358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</row>
    <row r="305" spans="1:36" ht="15" customHeight="1" x14ac:dyDescent="0.25">
      <c r="A305" s="68"/>
      <c r="B305" s="358"/>
      <c r="C305" s="91"/>
      <c r="D305" s="359"/>
      <c r="E305" s="359"/>
      <c r="F305" s="91"/>
      <c r="G305" s="91"/>
      <c r="H305" s="91"/>
      <c r="I305" s="91"/>
      <c r="J305" s="91"/>
      <c r="K305" s="91"/>
      <c r="L305" s="91"/>
      <c r="M305" s="91"/>
      <c r="N305" s="32">
        <f t="shared" si="5"/>
        <v>0</v>
      </c>
      <c r="O305" s="16"/>
      <c r="P305" s="410"/>
      <c r="Q305" s="17"/>
      <c r="R305" s="407"/>
      <c r="S305" s="84"/>
      <c r="T305" s="187"/>
      <c r="U305" s="76"/>
      <c r="V305" s="445"/>
      <c r="W305" s="82"/>
      <c r="X305" s="358"/>
      <c r="Y305" s="358"/>
      <c r="Z305" s="358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</row>
    <row r="306" spans="1:36" ht="15" customHeight="1" x14ac:dyDescent="0.25">
      <c r="A306" s="68"/>
      <c r="B306" s="358"/>
      <c r="C306" s="91"/>
      <c r="D306" s="359"/>
      <c r="E306" s="359"/>
      <c r="F306" s="91"/>
      <c r="G306" s="91"/>
      <c r="H306" s="91"/>
      <c r="I306" s="91"/>
      <c r="J306" s="91"/>
      <c r="K306" s="91"/>
      <c r="L306" s="91"/>
      <c r="M306" s="91"/>
      <c r="N306" s="32">
        <f t="shared" si="5"/>
        <v>0</v>
      </c>
      <c r="O306" s="16"/>
      <c r="P306" s="410"/>
      <c r="Q306" s="17"/>
      <c r="R306" s="407"/>
      <c r="S306" s="84"/>
      <c r="T306" s="187"/>
      <c r="U306" s="76"/>
      <c r="V306" s="445"/>
      <c r="W306" s="82"/>
      <c r="X306" s="358"/>
      <c r="Y306" s="358"/>
      <c r="Z306" s="358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</row>
    <row r="307" spans="1:36" ht="15" customHeight="1" x14ac:dyDescent="0.25">
      <c r="A307" s="68"/>
      <c r="B307" s="358"/>
      <c r="C307" s="91"/>
      <c r="D307" s="359"/>
      <c r="E307" s="359"/>
      <c r="F307" s="91"/>
      <c r="G307" s="91"/>
      <c r="H307" s="91"/>
      <c r="I307" s="91"/>
      <c r="J307" s="91"/>
      <c r="K307" s="91"/>
      <c r="L307" s="91"/>
      <c r="M307" s="91"/>
      <c r="N307" s="32">
        <f t="shared" si="5"/>
        <v>0</v>
      </c>
      <c r="O307" s="16"/>
      <c r="P307" s="410"/>
      <c r="Q307" s="17"/>
      <c r="R307" s="407"/>
      <c r="S307" s="84"/>
      <c r="T307" s="187"/>
      <c r="U307" s="76"/>
      <c r="V307" s="445"/>
      <c r="W307" s="82"/>
      <c r="X307" s="358"/>
      <c r="Y307" s="358"/>
      <c r="Z307" s="358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</row>
    <row r="308" spans="1:36" ht="15" customHeight="1" x14ac:dyDescent="0.25">
      <c r="A308" s="68"/>
      <c r="B308" s="358"/>
      <c r="C308" s="91"/>
      <c r="D308" s="359"/>
      <c r="E308" s="359"/>
      <c r="F308" s="91"/>
      <c r="G308" s="91"/>
      <c r="H308" s="91"/>
      <c r="I308" s="91"/>
      <c r="J308" s="91"/>
      <c r="K308" s="91"/>
      <c r="L308" s="91"/>
      <c r="M308" s="91"/>
      <c r="N308" s="32">
        <f t="shared" si="5"/>
        <v>0</v>
      </c>
      <c r="O308" s="16"/>
      <c r="P308" s="410"/>
      <c r="Q308" s="17"/>
      <c r="R308" s="407"/>
      <c r="S308" s="84"/>
      <c r="T308" s="187"/>
      <c r="U308" s="76"/>
      <c r="V308" s="445"/>
      <c r="W308" s="82"/>
      <c r="X308" s="358"/>
      <c r="Y308" s="358"/>
      <c r="Z308" s="358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</row>
    <row r="309" spans="1:36" ht="15" customHeight="1" x14ac:dyDescent="0.25">
      <c r="A309" s="68"/>
      <c r="B309" s="358"/>
      <c r="C309" s="91"/>
      <c r="D309" s="359"/>
      <c r="E309" s="359"/>
      <c r="F309" s="91"/>
      <c r="G309" s="91"/>
      <c r="H309" s="91"/>
      <c r="I309" s="91"/>
      <c r="J309" s="91"/>
      <c r="K309" s="91"/>
      <c r="L309" s="91"/>
      <c r="M309" s="91"/>
      <c r="N309" s="32">
        <f t="shared" si="5"/>
        <v>0</v>
      </c>
      <c r="O309" s="16"/>
      <c r="P309" s="410"/>
      <c r="Q309" s="17"/>
      <c r="R309" s="407"/>
      <c r="S309" s="84"/>
      <c r="T309" s="187"/>
      <c r="U309" s="76"/>
      <c r="V309" s="445"/>
      <c r="W309" s="82"/>
      <c r="X309" s="358"/>
      <c r="Y309" s="358"/>
      <c r="Z309" s="358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</row>
    <row r="310" spans="1:36" ht="15" customHeight="1" x14ac:dyDescent="0.25">
      <c r="A310" s="68"/>
      <c r="B310" s="358"/>
      <c r="C310" s="91"/>
      <c r="D310" s="359"/>
      <c r="E310" s="359"/>
      <c r="F310" s="91"/>
      <c r="G310" s="91"/>
      <c r="H310" s="91"/>
      <c r="I310" s="91"/>
      <c r="J310" s="91"/>
      <c r="K310" s="91"/>
      <c r="L310" s="91"/>
      <c r="M310" s="91"/>
      <c r="N310" s="32">
        <f t="shared" si="5"/>
        <v>0</v>
      </c>
      <c r="O310" s="16"/>
      <c r="P310" s="410"/>
      <c r="Q310" s="17"/>
      <c r="R310" s="407"/>
      <c r="S310" s="84"/>
      <c r="T310" s="187"/>
      <c r="U310" s="76"/>
      <c r="V310" s="445"/>
      <c r="W310" s="82"/>
      <c r="X310" s="358"/>
      <c r="Y310" s="358"/>
      <c r="Z310" s="358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</row>
    <row r="311" spans="1:36" ht="15" customHeight="1" x14ac:dyDescent="0.25">
      <c r="A311" s="68"/>
      <c r="B311" s="358"/>
      <c r="C311" s="91"/>
      <c r="D311" s="359"/>
      <c r="E311" s="359"/>
      <c r="F311" s="91"/>
      <c r="G311" s="91"/>
      <c r="H311" s="91"/>
      <c r="I311" s="91"/>
      <c r="J311" s="91"/>
      <c r="K311" s="91"/>
      <c r="L311" s="91"/>
      <c r="M311" s="91"/>
      <c r="N311" s="32">
        <f t="shared" si="5"/>
        <v>0</v>
      </c>
      <c r="O311" s="16"/>
      <c r="P311" s="410"/>
      <c r="Q311" s="17"/>
      <c r="R311" s="407"/>
      <c r="S311" s="84"/>
      <c r="T311" s="187"/>
      <c r="U311" s="76"/>
      <c r="V311" s="445"/>
      <c r="W311" s="82"/>
      <c r="X311" s="358"/>
      <c r="Y311" s="358"/>
      <c r="Z311" s="358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</row>
    <row r="312" spans="1:36" ht="15" customHeight="1" x14ac:dyDescent="0.25">
      <c r="A312" s="68"/>
      <c r="B312" s="358"/>
      <c r="C312" s="91"/>
      <c r="D312" s="359"/>
      <c r="E312" s="359"/>
      <c r="F312" s="91"/>
      <c r="G312" s="91"/>
      <c r="H312" s="91"/>
      <c r="I312" s="91"/>
      <c r="J312" s="91"/>
      <c r="K312" s="91"/>
      <c r="L312" s="91"/>
      <c r="M312" s="91"/>
      <c r="N312" s="32">
        <f t="shared" si="5"/>
        <v>0</v>
      </c>
      <c r="O312" s="16"/>
      <c r="P312" s="410"/>
      <c r="Q312" s="17"/>
      <c r="R312" s="407"/>
      <c r="S312" s="84"/>
      <c r="T312" s="187"/>
      <c r="U312" s="76"/>
      <c r="V312" s="445"/>
      <c r="W312" s="82"/>
      <c r="X312" s="358"/>
      <c r="Y312" s="358"/>
      <c r="Z312" s="358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</row>
    <row r="313" spans="1:36" ht="15" customHeight="1" x14ac:dyDescent="0.25">
      <c r="A313" s="68"/>
      <c r="B313" s="358"/>
      <c r="C313" s="91"/>
      <c r="D313" s="359"/>
      <c r="E313" s="359"/>
      <c r="F313" s="91"/>
      <c r="G313" s="91"/>
      <c r="H313" s="91"/>
      <c r="I313" s="91"/>
      <c r="J313" s="91"/>
      <c r="K313" s="91"/>
      <c r="L313" s="91"/>
      <c r="M313" s="91"/>
      <c r="N313" s="32">
        <f t="shared" si="5"/>
        <v>0</v>
      </c>
      <c r="O313" s="16"/>
      <c r="P313" s="410"/>
      <c r="Q313" s="17"/>
      <c r="R313" s="407"/>
      <c r="S313" s="84"/>
      <c r="T313" s="187"/>
      <c r="U313" s="76"/>
      <c r="V313" s="445"/>
      <c r="W313" s="82"/>
      <c r="X313" s="358"/>
      <c r="Y313" s="358"/>
      <c r="Z313" s="358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</row>
    <row r="314" spans="1:36" ht="15" customHeight="1" x14ac:dyDescent="0.25">
      <c r="A314" s="68"/>
      <c r="B314" s="358"/>
      <c r="C314" s="91"/>
      <c r="D314" s="359"/>
      <c r="E314" s="359"/>
      <c r="F314" s="91"/>
      <c r="G314" s="91"/>
      <c r="H314" s="91"/>
      <c r="I314" s="91"/>
      <c r="J314" s="91"/>
      <c r="K314" s="91"/>
      <c r="L314" s="91"/>
      <c r="M314" s="91"/>
      <c r="N314" s="32">
        <f t="shared" si="5"/>
        <v>0</v>
      </c>
      <c r="O314" s="16"/>
      <c r="P314" s="410"/>
      <c r="Q314" s="17"/>
      <c r="R314" s="407"/>
      <c r="S314" s="84"/>
      <c r="T314" s="187"/>
      <c r="U314" s="76"/>
      <c r="V314" s="445"/>
      <c r="W314" s="82"/>
      <c r="X314" s="358"/>
      <c r="Y314" s="358"/>
      <c r="Z314" s="358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</row>
    <row r="315" spans="1:36" ht="15" customHeight="1" x14ac:dyDescent="0.25">
      <c r="A315" s="68"/>
      <c r="B315" s="358"/>
      <c r="C315" s="91"/>
      <c r="D315" s="359"/>
      <c r="E315" s="359"/>
      <c r="F315" s="91"/>
      <c r="G315" s="91"/>
      <c r="H315" s="91"/>
      <c r="I315" s="91"/>
      <c r="J315" s="91"/>
      <c r="K315" s="91"/>
      <c r="L315" s="91"/>
      <c r="M315" s="91"/>
      <c r="N315" s="32">
        <f t="shared" si="5"/>
        <v>0</v>
      </c>
      <c r="O315" s="16"/>
      <c r="P315" s="410"/>
      <c r="Q315" s="17"/>
      <c r="R315" s="407"/>
      <c r="S315" s="84"/>
      <c r="T315" s="187"/>
      <c r="U315" s="76"/>
      <c r="V315" s="445"/>
      <c r="W315" s="82"/>
      <c r="X315" s="358"/>
      <c r="Y315" s="358"/>
      <c r="Z315" s="358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</row>
    <row r="316" spans="1:36" ht="15" customHeight="1" x14ac:dyDescent="0.25">
      <c r="A316" s="68"/>
      <c r="B316" s="358"/>
      <c r="C316" s="91"/>
      <c r="D316" s="359"/>
      <c r="E316" s="359"/>
      <c r="F316" s="91"/>
      <c r="G316" s="91"/>
      <c r="H316" s="91"/>
      <c r="I316" s="91"/>
      <c r="J316" s="91"/>
      <c r="K316" s="91"/>
      <c r="L316" s="91"/>
      <c r="M316" s="91"/>
      <c r="N316" s="32">
        <f t="shared" si="5"/>
        <v>0</v>
      </c>
      <c r="O316" s="16"/>
      <c r="P316" s="410"/>
      <c r="Q316" s="17"/>
      <c r="R316" s="407"/>
      <c r="S316" s="84"/>
      <c r="T316" s="187"/>
      <c r="U316" s="76"/>
      <c r="V316" s="445"/>
      <c r="W316" s="82"/>
      <c r="X316" s="358"/>
      <c r="Y316" s="358"/>
      <c r="Z316" s="358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</row>
    <row r="317" spans="1:36" ht="15" customHeight="1" x14ac:dyDescent="0.25">
      <c r="A317" s="68"/>
      <c r="B317" s="358"/>
      <c r="C317" s="91"/>
      <c r="D317" s="359"/>
      <c r="E317" s="359"/>
      <c r="F317" s="91"/>
      <c r="G317" s="91"/>
      <c r="H317" s="91"/>
      <c r="I317" s="91"/>
      <c r="J317" s="91"/>
      <c r="K317" s="91"/>
      <c r="L317" s="91"/>
      <c r="M317" s="91"/>
      <c r="N317" s="32">
        <f t="shared" si="5"/>
        <v>0</v>
      </c>
      <c r="O317" s="16"/>
      <c r="P317" s="410"/>
      <c r="Q317" s="17"/>
      <c r="R317" s="407"/>
      <c r="S317" s="84"/>
      <c r="T317" s="187"/>
      <c r="U317" s="76"/>
      <c r="V317" s="445"/>
      <c r="W317" s="82"/>
      <c r="X317" s="358"/>
      <c r="Y317" s="358"/>
      <c r="Z317" s="358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</row>
    <row r="318" spans="1:36" ht="15" customHeight="1" x14ac:dyDescent="0.25">
      <c r="A318" s="68"/>
      <c r="B318" s="358"/>
      <c r="C318" s="91"/>
      <c r="D318" s="359"/>
      <c r="E318" s="359"/>
      <c r="F318" s="91"/>
      <c r="G318" s="91"/>
      <c r="H318" s="91"/>
      <c r="I318" s="91"/>
      <c r="J318" s="91"/>
      <c r="K318" s="91"/>
      <c r="L318" s="91"/>
      <c r="M318" s="91"/>
      <c r="N318" s="32">
        <f t="shared" si="5"/>
        <v>0</v>
      </c>
      <c r="O318" s="16"/>
      <c r="P318" s="410"/>
      <c r="Q318" s="17"/>
      <c r="R318" s="407"/>
      <c r="S318" s="84"/>
      <c r="T318" s="187"/>
      <c r="U318" s="76"/>
      <c r="V318" s="445"/>
      <c r="W318" s="82"/>
      <c r="X318" s="358"/>
      <c r="Y318" s="358"/>
      <c r="Z318" s="358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</row>
    <row r="319" spans="1:36" ht="15" customHeight="1" x14ac:dyDescent="0.25">
      <c r="A319" s="68"/>
      <c r="B319" s="358"/>
      <c r="C319" s="91"/>
      <c r="D319" s="359"/>
      <c r="E319" s="359"/>
      <c r="F319" s="91"/>
      <c r="G319" s="91"/>
      <c r="H319" s="91"/>
      <c r="I319" s="91"/>
      <c r="J319" s="91"/>
      <c r="K319" s="91"/>
      <c r="L319" s="91"/>
      <c r="M319" s="91"/>
      <c r="N319" s="32">
        <f t="shared" si="5"/>
        <v>0</v>
      </c>
      <c r="O319" s="16"/>
      <c r="P319" s="410"/>
      <c r="Q319" s="17"/>
      <c r="R319" s="407"/>
      <c r="S319" s="84"/>
      <c r="T319" s="187"/>
      <c r="U319" s="76"/>
      <c r="V319" s="445"/>
      <c r="W319" s="82"/>
      <c r="X319" s="358"/>
      <c r="Y319" s="358"/>
      <c r="Z319" s="358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</row>
    <row r="320" spans="1:36" ht="15" customHeight="1" x14ac:dyDescent="0.25">
      <c r="A320" s="68"/>
      <c r="B320" s="358"/>
      <c r="C320" s="91"/>
      <c r="D320" s="359"/>
      <c r="E320" s="359"/>
      <c r="F320" s="91"/>
      <c r="G320" s="91"/>
      <c r="H320" s="91"/>
      <c r="I320" s="91"/>
      <c r="J320" s="91"/>
      <c r="K320" s="91"/>
      <c r="L320" s="91"/>
      <c r="M320" s="91"/>
      <c r="N320" s="32">
        <f t="shared" si="5"/>
        <v>0</v>
      </c>
      <c r="O320" s="16"/>
      <c r="P320" s="410"/>
      <c r="Q320" s="17"/>
      <c r="R320" s="407"/>
      <c r="S320" s="84"/>
      <c r="T320" s="187"/>
      <c r="U320" s="76"/>
      <c r="V320" s="445"/>
      <c r="W320" s="82"/>
      <c r="X320" s="358"/>
      <c r="Y320" s="358"/>
      <c r="Z320" s="358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</row>
    <row r="321" spans="1:36" ht="15" customHeight="1" x14ac:dyDescent="0.25">
      <c r="A321" s="68"/>
      <c r="B321" s="358"/>
      <c r="C321" s="91"/>
      <c r="D321" s="359"/>
      <c r="E321" s="359"/>
      <c r="F321" s="91"/>
      <c r="G321" s="91"/>
      <c r="H321" s="91"/>
      <c r="I321" s="91"/>
      <c r="J321" s="91"/>
      <c r="K321" s="91"/>
      <c r="L321" s="91"/>
      <c r="M321" s="91"/>
      <c r="N321" s="32">
        <f t="shared" si="5"/>
        <v>0</v>
      </c>
      <c r="O321" s="16"/>
      <c r="P321" s="410"/>
      <c r="Q321" s="17"/>
      <c r="R321" s="407"/>
      <c r="S321" s="84"/>
      <c r="T321" s="187"/>
      <c r="U321" s="76"/>
      <c r="V321" s="445"/>
      <c r="W321" s="82"/>
      <c r="X321" s="358"/>
      <c r="Y321" s="358"/>
      <c r="Z321" s="358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</row>
    <row r="322" spans="1:36" ht="15" customHeight="1" x14ac:dyDescent="0.25">
      <c r="A322" s="68"/>
      <c r="B322" s="358"/>
      <c r="C322" s="91"/>
      <c r="D322" s="359"/>
      <c r="E322" s="359"/>
      <c r="F322" s="91"/>
      <c r="G322" s="91"/>
      <c r="H322" s="91"/>
      <c r="I322" s="91"/>
      <c r="J322" s="91"/>
      <c r="K322" s="91"/>
      <c r="L322" s="91"/>
      <c r="M322" s="91"/>
      <c r="N322" s="32">
        <f t="shared" si="5"/>
        <v>0</v>
      </c>
      <c r="O322" s="16"/>
      <c r="P322" s="410"/>
      <c r="Q322" s="17"/>
      <c r="R322" s="407"/>
      <c r="S322" s="84"/>
      <c r="T322" s="187"/>
      <c r="U322" s="76"/>
      <c r="V322" s="445"/>
      <c r="W322" s="82"/>
      <c r="X322" s="358"/>
      <c r="Y322" s="358"/>
      <c r="Z322" s="358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</row>
    <row r="323" spans="1:36" ht="15" customHeight="1" x14ac:dyDescent="0.25">
      <c r="A323" s="68"/>
      <c r="B323" s="358"/>
      <c r="C323" s="91"/>
      <c r="D323" s="359"/>
      <c r="E323" s="359"/>
      <c r="F323" s="91"/>
      <c r="G323" s="91"/>
      <c r="H323" s="91"/>
      <c r="I323" s="91"/>
      <c r="J323" s="91"/>
      <c r="K323" s="91"/>
      <c r="L323" s="91"/>
      <c r="M323" s="91"/>
      <c r="N323" s="32">
        <f t="shared" si="5"/>
        <v>0</v>
      </c>
      <c r="O323" s="16"/>
      <c r="P323" s="410"/>
      <c r="Q323" s="17"/>
      <c r="R323" s="407"/>
      <c r="S323" s="84"/>
      <c r="T323" s="187"/>
      <c r="U323" s="76"/>
      <c r="V323" s="445"/>
      <c r="W323" s="82"/>
      <c r="X323" s="358"/>
      <c r="Y323" s="358"/>
      <c r="Z323" s="358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</row>
    <row r="324" spans="1:36" ht="15" customHeight="1" x14ac:dyDescent="0.25">
      <c r="A324" s="68"/>
      <c r="B324" s="358"/>
      <c r="C324" s="91"/>
      <c r="D324" s="359"/>
      <c r="E324" s="359"/>
      <c r="F324" s="91"/>
      <c r="G324" s="91"/>
      <c r="H324" s="91"/>
      <c r="I324" s="91"/>
      <c r="J324" s="91"/>
      <c r="K324" s="91"/>
      <c r="L324" s="91"/>
      <c r="M324" s="91"/>
      <c r="N324" s="32">
        <f t="shared" si="5"/>
        <v>0</v>
      </c>
      <c r="O324" s="16"/>
      <c r="P324" s="410"/>
      <c r="Q324" s="17"/>
      <c r="R324" s="407"/>
      <c r="S324" s="84"/>
      <c r="T324" s="187"/>
      <c r="U324" s="76"/>
      <c r="V324" s="445"/>
      <c r="W324" s="82"/>
      <c r="X324" s="358"/>
      <c r="Y324" s="358"/>
      <c r="Z324" s="358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</row>
    <row r="325" spans="1:36" ht="15" customHeight="1" x14ac:dyDescent="0.25">
      <c r="A325" s="68"/>
      <c r="B325" s="358"/>
      <c r="C325" s="91"/>
      <c r="D325" s="359"/>
      <c r="E325" s="359"/>
      <c r="F325" s="91"/>
      <c r="G325" s="91"/>
      <c r="H325" s="91"/>
      <c r="I325" s="91"/>
      <c r="J325" s="91"/>
      <c r="K325" s="91"/>
      <c r="L325" s="91"/>
      <c r="M325" s="91"/>
      <c r="N325" s="32">
        <f t="shared" si="5"/>
        <v>0</v>
      </c>
      <c r="O325" s="16"/>
      <c r="P325" s="410"/>
      <c r="Q325" s="17"/>
      <c r="R325" s="407"/>
      <c r="S325" s="84"/>
      <c r="T325" s="187"/>
      <c r="U325" s="76"/>
      <c r="V325" s="445"/>
      <c r="W325" s="82"/>
      <c r="X325" s="358"/>
      <c r="Y325" s="358"/>
      <c r="Z325" s="358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</row>
    <row r="326" spans="1:36" ht="15" customHeight="1" x14ac:dyDescent="0.25">
      <c r="A326" s="68"/>
      <c r="B326" s="358"/>
      <c r="C326" s="91"/>
      <c r="D326" s="359"/>
      <c r="E326" s="359"/>
      <c r="F326" s="91"/>
      <c r="G326" s="91"/>
      <c r="H326" s="91"/>
      <c r="I326" s="91"/>
      <c r="J326" s="91"/>
      <c r="K326" s="91"/>
      <c r="L326" s="91"/>
      <c r="M326" s="91"/>
      <c r="N326" s="32">
        <f t="shared" si="5"/>
        <v>0</v>
      </c>
      <c r="O326" s="16"/>
      <c r="P326" s="410"/>
      <c r="Q326" s="17"/>
      <c r="R326" s="407"/>
      <c r="S326" s="84"/>
      <c r="T326" s="187"/>
      <c r="U326" s="76"/>
      <c r="V326" s="445"/>
      <c r="W326" s="82"/>
      <c r="X326" s="358"/>
      <c r="Y326" s="358"/>
      <c r="Z326" s="358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</row>
    <row r="327" spans="1:36" ht="15" customHeight="1" x14ac:dyDescent="0.25">
      <c r="A327" s="68"/>
      <c r="B327" s="358"/>
      <c r="C327" s="91"/>
      <c r="D327" s="359"/>
      <c r="E327" s="359"/>
      <c r="F327" s="91"/>
      <c r="G327" s="91"/>
      <c r="H327" s="91"/>
      <c r="I327" s="91"/>
      <c r="J327" s="91"/>
      <c r="K327" s="91"/>
      <c r="L327" s="91"/>
      <c r="M327" s="91"/>
      <c r="N327" s="32">
        <f t="shared" si="5"/>
        <v>0</v>
      </c>
      <c r="O327" s="16"/>
      <c r="P327" s="410"/>
      <c r="Q327" s="17"/>
      <c r="R327" s="407"/>
      <c r="S327" s="84"/>
      <c r="T327" s="187"/>
      <c r="U327" s="76"/>
      <c r="V327" s="445"/>
      <c r="W327" s="82"/>
      <c r="X327" s="358"/>
      <c r="Y327" s="358"/>
      <c r="Z327" s="358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</row>
    <row r="328" spans="1:36" ht="15" customHeight="1" x14ac:dyDescent="0.25">
      <c r="A328" s="68"/>
      <c r="B328" s="358"/>
      <c r="C328" s="91"/>
      <c r="D328" s="359"/>
      <c r="E328" s="359"/>
      <c r="F328" s="91"/>
      <c r="G328" s="91"/>
      <c r="H328" s="91"/>
      <c r="I328" s="91"/>
      <c r="J328" s="91"/>
      <c r="K328" s="91"/>
      <c r="L328" s="91"/>
      <c r="M328" s="91"/>
      <c r="N328" s="32">
        <f t="shared" si="5"/>
        <v>0</v>
      </c>
      <c r="O328" s="16"/>
      <c r="P328" s="410"/>
      <c r="Q328" s="17"/>
      <c r="R328" s="407"/>
      <c r="S328" s="84"/>
      <c r="T328" s="187"/>
      <c r="U328" s="76"/>
      <c r="V328" s="445"/>
      <c r="W328" s="82"/>
      <c r="X328" s="358"/>
      <c r="Y328" s="358"/>
      <c r="Z328" s="358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</row>
    <row r="329" spans="1:36" ht="15" customHeight="1" x14ac:dyDescent="0.25">
      <c r="A329" s="68"/>
      <c r="B329" s="358"/>
      <c r="C329" s="91"/>
      <c r="D329" s="359"/>
      <c r="E329" s="359"/>
      <c r="F329" s="91"/>
      <c r="G329" s="91"/>
      <c r="H329" s="91"/>
      <c r="I329" s="91"/>
      <c r="J329" s="91"/>
      <c r="K329" s="91"/>
      <c r="L329" s="91"/>
      <c r="M329" s="91"/>
      <c r="N329" s="32">
        <f t="shared" si="5"/>
        <v>0</v>
      </c>
      <c r="O329" s="16"/>
      <c r="P329" s="410"/>
      <c r="Q329" s="17"/>
      <c r="R329" s="407"/>
      <c r="S329" s="84"/>
      <c r="T329" s="187"/>
      <c r="U329" s="76"/>
      <c r="V329" s="445"/>
      <c r="W329" s="82"/>
      <c r="X329" s="358"/>
      <c r="Y329" s="358"/>
      <c r="Z329" s="358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</row>
    <row r="330" spans="1:36" ht="15" customHeight="1" x14ac:dyDescent="0.25">
      <c r="A330" s="68"/>
      <c r="B330" s="358"/>
      <c r="C330" s="91"/>
      <c r="D330" s="359"/>
      <c r="E330" s="359"/>
      <c r="F330" s="91"/>
      <c r="G330" s="91"/>
      <c r="H330" s="91"/>
      <c r="I330" s="91"/>
      <c r="J330" s="91"/>
      <c r="K330" s="91"/>
      <c r="L330" s="91"/>
      <c r="M330" s="91"/>
      <c r="N330" s="32">
        <f t="shared" si="5"/>
        <v>0</v>
      </c>
      <c r="O330" s="16"/>
      <c r="P330" s="410"/>
      <c r="Q330" s="17"/>
      <c r="R330" s="407"/>
      <c r="S330" s="84"/>
      <c r="T330" s="187"/>
      <c r="U330" s="76"/>
      <c r="V330" s="445"/>
      <c r="W330" s="82"/>
      <c r="X330" s="358"/>
      <c r="Y330" s="358"/>
      <c r="Z330" s="358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</row>
    <row r="331" spans="1:36" ht="15" customHeight="1" x14ac:dyDescent="0.25">
      <c r="A331" s="68"/>
      <c r="B331" s="358"/>
      <c r="C331" s="91"/>
      <c r="D331" s="359"/>
      <c r="E331" s="359"/>
      <c r="F331" s="91"/>
      <c r="G331" s="91"/>
      <c r="H331" s="91"/>
      <c r="I331" s="91"/>
      <c r="J331" s="91"/>
      <c r="K331" s="91"/>
      <c r="L331" s="91"/>
      <c r="M331" s="91"/>
      <c r="N331" s="32">
        <f t="shared" si="5"/>
        <v>0</v>
      </c>
      <c r="O331" s="16"/>
      <c r="P331" s="410"/>
      <c r="Q331" s="17"/>
      <c r="R331" s="407"/>
      <c r="S331" s="84"/>
      <c r="T331" s="187"/>
      <c r="U331" s="76"/>
      <c r="V331" s="445"/>
      <c r="W331" s="82"/>
      <c r="X331" s="358"/>
      <c r="Y331" s="358"/>
      <c r="Z331" s="358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</row>
    <row r="332" spans="1:36" ht="15" customHeight="1" x14ac:dyDescent="0.25">
      <c r="A332" s="68"/>
      <c r="B332" s="358"/>
      <c r="C332" s="91"/>
      <c r="D332" s="359"/>
      <c r="E332" s="359"/>
      <c r="F332" s="91"/>
      <c r="G332" s="91"/>
      <c r="H332" s="91"/>
      <c r="I332" s="91"/>
      <c r="J332" s="91"/>
      <c r="K332" s="91"/>
      <c r="L332" s="91"/>
      <c r="M332" s="91"/>
      <c r="N332" s="32">
        <f t="shared" si="5"/>
        <v>0</v>
      </c>
      <c r="O332" s="16"/>
      <c r="P332" s="410"/>
      <c r="Q332" s="17"/>
      <c r="R332" s="407"/>
      <c r="S332" s="84"/>
      <c r="T332" s="187"/>
      <c r="U332" s="76"/>
      <c r="V332" s="445"/>
      <c r="W332" s="82"/>
      <c r="X332" s="358"/>
      <c r="Y332" s="358"/>
      <c r="Z332" s="358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</row>
    <row r="333" spans="1:36" ht="15" customHeight="1" x14ac:dyDescent="0.25">
      <c r="A333" s="68"/>
      <c r="B333" s="358"/>
      <c r="C333" s="91"/>
      <c r="D333" s="359"/>
      <c r="E333" s="359"/>
      <c r="F333" s="91"/>
      <c r="G333" s="91"/>
      <c r="H333" s="91"/>
      <c r="I333" s="91"/>
      <c r="J333" s="91"/>
      <c r="K333" s="91"/>
      <c r="L333" s="91"/>
      <c r="M333" s="91"/>
      <c r="N333" s="32">
        <f t="shared" si="5"/>
        <v>0</v>
      </c>
      <c r="O333" s="16"/>
      <c r="P333" s="410"/>
      <c r="Q333" s="17"/>
      <c r="R333" s="407"/>
      <c r="S333" s="84"/>
      <c r="T333" s="187"/>
      <c r="U333" s="76"/>
      <c r="V333" s="445"/>
      <c r="W333" s="82"/>
    </row>
  </sheetData>
  <autoFilter ref="F1:F333"/>
  <mergeCells count="35">
    <mergeCell ref="AH2:AH3"/>
    <mergeCell ref="AJ2:AJ3"/>
    <mergeCell ref="A1:I1"/>
    <mergeCell ref="A2:A3"/>
    <mergeCell ref="B2:B3"/>
    <mergeCell ref="D2:D3"/>
    <mergeCell ref="F2:F3"/>
    <mergeCell ref="G2:G3"/>
    <mergeCell ref="E2:E3"/>
    <mergeCell ref="I2:I3"/>
    <mergeCell ref="H2:H3"/>
    <mergeCell ref="C2:C3"/>
    <mergeCell ref="AG2:AG3"/>
    <mergeCell ref="AI2:AI3"/>
    <mergeCell ref="Z2:Z3"/>
    <mergeCell ref="AD2:AD3"/>
    <mergeCell ref="A4:M4"/>
    <mergeCell ref="J2:J3"/>
    <mergeCell ref="K2:M2"/>
    <mergeCell ref="N2:W2"/>
    <mergeCell ref="Y2:Y3"/>
    <mergeCell ref="X2:X3"/>
    <mergeCell ref="AF2:AF3"/>
    <mergeCell ref="AC2:AC3"/>
    <mergeCell ref="AE2:AE3"/>
    <mergeCell ref="AA2:AA3"/>
    <mergeCell ref="AB2:AB3"/>
    <mergeCell ref="AN52:AO52"/>
    <mergeCell ref="AN55:AO55"/>
    <mergeCell ref="AN45:AO45"/>
    <mergeCell ref="AN46:AO46"/>
    <mergeCell ref="AN48:AO48"/>
    <mergeCell ref="AN49:AO49"/>
    <mergeCell ref="AN51:AO51"/>
    <mergeCell ref="AN47:AO47"/>
  </mergeCells>
  <dataValidations count="12">
    <dataValidation type="list" allowBlank="1" showInputMessage="1" showErrorMessage="1" sqref="C153:C333 C5:C151">
      <formula1>"BOD, BOF, SWS, 1AX, 1GX, 1PX, 1VX, 1WX, 2CX, 6BX, ELX, OWX, MHQ, DFR, LPE, SRL"</formula1>
    </dataValidation>
    <dataValidation type="list" allowBlank="1" showInputMessage="1" showErrorMessage="1" sqref="C152">
      <formula1>"BOD, BOF, SWS, SIS, 1AX, 1GX, 1PX, 1VX, 1WX, 2CX, 6BX, ELX, OWX, MHQ, DFR, LPE, SRL"</formula1>
    </dataValidation>
    <dataValidation type="whole" allowBlank="1" showInputMessage="1" showErrorMessage="1" sqref="AI231:AI332">
      <formula1>0</formula1>
      <formula2>10000</formula2>
    </dataValidation>
    <dataValidation type="list" allowBlank="1" showInputMessage="1" showErrorMessage="1" sqref="F135:F333 F5:F133">
      <formula1>"1, 3, 4, 5, 6, RFD"</formula1>
    </dataValidation>
    <dataValidation type="list" allowBlank="1" showInputMessage="1" showErrorMessage="1" sqref="AA5:AA51">
      <formula1>"FULL, POINT, MONITOR"</formula1>
    </dataValidation>
    <dataValidation type="list" allowBlank="1" showInputMessage="1" showErrorMessage="1" sqref="J5:J333">
      <formula1>"H, L, A, FA, UTL, RFD, O"</formula1>
    </dataValidation>
    <dataValidation type="list" allowBlank="1" showInputMessage="1" showErrorMessage="1" sqref="AF5:AG332">
      <formula1>"Y, N "</formula1>
    </dataValidation>
    <dataValidation type="list" allowBlank="1" showInputMessage="1" showErrorMessage="1" sqref="AB5:AB332">
      <formula1>"LOOKOUT, AGENCY, AIRCRAFT, PRIVATE, COUNTY"</formula1>
    </dataValidation>
    <dataValidation type="list" allowBlank="1" showInputMessage="1" showErrorMessage="1" sqref="AC5:AC332">
      <formula1>"Y, N, NA"</formula1>
    </dataValidation>
    <dataValidation type="list" allowBlank="1" showInputMessage="1" showErrorMessage="1" sqref="AI5:AI230 AD5:AE332">
      <formula1>"Y, N"</formula1>
    </dataValidation>
    <dataValidation type="list" allowBlank="1" showInputMessage="1" showErrorMessage="1" sqref="AJ5:AJ332">
      <formula1>"A (0-0.25), B (0.26-9), C (10-99), D (100-299), E (300-999), F (1000-4999), G (5000+)"</formula1>
    </dataValidation>
    <dataValidation type="list" allowBlank="1" showInputMessage="1" showErrorMessage="1" sqref="AA52:AA332">
      <formula1>"FULL, MULTIPLE, MONITOR"</formula1>
    </dataValidation>
  </dataValidations>
  <pageMargins left="0.25" right="0.25" top="0.75" bottom="0.75" header="0.3" footer="0.3"/>
  <pageSetup paperSize="17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opLeftCell="A10" zoomScale="80" zoomScaleNormal="80" workbookViewId="0">
      <selection activeCell="I51" sqref="I51"/>
    </sheetView>
  </sheetViews>
  <sheetFormatPr defaultRowHeight="15" x14ac:dyDescent="0.25"/>
  <cols>
    <col min="2" max="2" width="18.140625" customWidth="1"/>
  </cols>
  <sheetData>
    <row r="1" spans="1:23" x14ac:dyDescent="0.25">
      <c r="A1" s="524" t="s">
        <v>268</v>
      </c>
      <c r="B1" s="524"/>
      <c r="C1" s="525"/>
      <c r="D1" s="1207" t="s">
        <v>279</v>
      </c>
      <c r="E1" s="1207"/>
      <c r="F1" s="1207"/>
      <c r="G1" s="1207"/>
      <c r="H1" s="1207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</row>
    <row r="2" spans="1:23" ht="15" customHeight="1" x14ac:dyDescent="0.25">
      <c r="A2" s="526"/>
      <c r="B2" s="527"/>
      <c r="C2" s="1208" t="s">
        <v>266</v>
      </c>
      <c r="D2" s="1208"/>
      <c r="E2" s="1208" t="s">
        <v>267</v>
      </c>
      <c r="F2" s="1208"/>
      <c r="G2" s="1208" t="s">
        <v>271</v>
      </c>
      <c r="H2" s="1208"/>
      <c r="I2" s="1208" t="s">
        <v>263</v>
      </c>
      <c r="J2" s="1208"/>
      <c r="K2" s="1208" t="s">
        <v>272</v>
      </c>
      <c r="L2" s="1208"/>
      <c r="M2" s="1208" t="s">
        <v>264</v>
      </c>
      <c r="N2" s="1208"/>
      <c r="O2" s="1209" t="s">
        <v>265</v>
      </c>
      <c r="P2" s="1210"/>
      <c r="Q2" s="1209" t="s">
        <v>273</v>
      </c>
      <c r="R2" s="1210"/>
      <c r="S2" s="1209" t="s">
        <v>256</v>
      </c>
      <c r="T2" s="1210"/>
      <c r="U2" s="1209" t="s">
        <v>269</v>
      </c>
      <c r="V2" s="1211"/>
      <c r="W2" s="1212"/>
    </row>
    <row r="3" spans="1:23" x14ac:dyDescent="0.25">
      <c r="A3" s="526"/>
      <c r="B3" s="527"/>
      <c r="C3" s="734">
        <f>COUNTIF(C5:C38, "X")</f>
        <v>0</v>
      </c>
      <c r="D3" s="734">
        <f t="shared" ref="D3:V3" si="0">COUNTIF(D5:D38, "X")</f>
        <v>0</v>
      </c>
      <c r="E3" s="624">
        <f t="shared" si="0"/>
        <v>0</v>
      </c>
      <c r="F3" s="624">
        <f t="shared" si="0"/>
        <v>0</v>
      </c>
      <c r="G3" s="734">
        <f t="shared" si="0"/>
        <v>0</v>
      </c>
      <c r="H3" s="734">
        <f t="shared" si="0"/>
        <v>0</v>
      </c>
      <c r="I3" s="624">
        <f t="shared" si="0"/>
        <v>1</v>
      </c>
      <c r="J3" s="624">
        <f t="shared" si="0"/>
        <v>0</v>
      </c>
      <c r="K3" s="734">
        <f t="shared" si="0"/>
        <v>0</v>
      </c>
      <c r="L3" s="734">
        <f t="shared" si="0"/>
        <v>0</v>
      </c>
      <c r="M3" s="624">
        <f t="shared" si="0"/>
        <v>0</v>
      </c>
      <c r="N3" s="624">
        <f t="shared" si="0"/>
        <v>0</v>
      </c>
      <c r="O3" s="734">
        <f t="shared" si="0"/>
        <v>1</v>
      </c>
      <c r="P3" s="734">
        <f t="shared" si="0"/>
        <v>0</v>
      </c>
      <c r="Q3" s="624">
        <f t="shared" si="0"/>
        <v>0</v>
      </c>
      <c r="R3" s="624">
        <f t="shared" si="0"/>
        <v>0</v>
      </c>
      <c r="S3" s="734">
        <f t="shared" si="0"/>
        <v>0</v>
      </c>
      <c r="T3" s="734">
        <f t="shared" si="0"/>
        <v>0</v>
      </c>
      <c r="U3" s="624">
        <f t="shared" si="0"/>
        <v>0</v>
      </c>
      <c r="V3" s="624">
        <f t="shared" si="0"/>
        <v>0</v>
      </c>
      <c r="W3" s="1212"/>
    </row>
    <row r="4" spans="1:23" ht="32.25" x14ac:dyDescent="0.25">
      <c r="A4" s="529" t="s">
        <v>249</v>
      </c>
      <c r="B4" s="529" t="s">
        <v>250</v>
      </c>
      <c r="C4" s="530" t="s">
        <v>8</v>
      </c>
      <c r="D4" s="530" t="s">
        <v>9</v>
      </c>
      <c r="E4" s="526" t="s">
        <v>8</v>
      </c>
      <c r="F4" s="526" t="s">
        <v>9</v>
      </c>
      <c r="G4" s="530" t="s">
        <v>8</v>
      </c>
      <c r="H4" s="530" t="s">
        <v>9</v>
      </c>
      <c r="I4" s="531" t="s">
        <v>8</v>
      </c>
      <c r="J4" s="531" t="s">
        <v>9</v>
      </c>
      <c r="K4" s="532" t="s">
        <v>8</v>
      </c>
      <c r="L4" s="532" t="s">
        <v>9</v>
      </c>
      <c r="M4" s="531" t="s">
        <v>8</v>
      </c>
      <c r="N4" s="531" t="s">
        <v>9</v>
      </c>
      <c r="O4" s="530" t="s">
        <v>8</v>
      </c>
      <c r="P4" s="530" t="s">
        <v>9</v>
      </c>
      <c r="Q4" s="531" t="s">
        <v>8</v>
      </c>
      <c r="R4" s="531" t="s">
        <v>9</v>
      </c>
      <c r="S4" s="532" t="s">
        <v>8</v>
      </c>
      <c r="T4" s="532" t="s">
        <v>9</v>
      </c>
      <c r="U4" s="531" t="s">
        <v>8</v>
      </c>
      <c r="V4" s="531" t="s">
        <v>9</v>
      </c>
      <c r="W4" s="1212"/>
    </row>
    <row r="5" spans="1:23" x14ac:dyDescent="0.25">
      <c r="A5" s="358">
        <v>43144</v>
      </c>
      <c r="B5" s="729" t="s">
        <v>317</v>
      </c>
      <c r="C5" s="535"/>
      <c r="D5" s="535"/>
      <c r="E5" s="536"/>
      <c r="F5" s="536"/>
      <c r="G5" s="537"/>
      <c r="H5" s="537"/>
      <c r="I5" s="655"/>
      <c r="J5" s="655"/>
      <c r="K5" s="539"/>
      <c r="L5" s="539"/>
      <c r="M5" s="538"/>
      <c r="N5" s="538"/>
      <c r="O5" s="539" t="s">
        <v>305</v>
      </c>
      <c r="P5" s="570"/>
      <c r="Q5" s="538"/>
      <c r="R5" s="538"/>
      <c r="S5" s="570"/>
      <c r="T5" s="570"/>
      <c r="U5" s="538"/>
      <c r="V5" s="538"/>
      <c r="W5" s="770"/>
    </row>
    <row r="6" spans="1:23" x14ac:dyDescent="0.25">
      <c r="A6" s="358">
        <v>43344</v>
      </c>
      <c r="B6" s="729" t="s">
        <v>1218</v>
      </c>
      <c r="C6" s="535"/>
      <c r="D6" s="535"/>
      <c r="E6" s="536"/>
      <c r="F6" s="536"/>
      <c r="G6" s="537"/>
      <c r="H6" s="537"/>
      <c r="I6" s="655" t="s">
        <v>305</v>
      </c>
      <c r="J6" s="655"/>
      <c r="K6" s="539"/>
      <c r="L6" s="539"/>
      <c r="M6" s="538"/>
      <c r="N6" s="538"/>
      <c r="O6" s="539"/>
      <c r="P6" s="570"/>
      <c r="Q6" s="538"/>
      <c r="R6" s="538"/>
      <c r="S6" s="570"/>
      <c r="T6" s="570"/>
      <c r="U6" s="538"/>
      <c r="V6" s="538"/>
      <c r="W6" s="770"/>
    </row>
    <row r="7" spans="1:23" x14ac:dyDescent="0.25">
      <c r="A7" s="358"/>
      <c r="B7" s="729"/>
      <c r="C7" s="535"/>
      <c r="D7" s="535"/>
      <c r="E7" s="536"/>
      <c r="F7" s="536"/>
      <c r="G7" s="537"/>
      <c r="H7" s="537"/>
      <c r="I7" s="655"/>
      <c r="J7" s="655"/>
      <c r="K7" s="539"/>
      <c r="L7" s="539"/>
      <c r="M7" s="538"/>
      <c r="N7" s="538"/>
      <c r="O7" s="539"/>
      <c r="P7" s="570"/>
      <c r="Q7" s="538"/>
      <c r="R7" s="538"/>
      <c r="S7" s="570"/>
      <c r="T7" s="570"/>
      <c r="U7" s="538"/>
      <c r="V7" s="538"/>
      <c r="W7" s="770"/>
    </row>
    <row r="8" spans="1:23" x14ac:dyDescent="0.25">
      <c r="A8" s="756"/>
      <c r="B8" s="729"/>
      <c r="C8" s="535"/>
      <c r="D8" s="535"/>
      <c r="E8" s="536"/>
      <c r="F8" s="536"/>
      <c r="G8" s="537"/>
      <c r="H8" s="537"/>
      <c r="I8" s="655"/>
      <c r="J8" s="655"/>
      <c r="K8" s="539"/>
      <c r="L8" s="539"/>
      <c r="M8" s="538"/>
      <c r="N8" s="538"/>
      <c r="O8" s="570"/>
      <c r="P8" s="570"/>
      <c r="Q8" s="538"/>
      <c r="R8" s="538"/>
      <c r="S8" s="570"/>
      <c r="T8" s="570"/>
      <c r="U8" s="538"/>
      <c r="V8" s="538"/>
      <c r="W8" s="770"/>
    </row>
    <row r="9" spans="1:23" x14ac:dyDescent="0.25">
      <c r="A9" s="756"/>
      <c r="B9" s="729"/>
      <c r="C9" s="535"/>
      <c r="D9" s="535"/>
      <c r="E9" s="536"/>
      <c r="F9" s="536"/>
      <c r="G9" s="537"/>
      <c r="H9" s="537"/>
      <c r="I9" s="655"/>
      <c r="J9" s="655"/>
      <c r="K9" s="539"/>
      <c r="L9" s="539"/>
      <c r="M9" s="538"/>
      <c r="N9" s="538"/>
      <c r="O9" s="570"/>
      <c r="P9" s="570"/>
      <c r="Q9" s="538"/>
      <c r="R9" s="538"/>
      <c r="S9" s="570"/>
      <c r="T9" s="570"/>
      <c r="U9" s="538"/>
      <c r="V9" s="538"/>
      <c r="W9" s="770"/>
    </row>
    <row r="10" spans="1:23" x14ac:dyDescent="0.25">
      <c r="A10" s="757"/>
      <c r="B10" s="655"/>
      <c r="C10" s="535"/>
      <c r="D10" s="535"/>
      <c r="E10" s="536"/>
      <c r="F10" s="536"/>
      <c r="G10" s="537"/>
      <c r="H10" s="537"/>
      <c r="I10" s="655"/>
      <c r="J10" s="655"/>
      <c r="K10" s="539"/>
      <c r="L10" s="539"/>
      <c r="M10" s="538"/>
      <c r="N10" s="538"/>
      <c r="O10" s="539"/>
      <c r="P10" s="570"/>
      <c r="Q10" s="538"/>
      <c r="R10" s="538"/>
      <c r="S10" s="570"/>
      <c r="T10" s="570"/>
      <c r="U10" s="538"/>
      <c r="V10" s="538"/>
      <c r="W10" s="770"/>
    </row>
    <row r="11" spans="1:23" x14ac:dyDescent="0.25">
      <c r="A11" s="540"/>
      <c r="B11" s="541"/>
      <c r="C11" s="535"/>
      <c r="D11" s="535"/>
      <c r="E11" s="536"/>
      <c r="F11" s="536"/>
      <c r="G11" s="537"/>
      <c r="H11" s="537"/>
      <c r="I11" s="655"/>
      <c r="J11" s="655"/>
      <c r="K11" s="539"/>
      <c r="L11" s="539"/>
      <c r="M11" s="538"/>
      <c r="N11" s="538"/>
      <c r="O11" s="539"/>
      <c r="P11" s="570"/>
      <c r="Q11" s="538"/>
      <c r="R11" s="538"/>
      <c r="S11" s="570"/>
      <c r="T11" s="570"/>
      <c r="U11" s="538"/>
      <c r="V11" s="538"/>
      <c r="W11" s="770"/>
    </row>
    <row r="12" spans="1:23" x14ac:dyDescent="0.25">
      <c r="A12" s="540"/>
      <c r="B12" s="541"/>
      <c r="C12" s="535"/>
      <c r="D12" s="535"/>
      <c r="E12" s="536"/>
      <c r="F12" s="536"/>
      <c r="G12" s="537"/>
      <c r="H12" s="537"/>
      <c r="I12" s="655"/>
      <c r="J12" s="655"/>
      <c r="K12" s="539"/>
      <c r="L12" s="539"/>
      <c r="M12" s="538"/>
      <c r="N12" s="538"/>
      <c r="O12" s="539"/>
      <c r="P12" s="570"/>
      <c r="Q12" s="538"/>
      <c r="R12" s="538"/>
      <c r="S12" s="570"/>
      <c r="T12" s="570"/>
      <c r="U12" s="538"/>
      <c r="V12" s="538"/>
      <c r="W12" s="770"/>
    </row>
    <row r="13" spans="1:23" x14ac:dyDescent="0.25">
      <c r="A13" s="540"/>
      <c r="B13" s="541"/>
      <c r="C13" s="535"/>
      <c r="D13" s="535"/>
      <c r="E13" s="536"/>
      <c r="F13" s="536"/>
      <c r="G13" s="537"/>
      <c r="H13" s="537"/>
      <c r="I13" s="655"/>
      <c r="J13" s="655"/>
      <c r="K13" s="539"/>
      <c r="L13" s="539"/>
      <c r="M13" s="538"/>
      <c r="N13" s="538"/>
      <c r="O13" s="539"/>
      <c r="P13" s="570"/>
      <c r="Q13" s="538"/>
      <c r="R13" s="538"/>
      <c r="S13" s="570"/>
      <c r="T13" s="570"/>
      <c r="U13" s="538"/>
      <c r="V13" s="538"/>
      <c r="W13" s="770"/>
    </row>
    <row r="14" spans="1:23" x14ac:dyDescent="0.25">
      <c r="A14" s="540"/>
      <c r="B14" s="541"/>
      <c r="C14" s="535"/>
      <c r="D14" s="535"/>
      <c r="E14" s="536"/>
      <c r="F14" s="536"/>
      <c r="G14" s="537"/>
      <c r="H14" s="537"/>
      <c r="I14" s="655"/>
      <c r="J14" s="655"/>
      <c r="K14" s="539"/>
      <c r="L14" s="539"/>
      <c r="M14" s="538"/>
      <c r="N14" s="538"/>
      <c r="O14" s="539"/>
      <c r="P14" s="570"/>
      <c r="Q14" s="538"/>
      <c r="R14" s="538"/>
      <c r="S14" s="570"/>
      <c r="T14" s="570"/>
      <c r="U14" s="538"/>
      <c r="V14" s="538"/>
      <c r="W14" s="770"/>
    </row>
    <row r="15" spans="1:23" x14ac:dyDescent="0.25">
      <c r="A15" s="540"/>
      <c r="B15" s="542"/>
      <c r="C15" s="535"/>
      <c r="D15" s="535"/>
      <c r="E15" s="536"/>
      <c r="F15" s="536"/>
      <c r="G15" s="537"/>
      <c r="H15" s="537"/>
      <c r="I15" s="655"/>
      <c r="J15" s="655"/>
      <c r="K15" s="539"/>
      <c r="L15" s="539"/>
      <c r="M15" s="538"/>
      <c r="N15" s="538"/>
      <c r="O15" s="539"/>
      <c r="P15" s="570"/>
      <c r="Q15" s="538"/>
      <c r="R15" s="538"/>
      <c r="S15" s="570"/>
      <c r="T15" s="570"/>
      <c r="U15" s="538"/>
      <c r="V15" s="538"/>
      <c r="W15" s="770"/>
    </row>
    <row r="16" spans="1:23" x14ac:dyDescent="0.25">
      <c r="A16" s="540"/>
      <c r="B16" s="655"/>
      <c r="C16" s="535"/>
      <c r="D16" s="535"/>
      <c r="E16" s="536"/>
      <c r="F16" s="536"/>
      <c r="G16" s="537"/>
      <c r="H16" s="537"/>
      <c r="I16" s="655"/>
      <c r="J16" s="655"/>
      <c r="K16" s="539"/>
      <c r="L16" s="539"/>
      <c r="M16" s="538"/>
      <c r="N16" s="538"/>
      <c r="O16" s="539"/>
      <c r="P16" s="570"/>
      <c r="Q16" s="538"/>
      <c r="R16" s="538"/>
      <c r="S16" s="570"/>
      <c r="T16" s="570"/>
      <c r="U16" s="538"/>
      <c r="V16" s="538"/>
      <c r="W16" s="770"/>
    </row>
    <row r="17" spans="1:23" x14ac:dyDescent="0.25">
      <c r="A17" s="540"/>
      <c r="B17" s="534"/>
      <c r="C17" s="535"/>
      <c r="D17" s="535"/>
      <c r="E17" s="536"/>
      <c r="F17" s="536"/>
      <c r="G17" s="537"/>
      <c r="H17" s="537"/>
      <c r="I17" s="655"/>
      <c r="J17" s="655"/>
      <c r="K17" s="539"/>
      <c r="L17" s="539"/>
      <c r="M17" s="538"/>
      <c r="N17" s="538"/>
      <c r="O17" s="539"/>
      <c r="P17" s="570"/>
      <c r="Q17" s="538"/>
      <c r="R17" s="538"/>
      <c r="S17" s="570"/>
      <c r="T17" s="570"/>
      <c r="U17" s="538"/>
      <c r="V17" s="538"/>
      <c r="W17" s="770"/>
    </row>
    <row r="18" spans="1:23" x14ac:dyDescent="0.25">
      <c r="A18" s="540"/>
      <c r="B18" s="534"/>
      <c r="C18" s="535"/>
      <c r="D18" s="535"/>
      <c r="E18" s="536"/>
      <c r="F18" s="536"/>
      <c r="G18" s="537"/>
      <c r="H18" s="537"/>
      <c r="I18" s="655"/>
      <c r="J18" s="655"/>
      <c r="K18" s="539"/>
      <c r="L18" s="539"/>
      <c r="M18" s="538"/>
      <c r="N18" s="538"/>
      <c r="O18" s="539"/>
      <c r="P18" s="570"/>
      <c r="Q18" s="538"/>
      <c r="R18" s="538"/>
      <c r="S18" s="570"/>
      <c r="T18" s="570"/>
      <c r="U18" s="538"/>
      <c r="V18" s="538"/>
      <c r="W18" s="770"/>
    </row>
    <row r="19" spans="1:23" x14ac:dyDescent="0.25">
      <c r="A19" s="540"/>
      <c r="B19" s="534"/>
      <c r="C19" s="535"/>
      <c r="D19" s="535"/>
      <c r="E19" s="536"/>
      <c r="F19" s="536"/>
      <c r="G19" s="537"/>
      <c r="H19" s="537"/>
      <c r="I19" s="655"/>
      <c r="J19" s="655"/>
      <c r="K19" s="539"/>
      <c r="L19" s="539"/>
      <c r="M19" s="538"/>
      <c r="N19" s="538"/>
      <c r="O19" s="539"/>
      <c r="P19" s="570"/>
      <c r="Q19" s="538"/>
      <c r="R19" s="538"/>
      <c r="S19" s="570"/>
      <c r="T19" s="570"/>
      <c r="U19" s="538"/>
      <c r="V19" s="538"/>
      <c r="W19" s="770"/>
    </row>
    <row r="20" spans="1:23" x14ac:dyDescent="0.25">
      <c r="A20" s="540"/>
      <c r="B20" s="656"/>
      <c r="C20" s="535"/>
      <c r="D20" s="535"/>
      <c r="E20" s="536"/>
      <c r="F20" s="536"/>
      <c r="G20" s="537"/>
      <c r="H20" s="537"/>
      <c r="I20" s="655"/>
      <c r="J20" s="655"/>
      <c r="K20" s="539"/>
      <c r="L20" s="539"/>
      <c r="M20" s="538"/>
      <c r="N20" s="538"/>
      <c r="O20" s="539"/>
      <c r="P20" s="570"/>
      <c r="Q20" s="538"/>
      <c r="R20" s="538"/>
      <c r="S20" s="570"/>
      <c r="T20" s="570"/>
      <c r="U20" s="538"/>
      <c r="V20" s="538"/>
      <c r="W20" s="770"/>
    </row>
    <row r="21" spans="1:23" x14ac:dyDescent="0.25">
      <c r="A21" s="540"/>
      <c r="B21" s="541"/>
      <c r="C21" s="535"/>
      <c r="D21" s="535"/>
      <c r="E21" s="536"/>
      <c r="F21" s="536"/>
      <c r="G21" s="537"/>
      <c r="H21" s="537"/>
      <c r="I21" s="655"/>
      <c r="J21" s="655"/>
      <c r="K21" s="539"/>
      <c r="L21" s="539"/>
      <c r="M21" s="538"/>
      <c r="N21" s="538"/>
      <c r="O21" s="539"/>
      <c r="P21" s="570"/>
      <c r="Q21" s="538"/>
      <c r="R21" s="538"/>
      <c r="S21" s="570"/>
      <c r="T21" s="570"/>
      <c r="U21" s="538"/>
      <c r="V21" s="538"/>
      <c r="W21" s="770"/>
    </row>
    <row r="22" spans="1:23" x14ac:dyDescent="0.25">
      <c r="A22" s="540"/>
      <c r="B22" s="541"/>
      <c r="C22" s="535"/>
      <c r="D22" s="535"/>
      <c r="E22" s="536"/>
      <c r="F22" s="536"/>
      <c r="G22" s="537"/>
      <c r="H22" s="537"/>
      <c r="I22" s="655"/>
      <c r="J22" s="655"/>
      <c r="K22" s="539"/>
      <c r="L22" s="539"/>
      <c r="M22" s="538"/>
      <c r="N22" s="538"/>
      <c r="O22" s="539"/>
      <c r="P22" s="570"/>
      <c r="Q22" s="538"/>
      <c r="R22" s="538"/>
      <c r="S22" s="570"/>
      <c r="T22" s="570"/>
      <c r="U22" s="538"/>
      <c r="V22" s="538"/>
      <c r="W22" s="770"/>
    </row>
    <row r="23" spans="1:23" x14ac:dyDescent="0.25">
      <c r="A23" s="540"/>
      <c r="B23" s="541"/>
      <c r="C23" s="535"/>
      <c r="D23" s="535"/>
      <c r="E23" s="536"/>
      <c r="F23" s="536"/>
      <c r="G23" s="537"/>
      <c r="H23" s="537"/>
      <c r="I23" s="655"/>
      <c r="J23" s="655"/>
      <c r="K23" s="539"/>
      <c r="L23" s="539"/>
      <c r="M23" s="538"/>
      <c r="N23" s="538"/>
      <c r="O23" s="539"/>
      <c r="P23" s="570"/>
      <c r="Q23" s="538"/>
      <c r="R23" s="538"/>
      <c r="S23" s="570"/>
      <c r="T23" s="570"/>
      <c r="U23" s="538"/>
      <c r="V23" s="538"/>
      <c r="W23" s="770"/>
    </row>
    <row r="24" spans="1:23" x14ac:dyDescent="0.25">
      <c r="A24" s="540"/>
      <c r="B24" s="657"/>
      <c r="C24" s="535"/>
      <c r="D24" s="535"/>
      <c r="E24" s="536"/>
      <c r="F24" s="536"/>
      <c r="G24" s="537"/>
      <c r="H24" s="537"/>
      <c r="I24" s="655"/>
      <c r="J24" s="655"/>
      <c r="K24" s="539"/>
      <c r="L24" s="539"/>
      <c r="M24" s="538"/>
      <c r="N24" s="538"/>
      <c r="O24" s="539"/>
      <c r="P24" s="570"/>
      <c r="Q24" s="538"/>
      <c r="R24" s="538"/>
      <c r="S24" s="570"/>
      <c r="T24" s="570"/>
      <c r="U24" s="538"/>
      <c r="V24" s="538"/>
      <c r="W24" s="770"/>
    </row>
    <row r="25" spans="1:23" x14ac:dyDescent="0.25">
      <c r="A25" s="540"/>
      <c r="B25" s="541"/>
      <c r="C25" s="535"/>
      <c r="D25" s="535"/>
      <c r="E25" s="536"/>
      <c r="F25" s="536"/>
      <c r="G25" s="537"/>
      <c r="H25" s="537"/>
      <c r="I25" s="655"/>
      <c r="J25" s="655"/>
      <c r="K25" s="539"/>
      <c r="L25" s="539"/>
      <c r="M25" s="538"/>
      <c r="N25" s="538"/>
      <c r="O25" s="539"/>
      <c r="P25" s="570"/>
      <c r="Q25" s="538"/>
      <c r="R25" s="538"/>
      <c r="S25" s="570"/>
      <c r="T25" s="570"/>
      <c r="U25" s="538"/>
      <c r="V25" s="538"/>
      <c r="W25" s="770"/>
    </row>
    <row r="26" spans="1:23" x14ac:dyDescent="0.25">
      <c r="A26" s="540"/>
      <c r="B26" s="541"/>
      <c r="C26" s="535"/>
      <c r="D26" s="535"/>
      <c r="E26" s="536"/>
      <c r="F26" s="536"/>
      <c r="G26" s="537"/>
      <c r="H26" s="537"/>
      <c r="I26" s="655"/>
      <c r="J26" s="655"/>
      <c r="K26" s="539"/>
      <c r="L26" s="539"/>
      <c r="M26" s="538"/>
      <c r="N26" s="538"/>
      <c r="O26" s="539"/>
      <c r="P26" s="539"/>
      <c r="Q26" s="538"/>
      <c r="R26" s="538"/>
      <c r="S26" s="570"/>
      <c r="T26" s="570"/>
      <c r="U26" s="538"/>
      <c r="V26" s="538"/>
      <c r="W26" s="770"/>
    </row>
    <row r="27" spans="1:23" x14ac:dyDescent="0.25">
      <c r="A27" s="540"/>
      <c r="B27" s="541"/>
      <c r="C27" s="535"/>
      <c r="D27" s="535"/>
      <c r="E27" s="536"/>
      <c r="F27" s="536"/>
      <c r="G27" s="537"/>
      <c r="H27" s="537"/>
      <c r="I27" s="655"/>
      <c r="J27" s="655"/>
      <c r="K27" s="539"/>
      <c r="L27" s="539"/>
      <c r="M27" s="538"/>
      <c r="N27" s="538"/>
      <c r="O27" s="539"/>
      <c r="P27" s="539"/>
      <c r="Q27" s="538"/>
      <c r="R27" s="538"/>
      <c r="S27" s="570"/>
      <c r="T27" s="570"/>
      <c r="U27" s="538"/>
      <c r="V27" s="538"/>
      <c r="W27" s="770"/>
    </row>
    <row r="28" spans="1:23" x14ac:dyDescent="0.25">
      <c r="A28" s="540"/>
      <c r="B28" s="541"/>
      <c r="C28" s="535"/>
      <c r="D28" s="535"/>
      <c r="E28" s="536"/>
      <c r="F28" s="536"/>
      <c r="G28" s="537"/>
      <c r="H28" s="537"/>
      <c r="I28" s="655"/>
      <c r="J28" s="655"/>
      <c r="K28" s="539"/>
      <c r="L28" s="539"/>
      <c r="M28" s="538"/>
      <c r="N28" s="538"/>
      <c r="O28" s="539"/>
      <c r="P28" s="539"/>
      <c r="Q28" s="538"/>
      <c r="R28" s="538"/>
      <c r="S28" s="570"/>
      <c r="T28" s="570"/>
      <c r="U28" s="538"/>
      <c r="V28" s="538"/>
      <c r="W28" s="770"/>
    </row>
    <row r="29" spans="1:23" x14ac:dyDescent="0.25">
      <c r="A29" s="540"/>
      <c r="B29" s="534"/>
      <c r="C29" s="535"/>
      <c r="D29" s="535"/>
      <c r="E29" s="536"/>
      <c r="F29" s="536"/>
      <c r="G29" s="537"/>
      <c r="H29" s="537"/>
      <c r="I29" s="655"/>
      <c r="J29" s="655"/>
      <c r="K29" s="539"/>
      <c r="L29" s="539"/>
      <c r="M29" s="538"/>
      <c r="N29" s="538"/>
      <c r="O29" s="539"/>
      <c r="P29" s="539"/>
      <c r="Q29" s="538"/>
      <c r="R29" s="538"/>
      <c r="S29" s="570"/>
      <c r="T29" s="570"/>
      <c r="U29" s="538"/>
      <c r="V29" s="538"/>
      <c r="W29" s="770"/>
    </row>
    <row r="30" spans="1:23" x14ac:dyDescent="0.25">
      <c r="A30" s="540"/>
      <c r="B30" s="541"/>
      <c r="C30" s="535"/>
      <c r="D30" s="535"/>
      <c r="E30" s="536"/>
      <c r="F30" s="536"/>
      <c r="G30" s="537"/>
      <c r="H30" s="537"/>
      <c r="I30" s="655"/>
      <c r="J30" s="655"/>
      <c r="K30" s="539"/>
      <c r="L30" s="539"/>
      <c r="M30" s="538"/>
      <c r="N30" s="538"/>
      <c r="O30" s="539"/>
      <c r="P30" s="539"/>
      <c r="Q30" s="538"/>
      <c r="R30" s="538"/>
      <c r="S30" s="570"/>
      <c r="T30" s="570"/>
      <c r="U30" s="538"/>
      <c r="V30" s="538"/>
      <c r="W30" s="770"/>
    </row>
    <row r="31" spans="1:23" x14ac:dyDescent="0.25">
      <c r="A31" s="540"/>
      <c r="B31" s="541"/>
      <c r="C31" s="535"/>
      <c r="D31" s="535"/>
      <c r="E31" s="536"/>
      <c r="F31" s="536"/>
      <c r="G31" s="537"/>
      <c r="H31" s="537"/>
      <c r="I31" s="655"/>
      <c r="J31" s="655"/>
      <c r="K31" s="539"/>
      <c r="L31" s="539"/>
      <c r="M31" s="538"/>
      <c r="N31" s="538"/>
      <c r="O31" s="539"/>
      <c r="P31" s="539"/>
      <c r="Q31" s="538"/>
      <c r="R31" s="538"/>
      <c r="S31" s="570"/>
      <c r="T31" s="570"/>
      <c r="U31" s="538"/>
      <c r="V31" s="538"/>
      <c r="W31" s="770"/>
    </row>
    <row r="32" spans="1:23" x14ac:dyDescent="0.25">
      <c r="A32" s="540"/>
      <c r="B32" s="541"/>
      <c r="C32" s="535"/>
      <c r="D32" s="535"/>
      <c r="E32" s="536"/>
      <c r="F32" s="536"/>
      <c r="G32" s="537"/>
      <c r="H32" s="537"/>
      <c r="I32" s="538"/>
      <c r="J32" s="538"/>
      <c r="K32" s="539"/>
      <c r="L32" s="539"/>
      <c r="M32" s="538"/>
      <c r="N32" s="538"/>
      <c r="O32" s="539"/>
      <c r="P32" s="539"/>
      <c r="Q32" s="538"/>
      <c r="R32" s="538"/>
      <c r="S32" s="570"/>
      <c r="T32" s="570"/>
      <c r="U32" s="538"/>
      <c r="V32" s="538"/>
      <c r="W32" s="770"/>
    </row>
    <row r="33" spans="1:24" x14ac:dyDescent="0.25">
      <c r="A33" s="540"/>
      <c r="B33" s="541"/>
      <c r="C33" s="535"/>
      <c r="D33" s="535"/>
      <c r="E33" s="536"/>
      <c r="F33" s="536"/>
      <c r="G33" s="537"/>
      <c r="H33" s="537"/>
      <c r="I33" s="538"/>
      <c r="J33" s="538"/>
      <c r="K33" s="539"/>
      <c r="L33" s="539"/>
      <c r="M33" s="538"/>
      <c r="N33" s="538"/>
      <c r="O33" s="539"/>
      <c r="P33" s="539"/>
      <c r="Q33" s="538"/>
      <c r="R33" s="538"/>
      <c r="S33" s="570"/>
      <c r="T33" s="570"/>
      <c r="U33" s="538"/>
      <c r="V33" s="538"/>
      <c r="W33" s="770"/>
    </row>
    <row r="34" spans="1:24" x14ac:dyDescent="0.25">
      <c r="A34" s="540"/>
      <c r="B34" s="533"/>
      <c r="C34" s="535"/>
      <c r="D34" s="535"/>
      <c r="E34" s="536"/>
      <c r="F34" s="536"/>
      <c r="G34" s="537"/>
      <c r="H34" s="537"/>
      <c r="I34" s="538"/>
      <c r="J34" s="538"/>
      <c r="K34" s="539"/>
      <c r="L34" s="539"/>
      <c r="M34" s="538"/>
      <c r="N34" s="538"/>
      <c r="O34" s="539"/>
      <c r="P34" s="539"/>
      <c r="Q34" s="538"/>
      <c r="R34" s="538"/>
      <c r="S34" s="570"/>
      <c r="T34" s="570"/>
      <c r="U34" s="538"/>
      <c r="V34" s="538"/>
      <c r="W34" s="770"/>
    </row>
    <row r="35" spans="1:24" x14ac:dyDescent="0.25">
      <c r="A35" s="540"/>
      <c r="B35" s="533"/>
      <c r="C35" s="535"/>
      <c r="D35" s="535"/>
      <c r="E35" s="536"/>
      <c r="F35" s="536"/>
      <c r="G35" s="537"/>
      <c r="H35" s="537"/>
      <c r="I35" s="538"/>
      <c r="J35" s="538"/>
      <c r="K35" s="539"/>
      <c r="L35" s="539"/>
      <c r="M35" s="538"/>
      <c r="N35" s="538"/>
      <c r="O35" s="539"/>
      <c r="P35" s="539"/>
      <c r="Q35" s="538"/>
      <c r="R35" s="538"/>
      <c r="S35" s="570"/>
      <c r="T35" s="570"/>
      <c r="U35" s="538"/>
      <c r="V35" s="538"/>
      <c r="W35" s="770"/>
    </row>
    <row r="36" spans="1:24" x14ac:dyDescent="0.25">
      <c r="A36" s="540"/>
      <c r="B36" s="533"/>
      <c r="C36" s="535"/>
      <c r="D36" s="535"/>
      <c r="E36" s="536"/>
      <c r="F36" s="536"/>
      <c r="G36" s="537"/>
      <c r="H36" s="537"/>
      <c r="I36" s="538"/>
      <c r="J36" s="538"/>
      <c r="K36" s="539"/>
      <c r="L36" s="539"/>
      <c r="M36" s="538"/>
      <c r="N36" s="538"/>
      <c r="O36" s="539"/>
      <c r="P36" s="539"/>
      <c r="Q36" s="538"/>
      <c r="R36" s="538"/>
      <c r="S36" s="570"/>
      <c r="T36" s="570"/>
      <c r="U36" s="538"/>
      <c r="V36" s="538"/>
      <c r="W36" s="770"/>
    </row>
    <row r="37" spans="1:24" x14ac:dyDescent="0.25">
      <c r="A37" s="540"/>
      <c r="B37" s="533"/>
      <c r="C37" s="535"/>
      <c r="D37" s="535"/>
      <c r="E37" s="536"/>
      <c r="F37" s="536"/>
      <c r="G37" s="537"/>
      <c r="H37" s="537"/>
      <c r="I37" s="538"/>
      <c r="J37" s="538"/>
      <c r="K37" s="539"/>
      <c r="L37" s="539"/>
      <c r="M37" s="538"/>
      <c r="N37" s="538"/>
      <c r="O37" s="539"/>
      <c r="P37" s="539"/>
      <c r="Q37" s="538"/>
      <c r="R37" s="538"/>
      <c r="S37" s="539"/>
      <c r="T37" s="539"/>
      <c r="U37" s="538"/>
      <c r="V37" s="538"/>
      <c r="W37" s="770"/>
    </row>
    <row r="38" spans="1:24" x14ac:dyDescent="0.25">
      <c r="A38" s="540"/>
      <c r="B38" s="533"/>
      <c r="C38" s="535"/>
      <c r="D38" s="535"/>
      <c r="E38" s="536"/>
      <c r="F38" s="536"/>
      <c r="G38" s="537"/>
      <c r="H38" s="537"/>
      <c r="I38" s="538"/>
      <c r="J38" s="538"/>
      <c r="K38" s="539"/>
      <c r="L38" s="539"/>
      <c r="M38" s="538"/>
      <c r="N38" s="538"/>
      <c r="O38" s="539"/>
      <c r="P38" s="539"/>
      <c r="Q38" s="538"/>
      <c r="R38" s="538"/>
      <c r="S38" s="539"/>
      <c r="T38" s="539"/>
      <c r="U38" s="538"/>
      <c r="V38" s="538"/>
      <c r="W38" s="770"/>
    </row>
    <row r="40" spans="1:24" x14ac:dyDescent="0.25">
      <c r="A40" s="545" t="s">
        <v>275</v>
      </c>
      <c r="B40" s="545"/>
      <c r="C40" s="546"/>
      <c r="D40" s="547"/>
      <c r="E40" s="1207" t="s">
        <v>280</v>
      </c>
      <c r="F40" s="1207"/>
      <c r="G40" s="1207"/>
      <c r="H40" s="120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</row>
    <row r="41" spans="1:24" x14ac:dyDescent="0.25">
      <c r="A41" s="548"/>
      <c r="B41" s="549"/>
      <c r="C41" s="548"/>
      <c r="D41" s="1208" t="s">
        <v>266</v>
      </c>
      <c r="E41" s="1208"/>
      <c r="F41" s="1208" t="s">
        <v>267</v>
      </c>
      <c r="G41" s="1208"/>
      <c r="H41" s="1208" t="s">
        <v>271</v>
      </c>
      <c r="I41" s="1208"/>
      <c r="J41" s="1208" t="s">
        <v>263</v>
      </c>
      <c r="K41" s="1208"/>
      <c r="L41" s="1208" t="s">
        <v>272</v>
      </c>
      <c r="M41" s="1208"/>
      <c r="N41" s="1208" t="s">
        <v>264</v>
      </c>
      <c r="O41" s="1208"/>
      <c r="P41" s="1209" t="s">
        <v>265</v>
      </c>
      <c r="Q41" s="1210"/>
      <c r="R41" s="1209" t="s">
        <v>273</v>
      </c>
      <c r="S41" s="1210"/>
      <c r="T41" s="1209" t="s">
        <v>256</v>
      </c>
      <c r="U41" s="1210"/>
      <c r="V41" s="1209" t="s">
        <v>269</v>
      </c>
      <c r="W41" s="1211"/>
      <c r="X41" s="1205" t="s">
        <v>270</v>
      </c>
    </row>
    <row r="42" spans="1:24" x14ac:dyDescent="0.25">
      <c r="A42" s="526" t="s">
        <v>276</v>
      </c>
      <c r="B42" s="527"/>
      <c r="C42" s="526"/>
      <c r="D42" s="550">
        <f t="shared" ref="D42:W42" si="1">SUM(D44:D116)</f>
        <v>0</v>
      </c>
      <c r="E42" s="551">
        <f t="shared" si="1"/>
        <v>0</v>
      </c>
      <c r="F42" s="552">
        <f t="shared" si="1"/>
        <v>0</v>
      </c>
      <c r="G42" s="553">
        <f t="shared" si="1"/>
        <v>0</v>
      </c>
      <c r="H42" s="530">
        <f t="shared" si="1"/>
        <v>0</v>
      </c>
      <c r="I42" s="530">
        <f t="shared" si="1"/>
        <v>0</v>
      </c>
      <c r="J42" s="554">
        <f t="shared" si="1"/>
        <v>0.1</v>
      </c>
      <c r="K42" s="555">
        <f t="shared" si="1"/>
        <v>0</v>
      </c>
      <c r="L42" s="556">
        <f t="shared" si="1"/>
        <v>0</v>
      </c>
      <c r="M42" s="528">
        <f t="shared" si="1"/>
        <v>0</v>
      </c>
      <c r="N42" s="554">
        <f t="shared" si="1"/>
        <v>0</v>
      </c>
      <c r="O42" s="555">
        <f t="shared" si="1"/>
        <v>0</v>
      </c>
      <c r="P42" s="532">
        <f t="shared" si="1"/>
        <v>0.9</v>
      </c>
      <c r="Q42" s="532">
        <f t="shared" si="1"/>
        <v>0</v>
      </c>
      <c r="R42" s="554">
        <f t="shared" si="1"/>
        <v>0</v>
      </c>
      <c r="S42" s="555">
        <f t="shared" si="1"/>
        <v>0</v>
      </c>
      <c r="T42" s="556">
        <f t="shared" si="1"/>
        <v>0</v>
      </c>
      <c r="U42" s="528">
        <f t="shared" si="1"/>
        <v>0</v>
      </c>
      <c r="V42" s="555">
        <f t="shared" si="1"/>
        <v>0</v>
      </c>
      <c r="W42" s="555">
        <f t="shared" si="1"/>
        <v>0</v>
      </c>
      <c r="X42" s="1205"/>
    </row>
    <row r="43" spans="1:24" ht="38.25" x14ac:dyDescent="0.25">
      <c r="A43" s="529" t="s">
        <v>249</v>
      </c>
      <c r="B43" s="529" t="s">
        <v>250</v>
      </c>
      <c r="C43" s="529" t="s">
        <v>278</v>
      </c>
      <c r="D43" s="530" t="s">
        <v>8</v>
      </c>
      <c r="E43" s="530" t="s">
        <v>9</v>
      </c>
      <c r="F43" s="526" t="s">
        <v>8</v>
      </c>
      <c r="G43" s="526" t="s">
        <v>9</v>
      </c>
      <c r="H43" s="530" t="s">
        <v>8</v>
      </c>
      <c r="I43" s="530" t="s">
        <v>9</v>
      </c>
      <c r="J43" s="531" t="s">
        <v>8</v>
      </c>
      <c r="K43" s="531" t="s">
        <v>9</v>
      </c>
      <c r="L43" s="532" t="s">
        <v>8</v>
      </c>
      <c r="M43" s="532" t="s">
        <v>9</v>
      </c>
      <c r="N43" s="531" t="s">
        <v>8</v>
      </c>
      <c r="O43" s="531" t="s">
        <v>9</v>
      </c>
      <c r="P43" s="532" t="s">
        <v>8</v>
      </c>
      <c r="Q43" s="532" t="s">
        <v>9</v>
      </c>
      <c r="R43" s="531" t="s">
        <v>8</v>
      </c>
      <c r="S43" s="531" t="s">
        <v>9</v>
      </c>
      <c r="T43" s="532" t="s">
        <v>8</v>
      </c>
      <c r="U43" s="532" t="s">
        <v>9</v>
      </c>
      <c r="V43" s="531" t="s">
        <v>8</v>
      </c>
      <c r="W43" s="531" t="s">
        <v>9</v>
      </c>
      <c r="X43" s="1206"/>
    </row>
    <row r="44" spans="1:24" x14ac:dyDescent="0.25">
      <c r="A44" s="358">
        <v>43144</v>
      </c>
      <c r="B44" s="729" t="s">
        <v>317</v>
      </c>
      <c r="C44" s="729" t="s">
        <v>265</v>
      </c>
      <c r="D44" s="557"/>
      <c r="E44" s="557"/>
      <c r="F44" s="558"/>
      <c r="G44" s="558"/>
      <c r="H44" s="557"/>
      <c r="I44" s="557"/>
      <c r="J44" s="559"/>
      <c r="K44" s="559"/>
      <c r="L44" s="560"/>
      <c r="M44" s="560"/>
      <c r="N44" s="559"/>
      <c r="O44" s="559"/>
      <c r="P44" s="560">
        <v>0.9</v>
      </c>
      <c r="Q44" s="560"/>
      <c r="R44" s="559"/>
      <c r="S44" s="559"/>
      <c r="T44" s="560"/>
      <c r="U44" s="560"/>
      <c r="V44" s="562"/>
      <c r="W44" s="559"/>
      <c r="X44" s="561">
        <f t="shared" ref="X44:X75" si="2">SUM(D44:W44)</f>
        <v>0.9</v>
      </c>
    </row>
    <row r="45" spans="1:24" x14ac:dyDescent="0.25">
      <c r="A45" s="358">
        <v>43344</v>
      </c>
      <c r="B45" s="729" t="s">
        <v>1218</v>
      </c>
      <c r="C45" s="729" t="s">
        <v>263</v>
      </c>
      <c r="D45" s="557"/>
      <c r="E45" s="557"/>
      <c r="F45" s="558"/>
      <c r="G45" s="558"/>
      <c r="H45" s="557"/>
      <c r="I45" s="557"/>
      <c r="J45" s="559">
        <v>0.1</v>
      </c>
      <c r="K45" s="559"/>
      <c r="L45" s="560"/>
      <c r="M45" s="560"/>
      <c r="N45" s="559"/>
      <c r="O45" s="559"/>
      <c r="P45" s="560"/>
      <c r="Q45" s="560"/>
      <c r="R45" s="559"/>
      <c r="S45" s="559"/>
      <c r="T45" s="560"/>
      <c r="U45" s="560"/>
      <c r="V45" s="562"/>
      <c r="W45" s="559"/>
      <c r="X45" s="561">
        <f t="shared" si="2"/>
        <v>0.1</v>
      </c>
    </row>
    <row r="46" spans="1:24" x14ac:dyDescent="0.25">
      <c r="A46" s="358"/>
      <c r="B46" s="729"/>
      <c r="C46" s="729"/>
      <c r="D46" s="557"/>
      <c r="E46" s="557"/>
      <c r="F46" s="558"/>
      <c r="G46" s="558"/>
      <c r="H46" s="557"/>
      <c r="I46" s="557"/>
      <c r="J46" s="559"/>
      <c r="K46" s="559"/>
      <c r="L46" s="560"/>
      <c r="M46" s="560"/>
      <c r="N46" s="559"/>
      <c r="O46" s="559"/>
      <c r="P46" s="560"/>
      <c r="Q46" s="560"/>
      <c r="R46" s="559"/>
      <c r="S46" s="559"/>
      <c r="T46" s="560"/>
      <c r="U46" s="560"/>
      <c r="V46" s="562"/>
      <c r="W46" s="562"/>
      <c r="X46" s="561">
        <f t="shared" si="2"/>
        <v>0</v>
      </c>
    </row>
    <row r="47" spans="1:24" x14ac:dyDescent="0.25">
      <c r="A47" s="756"/>
      <c r="B47" s="771"/>
      <c r="C47" s="655"/>
      <c r="D47" s="557"/>
      <c r="E47" s="557"/>
      <c r="F47" s="558"/>
      <c r="G47" s="558"/>
      <c r="H47" s="557"/>
      <c r="I47" s="557"/>
      <c r="J47" s="559"/>
      <c r="K47" s="559"/>
      <c r="L47" s="560"/>
      <c r="M47" s="560"/>
      <c r="N47" s="559"/>
      <c r="O47" s="559"/>
      <c r="P47" s="560"/>
      <c r="Q47" s="560"/>
      <c r="R47" s="562"/>
      <c r="S47" s="559"/>
      <c r="T47" s="560"/>
      <c r="U47" s="560"/>
      <c r="V47" s="562"/>
      <c r="W47" s="559"/>
      <c r="X47" s="561">
        <f t="shared" si="2"/>
        <v>0</v>
      </c>
    </row>
    <row r="48" spans="1:24" x14ac:dyDescent="0.25">
      <c r="A48" s="757"/>
      <c r="B48" s="655"/>
      <c r="C48" s="655"/>
      <c r="D48" s="557"/>
      <c r="E48" s="557"/>
      <c r="F48" s="558"/>
      <c r="G48" s="558"/>
      <c r="H48" s="557"/>
      <c r="I48" s="557"/>
      <c r="J48" s="559"/>
      <c r="K48" s="559"/>
      <c r="L48" s="560"/>
      <c r="M48" s="560"/>
      <c r="N48" s="559"/>
      <c r="O48" s="559"/>
      <c r="P48" s="560"/>
      <c r="Q48" s="560"/>
      <c r="R48" s="559"/>
      <c r="S48" s="559"/>
      <c r="T48" s="560"/>
      <c r="U48" s="560"/>
      <c r="V48" s="562"/>
      <c r="W48" s="559"/>
      <c r="X48" s="561">
        <f t="shared" si="2"/>
        <v>0</v>
      </c>
    </row>
    <row r="49" spans="1:24" x14ac:dyDescent="0.25">
      <c r="A49" s="757"/>
      <c r="B49" s="655"/>
      <c r="C49" s="655"/>
      <c r="D49" s="557"/>
      <c r="E49" s="557"/>
      <c r="F49" s="558"/>
      <c r="G49" s="558"/>
      <c r="H49" s="557"/>
      <c r="I49" s="557"/>
      <c r="J49" s="559"/>
      <c r="K49" s="559"/>
      <c r="L49" s="560"/>
      <c r="M49" s="560"/>
      <c r="N49" s="559"/>
      <c r="O49" s="559"/>
      <c r="P49" s="560"/>
      <c r="Q49" s="560"/>
      <c r="R49" s="559"/>
      <c r="S49" s="559"/>
      <c r="T49" s="560"/>
      <c r="U49" s="560"/>
      <c r="V49" s="562"/>
      <c r="W49" s="559"/>
      <c r="X49" s="561">
        <f t="shared" si="2"/>
        <v>0</v>
      </c>
    </row>
    <row r="50" spans="1:24" x14ac:dyDescent="0.25">
      <c r="A50" s="757"/>
      <c r="B50" s="655"/>
      <c r="C50" s="655"/>
      <c r="D50" s="557"/>
      <c r="E50" s="557"/>
      <c r="F50" s="558"/>
      <c r="G50" s="558"/>
      <c r="H50" s="557"/>
      <c r="I50" s="557"/>
      <c r="J50" s="559"/>
      <c r="K50" s="559"/>
      <c r="L50" s="560"/>
      <c r="M50" s="560"/>
      <c r="N50" s="559"/>
      <c r="O50" s="559"/>
      <c r="P50" s="560"/>
      <c r="Q50" s="560"/>
      <c r="R50" s="559"/>
      <c r="S50" s="559"/>
      <c r="T50" s="560"/>
      <c r="U50" s="560"/>
      <c r="V50" s="562"/>
      <c r="W50" s="559"/>
      <c r="X50" s="561">
        <f t="shared" si="2"/>
        <v>0</v>
      </c>
    </row>
    <row r="51" spans="1:24" x14ac:dyDescent="0.25">
      <c r="A51" s="540"/>
      <c r="B51" s="541"/>
      <c r="C51" s="541"/>
      <c r="D51" s="557"/>
      <c r="E51" s="557"/>
      <c r="F51" s="558"/>
      <c r="G51" s="558"/>
      <c r="H51" s="557"/>
      <c r="I51" s="557"/>
      <c r="J51" s="559"/>
      <c r="K51" s="559"/>
      <c r="L51" s="560"/>
      <c r="M51" s="560"/>
      <c r="N51" s="559"/>
      <c r="O51" s="559"/>
      <c r="P51" s="560"/>
      <c r="Q51" s="560"/>
      <c r="R51" s="559"/>
      <c r="S51" s="559"/>
      <c r="T51" s="560"/>
      <c r="U51" s="560"/>
      <c r="V51" s="562"/>
      <c r="W51" s="559"/>
      <c r="X51" s="561">
        <f t="shared" si="2"/>
        <v>0</v>
      </c>
    </row>
    <row r="52" spans="1:24" x14ac:dyDescent="0.25">
      <c r="A52" s="540"/>
      <c r="B52" s="541"/>
      <c r="C52" s="541"/>
      <c r="D52" s="563"/>
      <c r="E52" s="563"/>
      <c r="F52" s="564"/>
      <c r="G52" s="564"/>
      <c r="H52" s="563"/>
      <c r="I52" s="563"/>
      <c r="J52" s="565"/>
      <c r="K52" s="565"/>
      <c r="L52" s="566"/>
      <c r="M52" s="566"/>
      <c r="N52" s="565"/>
      <c r="O52" s="565"/>
      <c r="P52" s="566"/>
      <c r="Q52" s="566"/>
      <c r="R52" s="565"/>
      <c r="S52" s="565"/>
      <c r="T52" s="566"/>
      <c r="U52" s="566"/>
      <c r="V52" s="565"/>
      <c r="W52" s="565"/>
      <c r="X52" s="561">
        <f t="shared" si="2"/>
        <v>0</v>
      </c>
    </row>
    <row r="53" spans="1:24" x14ac:dyDescent="0.25">
      <c r="A53" s="540"/>
      <c r="B53" s="542"/>
      <c r="C53" s="542"/>
      <c r="D53" s="563"/>
      <c r="E53" s="563"/>
      <c r="F53" s="564"/>
      <c r="G53" s="564"/>
      <c r="H53" s="563"/>
      <c r="I53" s="563"/>
      <c r="J53" s="565"/>
      <c r="K53" s="565"/>
      <c r="L53" s="566"/>
      <c r="M53" s="566"/>
      <c r="N53" s="565"/>
      <c r="O53" s="565"/>
      <c r="P53" s="566"/>
      <c r="Q53" s="566"/>
      <c r="R53" s="565"/>
      <c r="S53" s="565"/>
      <c r="T53" s="566"/>
      <c r="U53" s="566"/>
      <c r="V53" s="565"/>
      <c r="W53" s="565"/>
      <c r="X53" s="561">
        <f t="shared" si="2"/>
        <v>0</v>
      </c>
    </row>
    <row r="54" spans="1:24" x14ac:dyDescent="0.25">
      <c r="A54" s="540"/>
      <c r="B54" s="655"/>
      <c r="C54" s="541"/>
      <c r="D54" s="563"/>
      <c r="E54" s="563"/>
      <c r="F54" s="564"/>
      <c r="G54" s="564"/>
      <c r="H54" s="563"/>
      <c r="I54" s="563"/>
      <c r="J54" s="565"/>
      <c r="K54" s="565"/>
      <c r="L54" s="566"/>
      <c r="M54" s="566"/>
      <c r="N54" s="565"/>
      <c r="O54" s="565"/>
      <c r="P54" s="566"/>
      <c r="Q54" s="566"/>
      <c r="R54" s="565"/>
      <c r="S54" s="565"/>
      <c r="T54" s="566"/>
      <c r="U54" s="566"/>
      <c r="V54" s="565"/>
      <c r="W54" s="565"/>
      <c r="X54" s="561">
        <f t="shared" si="2"/>
        <v>0</v>
      </c>
    </row>
    <row r="55" spans="1:24" x14ac:dyDescent="0.25">
      <c r="A55" s="540"/>
      <c r="B55" s="534"/>
      <c r="C55" s="541"/>
      <c r="D55" s="563"/>
      <c r="E55" s="563"/>
      <c r="F55" s="564"/>
      <c r="G55" s="564"/>
      <c r="H55" s="563"/>
      <c r="I55" s="560"/>
      <c r="J55" s="565"/>
      <c r="K55" s="565"/>
      <c r="L55" s="566"/>
      <c r="M55" s="566"/>
      <c r="N55" s="565"/>
      <c r="O55" s="565"/>
      <c r="P55" s="566"/>
      <c r="Q55" s="566"/>
      <c r="R55" s="565"/>
      <c r="S55" s="565"/>
      <c r="T55" s="566"/>
      <c r="U55" s="566"/>
      <c r="V55" s="565"/>
      <c r="W55" s="565"/>
      <c r="X55" s="561">
        <f t="shared" si="2"/>
        <v>0</v>
      </c>
    </row>
    <row r="56" spans="1:24" x14ac:dyDescent="0.25">
      <c r="A56" s="540"/>
      <c r="B56" s="534"/>
      <c r="C56" s="541"/>
      <c r="D56" s="563"/>
      <c r="E56" s="563"/>
      <c r="F56" s="564"/>
      <c r="G56" s="564"/>
      <c r="H56" s="563"/>
      <c r="I56" s="563"/>
      <c r="J56" s="565"/>
      <c r="K56" s="565"/>
      <c r="L56" s="566"/>
      <c r="M56" s="566"/>
      <c r="N56" s="565"/>
      <c r="O56" s="565"/>
      <c r="P56" s="566"/>
      <c r="Q56" s="566"/>
      <c r="R56" s="565"/>
      <c r="S56" s="565"/>
      <c r="T56" s="566"/>
      <c r="U56" s="566"/>
      <c r="V56" s="565"/>
      <c r="W56" s="565"/>
      <c r="X56" s="561">
        <f t="shared" si="2"/>
        <v>0</v>
      </c>
    </row>
    <row r="57" spans="1:24" x14ac:dyDescent="0.25">
      <c r="A57" s="540"/>
      <c r="B57" s="534"/>
      <c r="C57" s="541"/>
      <c r="D57" s="557"/>
      <c r="E57" s="557"/>
      <c r="F57" s="558"/>
      <c r="G57" s="558"/>
      <c r="H57" s="557"/>
      <c r="I57" s="557"/>
      <c r="J57" s="559"/>
      <c r="K57" s="559"/>
      <c r="L57" s="560"/>
      <c r="M57" s="560"/>
      <c r="N57" s="567"/>
      <c r="O57" s="559"/>
      <c r="P57" s="560"/>
      <c r="Q57" s="560"/>
      <c r="R57" s="559"/>
      <c r="S57" s="559"/>
      <c r="T57" s="560"/>
      <c r="U57" s="560"/>
      <c r="V57" s="559"/>
      <c r="W57" s="559"/>
      <c r="X57" s="561">
        <f t="shared" si="2"/>
        <v>0</v>
      </c>
    </row>
    <row r="58" spans="1:24" x14ac:dyDescent="0.25">
      <c r="A58" s="540"/>
      <c r="B58" s="656"/>
      <c r="C58" s="541"/>
      <c r="D58" s="557"/>
      <c r="E58" s="557"/>
      <c r="F58" s="558"/>
      <c r="G58" s="558"/>
      <c r="H58" s="557"/>
      <c r="I58" s="557"/>
      <c r="J58" s="559"/>
      <c r="K58" s="559"/>
      <c r="L58" s="560"/>
      <c r="M58" s="560"/>
      <c r="N58" s="567"/>
      <c r="O58" s="559"/>
      <c r="P58" s="560"/>
      <c r="Q58" s="560"/>
      <c r="R58" s="562"/>
      <c r="S58" s="559"/>
      <c r="T58" s="560"/>
      <c r="U58" s="560"/>
      <c r="V58" s="559"/>
      <c r="W58" s="559"/>
      <c r="X58" s="561">
        <f t="shared" si="2"/>
        <v>0</v>
      </c>
    </row>
    <row r="59" spans="1:24" x14ac:dyDescent="0.25">
      <c r="A59" s="540"/>
      <c r="B59" s="534"/>
      <c r="C59" s="541"/>
      <c r="D59" s="557"/>
      <c r="E59" s="557"/>
      <c r="F59" s="558"/>
      <c r="G59" s="558"/>
      <c r="H59" s="557"/>
      <c r="I59" s="557"/>
      <c r="J59" s="559"/>
      <c r="K59" s="559"/>
      <c r="L59" s="560"/>
      <c r="M59" s="568"/>
      <c r="N59" s="559"/>
      <c r="O59" s="559"/>
      <c r="P59" s="560"/>
      <c r="Q59" s="560"/>
      <c r="R59" s="567"/>
      <c r="S59" s="559"/>
      <c r="T59" s="560"/>
      <c r="U59" s="560"/>
      <c r="V59" s="559"/>
      <c r="W59" s="559"/>
      <c r="X59" s="561">
        <f t="shared" si="2"/>
        <v>0</v>
      </c>
    </row>
    <row r="60" spans="1:24" x14ac:dyDescent="0.25">
      <c r="A60" s="540" t="s">
        <v>6</v>
      </c>
      <c r="B60" s="534"/>
      <c r="C60" s="541"/>
      <c r="D60" s="557"/>
      <c r="E60" s="557"/>
      <c r="F60" s="558"/>
      <c r="G60" s="558"/>
      <c r="H60" s="557"/>
      <c r="I60" s="557"/>
      <c r="J60" s="559"/>
      <c r="K60" s="559"/>
      <c r="L60" s="560"/>
      <c r="M60" s="560"/>
      <c r="N60" s="559"/>
      <c r="O60" s="559"/>
      <c r="P60" s="560"/>
      <c r="Q60" s="560"/>
      <c r="R60" s="559"/>
      <c r="S60" s="559"/>
      <c r="T60" s="560"/>
      <c r="U60" s="560"/>
      <c r="V60" s="559"/>
      <c r="W60" s="559"/>
      <c r="X60" s="561">
        <f t="shared" si="2"/>
        <v>0</v>
      </c>
    </row>
    <row r="61" spans="1:24" x14ac:dyDescent="0.25">
      <c r="A61" s="540" t="s">
        <v>6</v>
      </c>
      <c r="B61" s="534"/>
      <c r="C61" s="541"/>
      <c r="D61" s="557"/>
      <c r="E61" s="557"/>
      <c r="F61" s="558"/>
      <c r="G61" s="558"/>
      <c r="H61" s="557"/>
      <c r="I61" s="557"/>
      <c r="J61" s="559"/>
      <c r="K61" s="559"/>
      <c r="L61" s="560"/>
      <c r="M61" s="560"/>
      <c r="N61" s="559"/>
      <c r="O61" s="559"/>
      <c r="P61" s="560"/>
      <c r="Q61" s="560"/>
      <c r="R61" s="559"/>
      <c r="S61" s="559"/>
      <c r="T61" s="560"/>
      <c r="U61" s="560"/>
      <c r="V61" s="559"/>
      <c r="W61" s="559"/>
      <c r="X61" s="561">
        <f t="shared" si="2"/>
        <v>0</v>
      </c>
    </row>
    <row r="62" spans="1:24" x14ac:dyDescent="0.25">
      <c r="A62" s="540" t="s">
        <v>6</v>
      </c>
      <c r="B62" s="534"/>
      <c r="C62" s="541"/>
      <c r="D62" s="557"/>
      <c r="E62" s="557"/>
      <c r="F62" s="558"/>
      <c r="G62" s="558"/>
      <c r="H62" s="557"/>
      <c r="I62" s="557"/>
      <c r="J62" s="559"/>
      <c r="K62" s="559"/>
      <c r="L62" s="560"/>
      <c r="M62" s="560"/>
      <c r="N62" s="559"/>
      <c r="O62" s="559"/>
      <c r="P62" s="560"/>
      <c r="Q62" s="560"/>
      <c r="R62" s="559"/>
      <c r="S62" s="559"/>
      <c r="T62" s="560"/>
      <c r="U62" s="560"/>
      <c r="V62" s="559"/>
      <c r="W62" s="559"/>
      <c r="X62" s="561">
        <f t="shared" si="2"/>
        <v>0</v>
      </c>
    </row>
    <row r="63" spans="1:24" x14ac:dyDescent="0.25">
      <c r="A63" s="540" t="s">
        <v>6</v>
      </c>
      <c r="B63" s="534"/>
      <c r="C63" s="541"/>
      <c r="D63" s="557"/>
      <c r="E63" s="557"/>
      <c r="F63" s="558"/>
      <c r="G63" s="558"/>
      <c r="H63" s="557"/>
      <c r="I63" s="557"/>
      <c r="J63" s="559"/>
      <c r="K63" s="559"/>
      <c r="L63" s="560"/>
      <c r="M63" s="560"/>
      <c r="N63" s="559"/>
      <c r="O63" s="559"/>
      <c r="P63" s="560"/>
      <c r="Q63" s="560"/>
      <c r="R63" s="559"/>
      <c r="S63" s="567"/>
      <c r="T63" s="560"/>
      <c r="U63" s="560"/>
      <c r="V63" s="559"/>
      <c r="W63" s="559"/>
      <c r="X63" s="561">
        <f t="shared" si="2"/>
        <v>0</v>
      </c>
    </row>
    <row r="64" spans="1:24" x14ac:dyDescent="0.25">
      <c r="A64" s="540" t="s">
        <v>6</v>
      </c>
      <c r="B64" s="543"/>
      <c r="C64" s="541"/>
      <c r="D64" s="557"/>
      <c r="E64" s="557"/>
      <c r="F64" s="558"/>
      <c r="G64" s="558"/>
      <c r="H64" s="557"/>
      <c r="I64" s="557"/>
      <c r="J64" s="559"/>
      <c r="K64" s="559"/>
      <c r="L64" s="560"/>
      <c r="M64" s="560"/>
      <c r="N64" s="559"/>
      <c r="O64" s="559"/>
      <c r="P64" s="560"/>
      <c r="Q64" s="560"/>
      <c r="R64" s="559"/>
      <c r="S64" s="567"/>
      <c r="T64" s="560"/>
      <c r="U64" s="560"/>
      <c r="V64" s="559"/>
      <c r="W64" s="559"/>
      <c r="X64" s="561">
        <f t="shared" si="2"/>
        <v>0</v>
      </c>
    </row>
    <row r="65" spans="1:24" x14ac:dyDescent="0.25">
      <c r="A65" s="540" t="s">
        <v>6</v>
      </c>
      <c r="B65" s="544"/>
      <c r="C65" s="541"/>
      <c r="D65" s="557"/>
      <c r="E65" s="557"/>
      <c r="F65" s="558"/>
      <c r="G65" s="558"/>
      <c r="H65" s="557"/>
      <c r="I65" s="569"/>
      <c r="J65" s="559"/>
      <c r="K65" s="559"/>
      <c r="L65" s="560"/>
      <c r="M65" s="560"/>
      <c r="N65" s="559"/>
      <c r="O65" s="559"/>
      <c r="P65" s="560"/>
      <c r="Q65" s="560"/>
      <c r="R65" s="559"/>
      <c r="S65" s="567"/>
      <c r="T65" s="560"/>
      <c r="U65" s="560"/>
      <c r="V65" s="559"/>
      <c r="W65" s="559"/>
      <c r="X65" s="561">
        <f t="shared" si="2"/>
        <v>0</v>
      </c>
    </row>
    <row r="66" spans="1:24" x14ac:dyDescent="0.25">
      <c r="A66" s="540" t="s">
        <v>6</v>
      </c>
      <c r="B66" s="543"/>
      <c r="C66" s="541"/>
      <c r="D66" s="557"/>
      <c r="E66" s="557"/>
      <c r="F66" s="558"/>
      <c r="G66" s="558"/>
      <c r="H66" s="557"/>
      <c r="I66" s="557"/>
      <c r="J66" s="559"/>
      <c r="K66" s="559"/>
      <c r="L66" s="560"/>
      <c r="M66" s="560"/>
      <c r="N66" s="559"/>
      <c r="O66" s="559"/>
      <c r="P66" s="560"/>
      <c r="Q66" s="560"/>
      <c r="R66" s="562"/>
      <c r="S66" s="559"/>
      <c r="T66" s="560"/>
      <c r="U66" s="560"/>
      <c r="V66" s="559"/>
      <c r="W66" s="559"/>
      <c r="X66" s="561">
        <f t="shared" si="2"/>
        <v>0</v>
      </c>
    </row>
    <row r="67" spans="1:24" x14ac:dyDescent="0.25">
      <c r="A67" s="540" t="s">
        <v>6</v>
      </c>
      <c r="B67" s="533"/>
      <c r="C67" s="541"/>
      <c r="D67" s="557"/>
      <c r="E67" s="557"/>
      <c r="F67" s="558"/>
      <c r="G67" s="558"/>
      <c r="H67" s="557"/>
      <c r="I67" s="557"/>
      <c r="J67" s="559"/>
      <c r="K67" s="559"/>
      <c r="L67" s="560"/>
      <c r="M67" s="560"/>
      <c r="N67" s="559"/>
      <c r="O67" s="559"/>
      <c r="P67" s="560"/>
      <c r="Q67" s="560"/>
      <c r="R67" s="562"/>
      <c r="S67" s="559"/>
      <c r="T67" s="560"/>
      <c r="U67" s="560"/>
      <c r="V67" s="559"/>
      <c r="W67" s="559"/>
      <c r="X67" s="561">
        <f t="shared" si="2"/>
        <v>0</v>
      </c>
    </row>
    <row r="68" spans="1:24" x14ac:dyDescent="0.25">
      <c r="A68" s="540"/>
      <c r="B68" s="533"/>
      <c r="C68" s="541"/>
      <c r="D68" s="557"/>
      <c r="E68" s="557"/>
      <c r="F68" s="558"/>
      <c r="G68" s="558"/>
      <c r="H68" s="557"/>
      <c r="I68" s="557"/>
      <c r="J68" s="559"/>
      <c r="K68" s="559"/>
      <c r="L68" s="560"/>
      <c r="M68" s="560"/>
      <c r="N68" s="559"/>
      <c r="O68" s="559"/>
      <c r="P68" s="560"/>
      <c r="Q68" s="560"/>
      <c r="R68" s="562"/>
      <c r="S68" s="559"/>
      <c r="T68" s="560"/>
      <c r="U68" s="560"/>
      <c r="V68" s="559"/>
      <c r="W68" s="559"/>
      <c r="X68" s="561">
        <f t="shared" si="2"/>
        <v>0</v>
      </c>
    </row>
    <row r="69" spans="1:24" x14ac:dyDescent="0.25">
      <c r="A69" s="540"/>
      <c r="B69" s="533"/>
      <c r="C69" s="541"/>
      <c r="D69" s="557"/>
      <c r="E69" s="557"/>
      <c r="F69" s="558"/>
      <c r="G69" s="558"/>
      <c r="H69" s="557"/>
      <c r="I69" s="557"/>
      <c r="J69" s="559"/>
      <c r="K69" s="559"/>
      <c r="L69" s="560"/>
      <c r="M69" s="560"/>
      <c r="N69" s="567"/>
      <c r="O69" s="559"/>
      <c r="P69" s="560"/>
      <c r="Q69" s="560"/>
      <c r="R69" s="562"/>
      <c r="S69" s="559"/>
      <c r="T69" s="560"/>
      <c r="U69" s="560"/>
      <c r="V69" s="559"/>
      <c r="W69" s="559"/>
      <c r="X69" s="561">
        <f t="shared" si="2"/>
        <v>0</v>
      </c>
    </row>
    <row r="70" spans="1:24" x14ac:dyDescent="0.25">
      <c r="A70" s="540"/>
      <c r="B70" s="533"/>
      <c r="C70" s="541"/>
      <c r="D70" s="557"/>
      <c r="E70" s="557"/>
      <c r="F70" s="558"/>
      <c r="G70" s="558"/>
      <c r="H70" s="557"/>
      <c r="I70" s="557"/>
      <c r="J70" s="559"/>
      <c r="K70" s="559"/>
      <c r="L70" s="560"/>
      <c r="M70" s="560"/>
      <c r="N70" s="559"/>
      <c r="O70" s="567"/>
      <c r="P70" s="560"/>
      <c r="Q70" s="560"/>
      <c r="R70" s="562"/>
      <c r="S70" s="559"/>
      <c r="T70" s="560"/>
      <c r="U70" s="560"/>
      <c r="V70" s="559"/>
      <c r="W70" s="559"/>
      <c r="X70" s="561">
        <f t="shared" si="2"/>
        <v>0</v>
      </c>
    </row>
    <row r="71" spans="1:24" x14ac:dyDescent="0.25">
      <c r="A71" s="540"/>
      <c r="B71" s="533"/>
      <c r="C71" s="541"/>
      <c r="D71" s="557"/>
      <c r="E71" s="557"/>
      <c r="F71" s="558"/>
      <c r="G71" s="558"/>
      <c r="H71" s="557"/>
      <c r="I71" s="557"/>
      <c r="J71" s="559"/>
      <c r="K71" s="559"/>
      <c r="L71" s="560"/>
      <c r="M71" s="560"/>
      <c r="N71" s="559"/>
      <c r="O71" s="559"/>
      <c r="P71" s="568"/>
      <c r="Q71" s="560"/>
      <c r="R71" s="559"/>
      <c r="S71" s="559"/>
      <c r="T71" s="560"/>
      <c r="U71" s="560"/>
      <c r="V71" s="559"/>
      <c r="W71" s="559"/>
      <c r="X71" s="561">
        <f t="shared" si="2"/>
        <v>0</v>
      </c>
    </row>
    <row r="72" spans="1:24" x14ac:dyDescent="0.25">
      <c r="A72" s="540"/>
      <c r="B72" s="543"/>
      <c r="C72" s="541"/>
      <c r="D72" s="557"/>
      <c r="E72" s="557"/>
      <c r="F72" s="558"/>
      <c r="G72" s="558"/>
      <c r="H72" s="569"/>
      <c r="I72" s="557"/>
      <c r="J72" s="559"/>
      <c r="K72" s="559"/>
      <c r="L72" s="560"/>
      <c r="M72" s="560"/>
      <c r="N72" s="559"/>
      <c r="O72" s="559"/>
      <c r="P72" s="560"/>
      <c r="Q72" s="560"/>
      <c r="R72" s="559"/>
      <c r="S72" s="559"/>
      <c r="T72" s="560"/>
      <c r="U72" s="560"/>
      <c r="V72" s="559"/>
      <c r="W72" s="559"/>
      <c r="X72" s="561">
        <f t="shared" si="2"/>
        <v>0</v>
      </c>
    </row>
    <row r="73" spans="1:24" x14ac:dyDescent="0.25">
      <c r="A73" s="540"/>
      <c r="B73" s="543"/>
      <c r="C73" s="541"/>
      <c r="D73" s="557"/>
      <c r="E73" s="557"/>
      <c r="F73" s="558"/>
      <c r="G73" s="558"/>
      <c r="H73" s="569"/>
      <c r="I73" s="557"/>
      <c r="J73" s="559"/>
      <c r="K73" s="559"/>
      <c r="L73" s="560"/>
      <c r="M73" s="560"/>
      <c r="N73" s="559"/>
      <c r="O73" s="559"/>
      <c r="P73" s="560"/>
      <c r="Q73" s="560"/>
      <c r="R73" s="559"/>
      <c r="S73" s="559"/>
      <c r="T73" s="560"/>
      <c r="U73" s="560"/>
      <c r="V73" s="559"/>
      <c r="W73" s="559"/>
      <c r="X73" s="561">
        <f t="shared" si="2"/>
        <v>0</v>
      </c>
    </row>
    <row r="74" spans="1:24" x14ac:dyDescent="0.25">
      <c r="A74" s="540"/>
      <c r="B74" s="543"/>
      <c r="C74" s="541"/>
      <c r="D74" s="557"/>
      <c r="E74" s="557"/>
      <c r="F74" s="558"/>
      <c r="G74" s="558"/>
      <c r="H74" s="557"/>
      <c r="I74" s="557"/>
      <c r="J74" s="559"/>
      <c r="K74" s="559"/>
      <c r="L74" s="560"/>
      <c r="M74" s="560"/>
      <c r="N74" s="559"/>
      <c r="O74" s="567"/>
      <c r="P74" s="560"/>
      <c r="Q74" s="560"/>
      <c r="R74" s="559"/>
      <c r="S74" s="559"/>
      <c r="T74" s="560"/>
      <c r="U74" s="560"/>
      <c r="V74" s="559"/>
      <c r="W74" s="559"/>
      <c r="X74" s="561">
        <f t="shared" si="2"/>
        <v>0</v>
      </c>
    </row>
    <row r="75" spans="1:24" x14ac:dyDescent="0.25">
      <c r="A75" s="540"/>
      <c r="B75" s="543"/>
      <c r="C75" s="541"/>
      <c r="D75" s="557"/>
      <c r="E75" s="557"/>
      <c r="F75" s="558"/>
      <c r="G75" s="558"/>
      <c r="H75" s="557"/>
      <c r="I75" s="569"/>
      <c r="J75" s="559"/>
      <c r="K75" s="559"/>
      <c r="L75" s="560"/>
      <c r="M75" s="560"/>
      <c r="N75" s="559"/>
      <c r="O75" s="567"/>
      <c r="P75" s="560"/>
      <c r="Q75" s="560"/>
      <c r="R75" s="559"/>
      <c r="S75" s="559"/>
      <c r="T75" s="560"/>
      <c r="U75" s="560"/>
      <c r="V75" s="559"/>
      <c r="W75" s="559"/>
      <c r="X75" s="561">
        <f t="shared" si="2"/>
        <v>0</v>
      </c>
    </row>
    <row r="76" spans="1:24" x14ac:dyDescent="0.25">
      <c r="X76" s="561">
        <f>SUM(X44:X75)</f>
        <v>1</v>
      </c>
    </row>
  </sheetData>
  <mergeCells count="24">
    <mergeCell ref="W2:W4"/>
    <mergeCell ref="K2:L2"/>
    <mergeCell ref="D1:H1"/>
    <mergeCell ref="C2:D2"/>
    <mergeCell ref="E2:F2"/>
    <mergeCell ref="G2:H2"/>
    <mergeCell ref="I2:J2"/>
    <mergeCell ref="M2:N2"/>
    <mergeCell ref="O2:P2"/>
    <mergeCell ref="Q2:R2"/>
    <mergeCell ref="S2:T2"/>
    <mergeCell ref="U2:V2"/>
    <mergeCell ref="X41:X43"/>
    <mergeCell ref="E40:H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opLeftCell="B1" workbookViewId="0">
      <selection activeCell="R8" sqref="R8"/>
    </sheetView>
  </sheetViews>
  <sheetFormatPr defaultRowHeight="15" x14ac:dyDescent="0.25"/>
  <cols>
    <col min="1" max="1" width="29.7109375" customWidth="1"/>
    <col min="2" max="2" width="15.85546875" customWidth="1"/>
    <col min="3" max="5" width="8.7109375" customWidth="1"/>
    <col min="6" max="8" width="10.7109375" customWidth="1"/>
    <col min="9" max="9" width="8.7109375" customWidth="1"/>
    <col min="10" max="10" width="10" customWidth="1"/>
    <col min="11" max="11" width="8.7109375" customWidth="1"/>
  </cols>
  <sheetData>
    <row r="1" spans="1:17" ht="18" customHeight="1" x14ac:dyDescent="0.25">
      <c r="A1" s="43" t="s">
        <v>289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x14ac:dyDescent="0.25">
      <c r="A2" s="1113" t="s">
        <v>193</v>
      </c>
      <c r="B2" s="1113"/>
      <c r="C2" s="1113"/>
      <c r="D2" s="1020"/>
      <c r="E2" s="1"/>
      <c r="F2" s="1113" t="s">
        <v>194</v>
      </c>
      <c r="G2" s="1113"/>
      <c r="H2" s="1113"/>
      <c r="I2" s="1113"/>
      <c r="J2" s="1020"/>
      <c r="K2" s="1020"/>
      <c r="M2" t="s">
        <v>866</v>
      </c>
    </row>
    <row r="3" spans="1:17" x14ac:dyDescent="0.25">
      <c r="A3" s="1114" t="s">
        <v>38</v>
      </c>
      <c r="B3" s="1114"/>
      <c r="C3" s="1114"/>
      <c r="D3" s="56">
        <f>COUNTIF('USFS STATS'!J:J,"H")</f>
        <v>18</v>
      </c>
      <c r="E3" s="1"/>
      <c r="F3" s="1114" t="s">
        <v>81</v>
      </c>
      <c r="G3" s="1114"/>
      <c r="H3" s="1114"/>
      <c r="I3" s="1126"/>
      <c r="J3" s="1126"/>
      <c r="K3" s="56">
        <f>SUMIF('USFS STATS'!J:J,"H",'USFS STATS'!N:N)</f>
        <v>6266.7700000000023</v>
      </c>
      <c r="M3" t="s">
        <v>65</v>
      </c>
      <c r="O3">
        <f>(K3-B16)</f>
        <v>5427.7700000000023</v>
      </c>
      <c r="P3">
        <v>17</v>
      </c>
      <c r="Q3">
        <v>5444.77</v>
      </c>
    </row>
    <row r="4" spans="1:17" x14ac:dyDescent="0.25">
      <c r="A4" s="1125" t="s">
        <v>39</v>
      </c>
      <c r="B4" s="1125"/>
      <c r="C4" s="1125"/>
      <c r="D4" s="47">
        <f>COUNTIF('USFS STATS'!J:J,"L")</f>
        <v>13</v>
      </c>
      <c r="E4" s="1"/>
      <c r="F4" s="1125" t="s">
        <v>69</v>
      </c>
      <c r="G4" s="1125"/>
      <c r="H4" s="1125"/>
      <c r="I4" s="1127"/>
      <c r="J4" s="1127"/>
      <c r="K4" s="47">
        <f>SUMIF('USFS STATS'!J:J,"L",'USFS STATS'!N:N)</f>
        <v>152.1</v>
      </c>
      <c r="M4" t="s">
        <v>66</v>
      </c>
      <c r="O4">
        <f>(K4-D18)</f>
        <v>152.1</v>
      </c>
      <c r="P4">
        <v>5</v>
      </c>
      <c r="Q4">
        <v>157.1</v>
      </c>
    </row>
    <row r="5" spans="1:17" x14ac:dyDescent="0.25">
      <c r="A5" s="1111" t="s">
        <v>74</v>
      </c>
      <c r="B5" s="1111"/>
      <c r="C5" s="1111"/>
      <c r="D5" s="48">
        <f>SUM(D3:D4)</f>
        <v>31</v>
      </c>
      <c r="E5" s="1"/>
      <c r="F5" s="1111" t="s">
        <v>82</v>
      </c>
      <c r="G5" s="1112"/>
      <c r="H5" s="1112"/>
      <c r="I5" s="1112"/>
      <c r="J5" s="1112"/>
      <c r="K5" s="48">
        <f>SUM(K3:K4)</f>
        <v>6418.8700000000026</v>
      </c>
      <c r="M5" t="s">
        <v>4</v>
      </c>
      <c r="O5">
        <f>SUM(O3:O4)</f>
        <v>5579.8700000000026</v>
      </c>
    </row>
    <row r="6" spans="1:17" ht="9" customHeight="1" x14ac:dyDescent="0.25">
      <c r="A6" s="1234" t="s">
        <v>6</v>
      </c>
      <c r="B6" s="1234"/>
      <c r="C6" s="1234"/>
      <c r="D6" s="1234"/>
      <c r="E6" s="1234"/>
      <c r="F6" s="1234"/>
      <c r="G6" s="1234"/>
      <c r="H6" s="1234"/>
      <c r="I6" s="1234"/>
      <c r="J6" s="1"/>
      <c r="K6" s="1"/>
    </row>
    <row r="7" spans="1:17" ht="12.75" customHeight="1" x14ac:dyDescent="0.25">
      <c r="A7" s="1113" t="s">
        <v>195</v>
      </c>
      <c r="B7" s="1020"/>
      <c r="C7" s="1020"/>
      <c r="D7" s="1020"/>
      <c r="E7" s="1020"/>
      <c r="F7" s="1020"/>
      <c r="G7" s="1020"/>
      <c r="H7" s="1020"/>
      <c r="I7" s="1020"/>
      <c r="J7" s="1020"/>
      <c r="K7" s="1020"/>
    </row>
    <row r="8" spans="1:17" ht="13.5" customHeight="1" x14ac:dyDescent="0.25">
      <c r="A8" s="1191"/>
      <c r="B8" s="1105" t="s">
        <v>46</v>
      </c>
      <c r="C8" s="1106"/>
      <c r="D8" s="1105" t="s">
        <v>47</v>
      </c>
      <c r="E8" s="1106"/>
      <c r="F8" s="1235" t="s">
        <v>44</v>
      </c>
      <c r="G8" s="1235"/>
      <c r="H8" s="1235"/>
      <c r="I8" s="1110" t="s">
        <v>45</v>
      </c>
      <c r="J8" s="1110"/>
      <c r="K8" s="1110"/>
    </row>
    <row r="9" spans="1:17" ht="13.5" customHeight="1" x14ac:dyDescent="0.25">
      <c r="A9" s="1192"/>
      <c r="B9" s="1107"/>
      <c r="C9" s="1108"/>
      <c r="D9" s="1107"/>
      <c r="E9" s="1108"/>
      <c r="F9" s="38" t="s">
        <v>5</v>
      </c>
      <c r="G9" s="38" t="s">
        <v>42</v>
      </c>
      <c r="H9" s="38" t="s">
        <v>43</v>
      </c>
      <c r="I9" s="1110"/>
      <c r="J9" s="1110"/>
      <c r="K9" s="1110"/>
    </row>
    <row r="10" spans="1:17" x14ac:dyDescent="0.25">
      <c r="A10" s="51" t="s">
        <v>220</v>
      </c>
      <c r="B10" s="1236">
        <f>SUMIF('USFS STATS'!J:J,"H",'USFS STATS'!O:O)</f>
        <v>5425.2700000000013</v>
      </c>
      <c r="C10" s="1237"/>
      <c r="D10" s="1236">
        <f>SUMIF('USFS STATS'!J:J,"L",'USFS STATS'!O:O)</f>
        <v>152.1</v>
      </c>
      <c r="E10" s="1237"/>
      <c r="F10" s="46">
        <f t="shared" ref="F10:F15" si="0">SUM(G10:H10)</f>
        <v>26</v>
      </c>
      <c r="G10" s="46">
        <f>COUNTIF('# FIRES CAUSE'!J:J,"X")</f>
        <v>13</v>
      </c>
      <c r="H10" s="46">
        <f>COUNTIF('# FIRES CAUSE'!K:K,"X")</f>
        <v>13</v>
      </c>
      <c r="I10" s="1236">
        <f t="shared" ref="I10:I15" si="1">SUM(B10:E10)</f>
        <v>5577.3700000000017</v>
      </c>
      <c r="J10" s="1238"/>
      <c r="K10" s="1237"/>
    </row>
    <row r="11" spans="1:17" x14ac:dyDescent="0.25">
      <c r="A11" s="303" t="s">
        <v>219</v>
      </c>
      <c r="B11" s="1232">
        <f>SUMIF('USFS STATS'!J:J,"H",'USFS STATS'!P:P)</f>
        <v>0</v>
      </c>
      <c r="C11" s="1233"/>
      <c r="D11" s="1232">
        <f>SUMIF('USFS STATS'!J:J,"L",'USFS STATS'!P:P)</f>
        <v>0</v>
      </c>
      <c r="E11" s="1233"/>
      <c r="F11" s="305">
        <f t="shared" si="0"/>
        <v>0</v>
      </c>
      <c r="G11" s="305">
        <f>COUNTIF('# FIRES CAUSE'!F:F,"X")</f>
        <v>0</v>
      </c>
      <c r="H11" s="305">
        <f>COUNTIF('# FIRES CAUSE'!G:G,"X")</f>
        <v>0</v>
      </c>
      <c r="I11" s="1232">
        <f t="shared" si="1"/>
        <v>0</v>
      </c>
      <c r="J11" s="1239"/>
      <c r="K11" s="1233"/>
    </row>
    <row r="12" spans="1:17" x14ac:dyDescent="0.25">
      <c r="A12" s="52" t="s">
        <v>221</v>
      </c>
      <c r="B12" s="1218">
        <f>SUMIF('USFS STATS'!J:J,"H",'USFS STATS'!Q:Q)</f>
        <v>1.3</v>
      </c>
      <c r="C12" s="1219"/>
      <c r="D12" s="1218">
        <f>SUMIF('USFS STATS'!J:J,"L",'USFS STATS'!Q:Q)</f>
        <v>0</v>
      </c>
      <c r="E12" s="1219"/>
      <c r="F12" s="53">
        <f t="shared" si="0"/>
        <v>1</v>
      </c>
      <c r="G12" s="53">
        <f>COUNTIF('# FIRES CAUSE'!R:R,"X")</f>
        <v>1</v>
      </c>
      <c r="H12" s="53">
        <f>COUNTIF('# FIRES CAUSE'!S:S,"X")</f>
        <v>0</v>
      </c>
      <c r="I12" s="1218">
        <f t="shared" si="1"/>
        <v>1.3</v>
      </c>
      <c r="J12" s="1227"/>
      <c r="K12" s="1219"/>
    </row>
    <row r="13" spans="1:17" x14ac:dyDescent="0.25">
      <c r="A13" s="36" t="s">
        <v>80</v>
      </c>
      <c r="B13" s="1162">
        <f>SUMIF('USFS STATS'!J:J,"H",'USFS STATS'!R:R)</f>
        <v>1</v>
      </c>
      <c r="C13" s="1074"/>
      <c r="D13" s="1162">
        <f>SUMIF('USFS STATS'!J:J,"L",'USFS STATS'!R:R)</f>
        <v>0</v>
      </c>
      <c r="E13" s="1074"/>
      <c r="F13" s="39">
        <f t="shared" si="0"/>
        <v>2</v>
      </c>
      <c r="G13" s="39">
        <f>COUNTIF('# FIRES CAUSE'!X:X,"X")</f>
        <v>2</v>
      </c>
      <c r="H13" s="39">
        <f>COUNTIF('# FIRES CAUSE'!Y:Y,"X")</f>
        <v>0</v>
      </c>
      <c r="I13" s="1162">
        <f t="shared" si="1"/>
        <v>1</v>
      </c>
      <c r="J13" s="1164"/>
      <c r="K13" s="1074"/>
    </row>
    <row r="14" spans="1:17" x14ac:dyDescent="0.25">
      <c r="A14" s="313" t="s">
        <v>224</v>
      </c>
      <c r="B14" s="1222">
        <f>SUMIF('USFS STATS'!J:J,"H",'USFS STATS'!S:S)</f>
        <v>0</v>
      </c>
      <c r="C14" s="1223"/>
      <c r="D14" s="1222">
        <f>SUMIF('USFS STATS'!J:J,"L",'USFS STATS'!S:S)</f>
        <v>0</v>
      </c>
      <c r="E14" s="1223"/>
      <c r="F14" s="45">
        <f t="shared" si="0"/>
        <v>0</v>
      </c>
      <c r="G14" s="45">
        <f>COUNTIF('# FIRES CAUSE'!AH:AH,"X")</f>
        <v>0</v>
      </c>
      <c r="H14" s="45">
        <f>COUNTIF('# FIRES CAUSE'!AI:AI,"X")</f>
        <v>0</v>
      </c>
      <c r="I14" s="1218">
        <f t="shared" si="1"/>
        <v>0</v>
      </c>
      <c r="J14" s="1227"/>
      <c r="K14" s="1219"/>
    </row>
    <row r="15" spans="1:17" x14ac:dyDescent="0.25">
      <c r="A15" s="190" t="s">
        <v>225</v>
      </c>
      <c r="B15" s="1166">
        <f>SUMIF('USFS STATS'!J:J,"H",'USFS STATS'!T:T)</f>
        <v>0.2</v>
      </c>
      <c r="C15" s="1074"/>
      <c r="D15" s="1166">
        <f>SUMIF('USFS STATS'!J:J,"L",'USFS STATS'!T:T)</f>
        <v>0</v>
      </c>
      <c r="E15" s="1168"/>
      <c r="F15" s="191">
        <f t="shared" si="0"/>
        <v>2</v>
      </c>
      <c r="G15" s="191">
        <f>COUNTIF('# FIRES CAUSE'!AN:AN,"X")</f>
        <v>2</v>
      </c>
      <c r="H15" s="191">
        <f>COUNTIF('# FIRES CAUSE'!AO:AO,"X")</f>
        <v>0</v>
      </c>
      <c r="I15" s="1166">
        <f t="shared" si="1"/>
        <v>0.2</v>
      </c>
      <c r="J15" s="1164"/>
      <c r="K15" s="1074"/>
    </row>
    <row r="16" spans="1:17" x14ac:dyDescent="0.25">
      <c r="A16" s="907" t="s">
        <v>864</v>
      </c>
      <c r="B16" s="1213">
        <f>SUMIF('USFS STATS'!J:J,"H",'USFS STATS'!U:U)</f>
        <v>839</v>
      </c>
      <c r="C16" s="1214"/>
      <c r="D16" s="1213">
        <f>SUMIF('USFS STATS'!J:J,"L",'USFS STATS'!U:U)</f>
        <v>0</v>
      </c>
      <c r="E16" s="1215"/>
      <c r="F16" s="909" t="s">
        <v>865</v>
      </c>
      <c r="G16" s="909" t="s">
        <v>865</v>
      </c>
      <c r="H16" s="909" t="s">
        <v>865</v>
      </c>
      <c r="I16" s="1213">
        <f>SUM(B16:E16)</f>
        <v>839</v>
      </c>
      <c r="J16" s="1216"/>
      <c r="K16" s="1215"/>
    </row>
    <row r="17" spans="1:11" x14ac:dyDescent="0.25">
      <c r="A17" s="50" t="s">
        <v>41</v>
      </c>
      <c r="B17" s="1220">
        <f>SUM(B10:B16)</f>
        <v>6266.7700000000013</v>
      </c>
      <c r="C17" s="1221"/>
      <c r="D17" s="1220">
        <f>SUM(D10:D16)</f>
        <v>152.1</v>
      </c>
      <c r="E17" s="1221"/>
      <c r="F17" s="48">
        <f>SUM(F10:F15)</f>
        <v>31</v>
      </c>
      <c r="G17" s="48">
        <f>SUM(G10:G15)</f>
        <v>18</v>
      </c>
      <c r="H17" s="48">
        <f>SUM(H10:H15)</f>
        <v>13</v>
      </c>
      <c r="I17" s="1220">
        <f>SUM(B17:E17)</f>
        <v>6418.8700000000017</v>
      </c>
      <c r="J17" s="1231"/>
      <c r="K17" s="1221"/>
    </row>
    <row r="18" spans="1:11" s="100" customFormat="1" ht="7.5" customHeight="1" x14ac:dyDescent="0.25">
      <c r="A18" s="98"/>
      <c r="B18" s="99"/>
      <c r="C18" s="99"/>
      <c r="D18" s="99"/>
      <c r="E18" s="99"/>
      <c r="F18" s="99"/>
      <c r="G18" s="99"/>
      <c r="H18" s="174" t="s">
        <v>6</v>
      </c>
      <c r="I18" s="99"/>
      <c r="J18" s="99"/>
      <c r="K18" s="99"/>
    </row>
    <row r="19" spans="1:11" x14ac:dyDescent="0.25">
      <c r="A19" s="1143" t="s">
        <v>185</v>
      </c>
      <c r="B19" s="1144"/>
      <c r="C19" s="1144"/>
      <c r="D19" s="1144"/>
      <c r="E19" s="1145"/>
      <c r="F19" s="44">
        <f>COUNTIF('USFS STATS'!J:J,"RFD")</f>
        <v>0</v>
      </c>
      <c r="G19" s="272" t="s">
        <v>64</v>
      </c>
      <c r="H19" s="272" t="s">
        <v>64</v>
      </c>
      <c r="I19" s="1230">
        <f>SUMIF('USFS STATS'!J:J,"RFD",'USFS STATS'!N:N)</f>
        <v>0</v>
      </c>
      <c r="J19" s="1230"/>
      <c r="K19" s="1230"/>
    </row>
    <row r="20" spans="1:11" x14ac:dyDescent="0.25">
      <c r="A20" s="1133" t="s">
        <v>192</v>
      </c>
      <c r="B20" s="1134"/>
      <c r="C20" s="1134"/>
      <c r="D20" s="1134"/>
      <c r="E20" s="1135"/>
      <c r="F20" s="191">
        <f>COUNTIF('USFS STATS'!J:J,"A")</f>
        <v>15</v>
      </c>
      <c r="G20" s="272" t="s">
        <v>64</v>
      </c>
      <c r="H20" s="272" t="s">
        <v>64</v>
      </c>
      <c r="I20" s="1228">
        <f>SUMIF('USFS STATS'!J:J,"A",'USFS STATS'!W:W)</f>
        <v>5852.8700000000008</v>
      </c>
      <c r="J20" s="1228"/>
      <c r="K20" s="1228"/>
    </row>
    <row r="21" spans="1:11" ht="15" customHeight="1" x14ac:dyDescent="0.25">
      <c r="A21" s="1224" t="s">
        <v>150</v>
      </c>
      <c r="B21" s="1225"/>
      <c r="C21" s="1225"/>
      <c r="D21" s="1225"/>
      <c r="E21" s="1226"/>
      <c r="F21" s="46">
        <f>COUNTIF('USFS STATS'!J:J,"O")</f>
        <v>8</v>
      </c>
      <c r="G21" s="272" t="s">
        <v>64</v>
      </c>
      <c r="H21" s="272" t="s">
        <v>64</v>
      </c>
      <c r="I21" s="1229">
        <f>SUMIF('USFS STATS'!J:J,"O",'USFS STATS'!N:N)</f>
        <v>119.01</v>
      </c>
      <c r="J21" s="1229"/>
      <c r="K21" s="1229"/>
    </row>
    <row r="22" spans="1:11" ht="9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 customHeight="1" x14ac:dyDescent="0.25">
      <c r="A23" s="1162" t="s">
        <v>246</v>
      </c>
      <c r="B23" s="1163"/>
      <c r="C23" s="1163"/>
      <c r="D23" s="1164"/>
      <c r="E23" s="1074"/>
      <c r="F23" s="1"/>
      <c r="G23" s="1162" t="s">
        <v>54</v>
      </c>
      <c r="H23" s="1164"/>
      <c r="I23" s="1164"/>
      <c r="J23" s="1074"/>
      <c r="K23" s="1"/>
    </row>
    <row r="24" spans="1:11" ht="18" x14ac:dyDescent="0.25">
      <c r="A24" s="39"/>
      <c r="B24" s="37" t="s">
        <v>48</v>
      </c>
      <c r="C24" s="42" t="s">
        <v>65</v>
      </c>
      <c r="D24" s="42" t="s">
        <v>66</v>
      </c>
      <c r="E24" s="42" t="s">
        <v>4</v>
      </c>
      <c r="F24" s="1"/>
      <c r="G24" s="1162"/>
      <c r="H24" s="1074"/>
      <c r="I24" s="38" t="s">
        <v>5</v>
      </c>
      <c r="J24" s="38" t="s">
        <v>60</v>
      </c>
      <c r="K24" s="1"/>
    </row>
    <row r="25" spans="1:11" x14ac:dyDescent="0.25">
      <c r="A25" s="267" t="s">
        <v>75</v>
      </c>
      <c r="B25" s="48">
        <f>COUNTIF('USFS STATS'!F:F,"1")</f>
        <v>6</v>
      </c>
      <c r="C25" s="48">
        <f>SUM('BY OWNER - CAUSE'!U11)</f>
        <v>64.62</v>
      </c>
      <c r="D25" s="48">
        <f ca="1">SUM('BY OWNER - CAUSE'!V11)</f>
        <v>0.30000000000000004</v>
      </c>
      <c r="E25" s="48">
        <f ca="1">SUM('BY OWNER - CAUSE'!U12:V12)</f>
        <v>64.92</v>
      </c>
      <c r="F25" s="1"/>
      <c r="G25" s="1181" t="s">
        <v>55</v>
      </c>
      <c r="H25" s="1217"/>
      <c r="I25" s="48">
        <f>COUNTIF('USFS STATS'!AB4:AB332,"LOOKOUT")</f>
        <v>6</v>
      </c>
      <c r="J25" s="429">
        <f>I25/D5</f>
        <v>0.19354838709677419</v>
      </c>
      <c r="K25" s="1"/>
    </row>
    <row r="26" spans="1:11" x14ac:dyDescent="0.25">
      <c r="A26" s="267" t="s">
        <v>76</v>
      </c>
      <c r="B26" s="48">
        <f>COUNTIF('USFS STATS'!F:F,"3")</f>
        <v>5</v>
      </c>
      <c r="C26" s="48">
        <f>SUM('BY OWNER - CAUSE'!W11)</f>
        <v>0.2</v>
      </c>
      <c r="D26" s="48">
        <f>SUM('BY OWNER - CAUSE'!X11)</f>
        <v>32.999999999999993</v>
      </c>
      <c r="E26" s="48">
        <f>SUM('BY OWNER - CAUSE'!W12:X12)</f>
        <v>33.199999999999996</v>
      </c>
      <c r="F26" s="1"/>
      <c r="G26" s="1181" t="s">
        <v>56</v>
      </c>
      <c r="H26" s="1217"/>
      <c r="I26" s="48">
        <f>COUNTIF('USFS STATS'!AB5:AB332,"AIRCRAFT")</f>
        <v>1</v>
      </c>
      <c r="J26" s="429">
        <f>I26/D5</f>
        <v>3.2258064516129031E-2</v>
      </c>
      <c r="K26" s="1"/>
    </row>
    <row r="27" spans="1:11" x14ac:dyDescent="0.25">
      <c r="A27" s="267" t="s">
        <v>77</v>
      </c>
      <c r="B27" s="48">
        <f>COUNTIF('USFS STATS'!F:F,"4")</f>
        <v>10</v>
      </c>
      <c r="C27" s="48">
        <f>SUM('BY OWNER - CAUSE'!Y11)</f>
        <v>0.64999999999999991</v>
      </c>
      <c r="D27" s="48">
        <f>SUM('BY OWNER - CAUSE'!Z11)</f>
        <v>6.2</v>
      </c>
      <c r="E27" s="48">
        <f>SUM('BY OWNER - CAUSE'!Y12:Z12)</f>
        <v>6.85</v>
      </c>
      <c r="F27" s="1"/>
      <c r="G27" s="1181" t="s">
        <v>57</v>
      </c>
      <c r="H27" s="1217"/>
      <c r="I27" s="48">
        <f>COUNTIF('USFS STATS'!AB5:AB332,"PRIVATE")</f>
        <v>5</v>
      </c>
      <c r="J27" s="429">
        <f>I27/D5</f>
        <v>0.16129032258064516</v>
      </c>
      <c r="K27" s="1"/>
    </row>
    <row r="28" spans="1:11" x14ac:dyDescent="0.25">
      <c r="A28" s="267" t="s">
        <v>78</v>
      </c>
      <c r="B28" s="48">
        <f>COUNTIF('USFS STATS'!F:F,"5")</f>
        <v>5</v>
      </c>
      <c r="C28" s="48">
        <f>SUM('BY OWNER - CAUSE'!AA11)</f>
        <v>4571.3</v>
      </c>
      <c r="D28" s="48">
        <f>SUM('BY OWNER - CAUSE'!AB11)</f>
        <v>112</v>
      </c>
      <c r="E28" s="48">
        <f>SUM('BY OWNER - CAUSE'!AA12:AB12)</f>
        <v>4683.3</v>
      </c>
      <c r="F28" s="1"/>
      <c r="G28" s="1181" t="s">
        <v>58</v>
      </c>
      <c r="H28" s="1217"/>
      <c r="I28" s="48">
        <f>COUNTIF('USFS STATS'!AB5:AB332,"AGENCY")</f>
        <v>14</v>
      </c>
      <c r="J28" s="429">
        <f>I28/D5</f>
        <v>0.45161290322580644</v>
      </c>
      <c r="K28" s="1"/>
    </row>
    <row r="29" spans="1:11" x14ac:dyDescent="0.25">
      <c r="A29" s="267" t="s">
        <v>79</v>
      </c>
      <c r="B29" s="48">
        <f>COUNTIF('USFS STATS'!F:F,"6")</f>
        <v>5</v>
      </c>
      <c r="C29" s="48">
        <f>SUM('BY OWNER - CAUSE'!AC11)</f>
        <v>1617.41</v>
      </c>
      <c r="D29" s="48">
        <f>SUM('BY OWNER - CAUSE'!AD11)</f>
        <v>0.7</v>
      </c>
      <c r="E29" s="48">
        <f>SUM('BY OWNER - CAUSE'!AC12:AD12)</f>
        <v>1618.1100000000001</v>
      </c>
      <c r="F29" s="1"/>
      <c r="G29" s="1181" t="s">
        <v>59</v>
      </c>
      <c r="H29" s="1217"/>
      <c r="I29" s="48">
        <f>COUNTIF('USFS STATS'!AB5:AB332,"COUNTY")</f>
        <v>5</v>
      </c>
      <c r="J29" s="429">
        <f>I29/D5</f>
        <v>0.16129032258064516</v>
      </c>
      <c r="K29" s="1"/>
    </row>
    <row r="30" spans="1:11" ht="9" customHeight="1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 x14ac:dyDescent="0.25">
      <c r="A31" s="123" t="s">
        <v>147</v>
      </c>
      <c r="B31" s="47">
        <f>COUNTIF('USFS STATS'!AA:AA,"FULL")</f>
        <v>30</v>
      </c>
      <c r="C31" s="1149" t="s">
        <v>138</v>
      </c>
      <c r="D31" s="1243"/>
      <c r="E31" s="1243"/>
      <c r="F31" s="1243"/>
      <c r="G31" s="44">
        <f>COUNTIF('USFS STATS'!AE:AE,"Y")</f>
        <v>6</v>
      </c>
      <c r="I31" s="1241" t="s">
        <v>235</v>
      </c>
      <c r="J31" s="323" t="s">
        <v>172</v>
      </c>
      <c r="K31" s="326">
        <f>SUM('USFS STATS'!AL46)</f>
        <v>20</v>
      </c>
    </row>
    <row r="32" spans="1:11" ht="15" customHeight="1" x14ac:dyDescent="0.25">
      <c r="A32" s="122" t="s">
        <v>169</v>
      </c>
      <c r="B32" s="47">
        <f>COUNTIF('USFS STATS'!AA:AA,"MULTIPLE")</f>
        <v>1</v>
      </c>
      <c r="C32" s="1242" t="s">
        <v>237</v>
      </c>
      <c r="D32" s="1242"/>
      <c r="E32" s="1242"/>
      <c r="F32" s="1242"/>
      <c r="G32" s="431">
        <f>COUNTIF('USFS STATS'!AG5:AG332,"Y")</f>
        <v>7</v>
      </c>
      <c r="I32" s="1241"/>
      <c r="J32" s="323" t="s">
        <v>179</v>
      </c>
      <c r="K32" s="326">
        <f>SUM('USFS STATS'!AL47)</f>
        <v>5</v>
      </c>
    </row>
    <row r="33" spans="1:11" x14ac:dyDescent="0.25">
      <c r="A33" s="122" t="s">
        <v>148</v>
      </c>
      <c r="B33" s="430">
        <f>COUNTIF('USFS STATS'!AA:AA,"MONITOR")</f>
        <v>0</v>
      </c>
      <c r="C33" s="1240" t="s">
        <v>53</v>
      </c>
      <c r="D33" s="1240"/>
      <c r="E33" s="1240"/>
      <c r="F33" s="1240"/>
      <c r="G33" s="62">
        <f>COUNTIF('USFS STATS'!J:J,"FA")</f>
        <v>15</v>
      </c>
      <c r="I33" s="1241"/>
      <c r="J33" s="323" t="s">
        <v>173</v>
      </c>
      <c r="K33" s="326">
        <f>SUM('USFS STATS'!AL48)</f>
        <v>3</v>
      </c>
    </row>
    <row r="34" spans="1:11" x14ac:dyDescent="0.25">
      <c r="A34" s="310" t="s">
        <v>137</v>
      </c>
      <c r="B34" s="266">
        <f>COUNTIF('USFS STATS'!AD:AD,"Y")</f>
        <v>5</v>
      </c>
      <c r="C34" s="1240" t="s">
        <v>149</v>
      </c>
      <c r="D34" s="1240"/>
      <c r="E34" s="1240"/>
      <c r="F34" s="1240"/>
      <c r="G34" s="325">
        <f>COUNTIF('USFS STATS'!J:J,"UTL")</f>
        <v>0</v>
      </c>
      <c r="I34" s="1241"/>
      <c r="J34" s="323" t="s">
        <v>174</v>
      </c>
      <c r="K34" s="326">
        <f>SUM('USFS STATS'!AL49)</f>
        <v>1</v>
      </c>
    </row>
    <row r="35" spans="1:11" x14ac:dyDescent="0.25">
      <c r="A35" s="425" t="s">
        <v>233</v>
      </c>
      <c r="B35" s="45">
        <f>COUNTIF('USFS STATS'!AC:AC,"Y")</f>
        <v>25</v>
      </c>
      <c r="C35" s="1240" t="s">
        <v>136</v>
      </c>
      <c r="D35" s="1240"/>
      <c r="E35" s="1240"/>
      <c r="F35" s="1240"/>
      <c r="G35" s="325">
        <f>COUNTIF('USFS STATS'!AF:AF,"Y")</f>
        <v>9</v>
      </c>
      <c r="I35" s="1241"/>
      <c r="J35" s="323" t="s">
        <v>157</v>
      </c>
      <c r="K35" s="326">
        <f>SUM('USFS STATS'!AL51)</f>
        <v>0</v>
      </c>
    </row>
    <row r="36" spans="1:11" x14ac:dyDescent="0.25">
      <c r="A36" s="428"/>
      <c r="B36" s="432"/>
      <c r="I36" s="1241"/>
      <c r="J36" s="323" t="s">
        <v>190</v>
      </c>
      <c r="K36" s="326">
        <f>SUM('USFS STATS'!AL53)</f>
        <v>2</v>
      </c>
    </row>
    <row r="37" spans="1:11" x14ac:dyDescent="0.25">
      <c r="I37" s="1241"/>
      <c r="J37" s="323" t="s">
        <v>180</v>
      </c>
      <c r="K37" s="326">
        <f>SUM('USFS STATS'!AL52)</f>
        <v>0</v>
      </c>
    </row>
    <row r="39" spans="1:11" x14ac:dyDescent="0.25">
      <c r="B39" t="s">
        <v>6</v>
      </c>
    </row>
  </sheetData>
  <mergeCells count="59">
    <mergeCell ref="C35:F35"/>
    <mergeCell ref="I31:I37"/>
    <mergeCell ref="C32:F32"/>
    <mergeCell ref="C33:F33"/>
    <mergeCell ref="C34:F34"/>
    <mergeCell ref="C31:F31"/>
    <mergeCell ref="B10:C10"/>
    <mergeCell ref="I10:K10"/>
    <mergeCell ref="D8:E9"/>
    <mergeCell ref="D10:E10"/>
    <mergeCell ref="B11:C11"/>
    <mergeCell ref="I11:K11"/>
    <mergeCell ref="A6:I6"/>
    <mergeCell ref="A7:K7"/>
    <mergeCell ref="A8:A9"/>
    <mergeCell ref="B8:C9"/>
    <mergeCell ref="F8:H8"/>
    <mergeCell ref="I8:K9"/>
    <mergeCell ref="A2:D2"/>
    <mergeCell ref="F2:K2"/>
    <mergeCell ref="B17:C17"/>
    <mergeCell ref="I17:K17"/>
    <mergeCell ref="A3:C3"/>
    <mergeCell ref="F3:J3"/>
    <mergeCell ref="A4:C4"/>
    <mergeCell ref="F4:J4"/>
    <mergeCell ref="A5:C5"/>
    <mergeCell ref="F5:J5"/>
    <mergeCell ref="I12:K12"/>
    <mergeCell ref="B13:C13"/>
    <mergeCell ref="I13:K13"/>
    <mergeCell ref="D13:E13"/>
    <mergeCell ref="D11:E11"/>
    <mergeCell ref="D12:E12"/>
    <mergeCell ref="B12:C12"/>
    <mergeCell ref="G26:H26"/>
    <mergeCell ref="D17:E17"/>
    <mergeCell ref="G24:H24"/>
    <mergeCell ref="G25:H25"/>
    <mergeCell ref="B14:C14"/>
    <mergeCell ref="A21:E21"/>
    <mergeCell ref="G23:J23"/>
    <mergeCell ref="I14:K14"/>
    <mergeCell ref="D14:E14"/>
    <mergeCell ref="B15:C15"/>
    <mergeCell ref="D15:E15"/>
    <mergeCell ref="I15:K15"/>
    <mergeCell ref="I20:K20"/>
    <mergeCell ref="I21:K21"/>
    <mergeCell ref="I19:K19"/>
    <mergeCell ref="B16:C16"/>
    <mergeCell ref="D16:E16"/>
    <mergeCell ref="I16:K16"/>
    <mergeCell ref="G28:H28"/>
    <mergeCell ref="G29:H29"/>
    <mergeCell ref="A19:E19"/>
    <mergeCell ref="A20:E20"/>
    <mergeCell ref="G27:H27"/>
    <mergeCell ref="A23:E23"/>
  </mergeCells>
  <pageMargins left="0.5" right="0.5" top="0.75" bottom="0.75" header="0.3" footer="0.3"/>
  <pageSetup paperSiz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DISPATCH</vt:lpstr>
      <vt:lpstr>BY OWNER - CAUSE</vt:lpstr>
      <vt:lpstr># FIRES CAUSE</vt:lpstr>
      <vt:lpstr>BLM STATS</vt:lpstr>
      <vt:lpstr>BLM COUNTY</vt:lpstr>
      <vt:lpstr>BLM SUM</vt:lpstr>
      <vt:lpstr>USFS STATS</vt:lpstr>
      <vt:lpstr>USFS COUNTY </vt:lpstr>
      <vt:lpstr>USFS SUM</vt:lpstr>
      <vt:lpstr>IDL STATS</vt:lpstr>
      <vt:lpstr>IDL COUNTY </vt:lpstr>
      <vt:lpstr>IDL SUM</vt:lpstr>
      <vt:lpstr>BLM STATE OFFICE</vt:lpstr>
      <vt:lpstr>OTR FIRES</vt:lpstr>
      <vt:lpstr>RX ACRES </vt:lpstr>
      <vt:lpstr>EASLEY</vt:lpstr>
      <vt:lpstr>'OTR FIRES'!Print_Area</vt:lpstr>
      <vt:lpstr>'OTR FIRES'!Print_Titles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lhislop</dc:creator>
  <cp:lastModifiedBy>ehawes</cp:lastModifiedBy>
  <cp:lastPrinted>2018-11-15T20:15:40Z</cp:lastPrinted>
  <dcterms:created xsi:type="dcterms:W3CDTF">2009-01-14T17:58:01Z</dcterms:created>
  <dcterms:modified xsi:type="dcterms:W3CDTF">2018-11-15T22:32:27Z</dcterms:modified>
</cp:coreProperties>
</file>